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445" tabRatio="868" activeTab="5"/>
  </bookViews>
  <sheets>
    <sheet name="COVER" sheetId="1" r:id="rId1"/>
    <sheet name="Schedule 1 Summary" sheetId="2" r:id="rId2"/>
    <sheet name="Schedule 2 Revenue Summary" sheetId="3" r:id="rId3"/>
    <sheet name="Schedule 3 Expenditure Summary" sheetId="4" r:id="rId4"/>
    <sheet name="Schedule 4 Expenditures by Dept" sheetId="5" r:id="rId5"/>
    <sheet name="Schedule 5 Revenue Detail" sheetId="6" r:id="rId6"/>
    <sheet name="Schedule 6 Expends Dept Detail" sheetId="7" r:id="rId7"/>
    <sheet name="Schedule 6a Public Works Bureau" sheetId="8" r:id="rId8"/>
    <sheet name="Appendix 1 Tax Collection Rpt" sheetId="9" r:id="rId9"/>
    <sheet name="Appendix 2 Police Overtime" sheetId="10" r:id="rId10"/>
    <sheet name="Appendix 3 Fire Overtime" sheetId="11" r:id="rId11"/>
    <sheet name="Apppendix 4 GF Position Count" sheetId="12" r:id="rId12"/>
    <sheet name="Appendix 5 Health Fund" sheetId="13" r:id="rId13"/>
  </sheets>
  <definedNames>
    <definedName name="_xlnm.Print_Area" localSheetId="8">'Appendix 1 Tax Collection Rpt'!$A$1:$N$57</definedName>
    <definedName name="_xlnm.Print_Area" localSheetId="9">'Appendix 2 Police Overtime'!$A$1:$J$64</definedName>
    <definedName name="_xlnm.Print_Area" localSheetId="10">'Appendix 3 Fire Overtime'!$A$1:$J$63</definedName>
    <definedName name="_xlnm.Print_Area" localSheetId="11">'Apppendix 4 GF Position Count'!$A$4:$E$51</definedName>
    <definedName name="_xlnm.Print_Area" localSheetId="0">'COVER'!$A$1:$M$44</definedName>
    <definedName name="_xlnm.Print_Area" localSheetId="1">'Schedule 1 Summary'!$B$1:$E$36</definedName>
    <definedName name="_xlnm.Print_Area" localSheetId="2">'Schedule 2 Revenue Summary'!$A$1:$H$37</definedName>
    <definedName name="_xlnm.Print_Area" localSheetId="3">'Schedule 3 Expenditure Summary'!$A$1:$H$41</definedName>
    <definedName name="_xlnm.Print_Area" localSheetId="4">'Schedule 4 Expenditures by Dept'!$B$1:$I$88</definedName>
    <definedName name="_xlnm.Print_Area" localSheetId="5">'Schedule 5 Revenue Detail'!$A$3:$H$202</definedName>
    <definedName name="_xlnm.Print_Area" localSheetId="6">'Schedule 6 Expends Dept Detail'!$A$1:$H$530</definedName>
    <definedName name="_xlnm.Print_Area" localSheetId="7">'Schedule 6a Public Works Bureau'!$A$1:$H$237</definedName>
    <definedName name="_xlnm.Print_Titles" localSheetId="3">'Schedule 3 Expenditure Summary'!$6:$10</definedName>
    <definedName name="_xlnm.Print_Titles" localSheetId="4">'Schedule 4 Expenditures by Dept'!$5:$8</definedName>
    <definedName name="_xlnm.Print_Titles" localSheetId="5">'Schedule 5 Revenue Detail'!$3:$7</definedName>
  </definedNames>
  <calcPr fullCalcOnLoad="1"/>
</workbook>
</file>

<file path=xl/sharedStrings.xml><?xml version="1.0" encoding="utf-8"?>
<sst xmlns="http://schemas.openxmlformats.org/spreadsheetml/2006/main" count="1255" uniqueCount="561">
  <si>
    <t>Year to</t>
  </si>
  <si>
    <t>Date</t>
  </si>
  <si>
    <t>Personal Services-Salaries (100, 101)</t>
  </si>
  <si>
    <t>Personal Services-Overtime (102)</t>
  </si>
  <si>
    <t>Personal Services-Other (other 100's)</t>
  </si>
  <si>
    <t xml:space="preserve">      Sub-Total--Personal Services</t>
  </si>
  <si>
    <t>Other (800's)</t>
  </si>
  <si>
    <t xml:space="preserve">      TOTAL</t>
  </si>
  <si>
    <t>Projected</t>
  </si>
  <si>
    <t>Variance</t>
  </si>
  <si>
    <t>Description</t>
  </si>
  <si>
    <t>Expenditures</t>
  </si>
  <si>
    <t>Year-End</t>
  </si>
  <si>
    <t>Budget</t>
  </si>
  <si>
    <t>Over/(Under)</t>
  </si>
  <si>
    <t>Education</t>
  </si>
  <si>
    <t>Public Works</t>
  </si>
  <si>
    <t>Total</t>
  </si>
  <si>
    <t>July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</si>
  <si>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</si>
  <si>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</si>
  <si>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</si>
  <si>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</si>
  <si>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</si>
  <si>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</si>
  <si>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</si>
  <si>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</si>
  <si>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</si>
  <si>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</si>
  <si>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End</t>
  </si>
  <si>
    <t>Pension Fund</t>
  </si>
  <si>
    <t>Difference</t>
  </si>
  <si>
    <t>Revenue Summary</t>
  </si>
  <si>
    <t>Expenditure Summary</t>
  </si>
  <si>
    <t xml:space="preserve">Revenue Detail </t>
  </si>
  <si>
    <t>Fire Overtime</t>
  </si>
  <si>
    <t>Projected at</t>
  </si>
  <si>
    <t>Tranfers from other Funds</t>
  </si>
  <si>
    <t>Payments by Other Jurisdictions</t>
  </si>
  <si>
    <t>Legal Department</t>
  </si>
  <si>
    <t>Police Department</t>
  </si>
  <si>
    <t>Fire Department</t>
  </si>
  <si>
    <t>Health Department</t>
  </si>
  <si>
    <t>TOTAL</t>
  </si>
  <si>
    <t>REVENUE DESCRIPTION</t>
  </si>
  <si>
    <t>Y-T-D</t>
  </si>
  <si>
    <t>REVENUE</t>
  </si>
  <si>
    <t>CURRENT PROPERTY TAXES</t>
  </si>
  <si>
    <t>SUPPLEMENTAL AUTO LIST</t>
  </si>
  <si>
    <t>EXEMPTIONS FOR ELDERLY</t>
  </si>
  <si>
    <t>VETERAN'S ADD'L EXP</t>
  </si>
  <si>
    <t>INT CURRENT PROPERTY TAXES</t>
  </si>
  <si>
    <t>INT PRIOR YEAR'S PROPERTY TAXES</t>
  </si>
  <si>
    <t>TOTAL TAXES</t>
  </si>
  <si>
    <t>TRANSFERS FROM OTHER FUNDS</t>
  </si>
  <si>
    <t>TRANSFER-WATER FUND-SERVICE</t>
  </si>
  <si>
    <t>TRANSFER-SEWER FUND SERVICE CHARGE</t>
  </si>
  <si>
    <t>PAYMENTS BY OTHER JURISDICTIONS</t>
  </si>
  <si>
    <t>INDUSTRIAL INCENTIVE PROGRAM</t>
  </si>
  <si>
    <t>PILOT-STATE OWNED PROPERTIES</t>
  </si>
  <si>
    <t>PILOT-PRIVATE TAX EXEMPT PROPERTY</t>
  </si>
  <si>
    <t>MANUFACTURING EQUIPMENT INCENTIVE</t>
  </si>
  <si>
    <t>PEQUOT - STATE PROPERTIES</t>
  </si>
  <si>
    <t>TOTAL FROM OTHER JURISDICTIONS</t>
  </si>
  <si>
    <t>EMPLOYEES-FRINGE BENEFIT CONTR.</t>
  </si>
  <si>
    <t>INCOME FROM INVESTMENTS</t>
  </si>
  <si>
    <t>MISCELLANEOUS</t>
  </si>
  <si>
    <t>PROCEEDS-OFF TRACK REVENUE</t>
  </si>
  <si>
    <t>RETURN FEES</t>
  </si>
  <si>
    <t>TELEPHONE ACCESS LINES</t>
  </si>
  <si>
    <t>WATER FUND-FRINGE BENEFITS</t>
  </si>
  <si>
    <t>SEWER FUND-FRINGE BENEFITS</t>
  </si>
  <si>
    <t>LEGAL DEPARTMENT</t>
  </si>
  <si>
    <t>DEED RECORDING FEES</t>
  </si>
  <si>
    <t>REAL ESTATE CONVEYANCE</t>
  </si>
  <si>
    <t>DOG LICENSES</t>
  </si>
  <si>
    <t>HUNTING AND ANGLING</t>
  </si>
  <si>
    <t>REFUSE DISPOSAL CHARGE</t>
  </si>
  <si>
    <t>HEATING ETC. PERMITS</t>
  </si>
  <si>
    <t>PLUMBING PERMITS</t>
  </si>
  <si>
    <t>SEWER PERMITS</t>
  </si>
  <si>
    <t>STATE-BUILDING FEE</t>
  </si>
  <si>
    <t>BURIAL AND TRANSIT PERMITS</t>
  </si>
  <si>
    <t>PRIVATE SEWAGE DISPOSAL</t>
  </si>
  <si>
    <t>TEMP FOOD PERMITS</t>
  </si>
  <si>
    <t>OTHER TOWNS-VITAL STATISTICS</t>
  </si>
  <si>
    <t>REIMBURSEMENT FROM OTHER TOWNS</t>
  </si>
  <si>
    <t>NON-PUBLIC SCHOOL SERVICE (NURSES)</t>
  </si>
  <si>
    <t>TOTAL GENERAL FUND REVENUE</t>
  </si>
  <si>
    <t>PROJECTED</t>
  </si>
  <si>
    <t>AT YEAR-END</t>
  </si>
  <si>
    <t>BUDGETED</t>
  </si>
  <si>
    <t xml:space="preserve">TOTAL LEGAL DEPARTMENT </t>
  </si>
  <si>
    <t>TOTAL POLICE DEPT.</t>
  </si>
  <si>
    <t xml:space="preserve">TOTAL FIRE DEPARTMENT </t>
  </si>
  <si>
    <t>TOTAL DEPARTMENT  OF HEALTH</t>
  </si>
  <si>
    <t>CIVIL PREPAREDNESS-MATCHING FUNDS</t>
  </si>
  <si>
    <t>SCHOOL TRANSPORTATION - NON PUBLIC</t>
  </si>
  <si>
    <t xml:space="preserve">Community Participation </t>
  </si>
  <si>
    <t>GENERAL GOVERNMENT</t>
  </si>
  <si>
    <t xml:space="preserve">SUBTOTAL </t>
  </si>
  <si>
    <t>SUBTOTAL</t>
  </si>
  <si>
    <t>FINANCE</t>
  </si>
  <si>
    <t>PUBLIC SAFETY</t>
  </si>
  <si>
    <t>DEPT OF PUBLIC WORKS</t>
  </si>
  <si>
    <t>HUMAN SERVICES</t>
  </si>
  <si>
    <t xml:space="preserve">EDUCATION </t>
  </si>
  <si>
    <t>OPERATING CHARGES</t>
  </si>
  <si>
    <t xml:space="preserve">General Government </t>
  </si>
  <si>
    <t>Planning &amp; Development</t>
  </si>
  <si>
    <t>Finance</t>
  </si>
  <si>
    <t>Public Safety</t>
  </si>
  <si>
    <t xml:space="preserve"> Approved</t>
  </si>
  <si>
    <t>Approved</t>
  </si>
  <si>
    <t>STORAGE-LIQUID INFLAMMABLES</t>
  </si>
  <si>
    <t>DEPARTMENT CHARGES</t>
  </si>
  <si>
    <t>FINANCE DEPT- OTHER REVENUE</t>
  </si>
  <si>
    <t>TOTAL FINANCE OTHER REVENUE</t>
  </si>
  <si>
    <t>Finance Dept.--Other</t>
  </si>
  <si>
    <t>PRIOR YEAR PROPERTY TAXES*</t>
  </si>
  <si>
    <t>TOTAL GENERAL FUND</t>
  </si>
  <si>
    <t>PLANNING &amp; DEVELOPMENT</t>
  </si>
  <si>
    <t>Year to Date</t>
  </si>
  <si>
    <t xml:space="preserve">EXPENDITURE PROJECTION SUMMARY </t>
  </si>
  <si>
    <t>Unaudited</t>
  </si>
  <si>
    <t>BUDGETARY</t>
  </si>
  <si>
    <t>DIFFERENCE</t>
  </si>
  <si>
    <t>Total Cost</t>
  </si>
  <si>
    <t>Budgeted Amount</t>
  </si>
  <si>
    <t>Budgetary Diff.</t>
  </si>
  <si>
    <t>BUDGET</t>
  </si>
  <si>
    <t>PILOT-HOUSING AUTHORITY PROPERTIES</t>
  </si>
  <si>
    <t xml:space="preserve"> </t>
  </si>
  <si>
    <t>BUILDING PERMITS</t>
  </si>
  <si>
    <t>48 DEPARTMENT OF PUBLIC WORKS</t>
  </si>
  <si>
    <t>USE OF FUND BALANCE</t>
  </si>
  <si>
    <t>SURFACE PARKING LOTS</t>
  </si>
  <si>
    <t>ON STREET PARKING METERS</t>
  </si>
  <si>
    <t>HAZ-MAT BILLING</t>
  </si>
  <si>
    <t>FIRE MARSHALL PERMITS</t>
  </si>
  <si>
    <t>FALSE ALARM FINES</t>
  </si>
  <si>
    <t>MISC. LICENSES AND PERMITS</t>
  </si>
  <si>
    <t>Dept. of Public Works</t>
  </si>
  <si>
    <t>PROJECTIONS</t>
  </si>
  <si>
    <t>Revenues</t>
  </si>
  <si>
    <t>Positions Filled</t>
  </si>
  <si>
    <t>FT Positions Budgeted</t>
  </si>
  <si>
    <t>Last Year's Average Weekly OT</t>
  </si>
  <si>
    <t>Vacancies</t>
  </si>
  <si>
    <t>FY 03/04</t>
  </si>
  <si>
    <t>PP Posted</t>
  </si>
  <si>
    <t>TOTAL PUBLIC WORKS DEPT.</t>
  </si>
  <si>
    <t>INSURANCE CARRIER REFUND</t>
  </si>
  <si>
    <t xml:space="preserve">    WEEKLY OVERTIME COSTS </t>
  </si>
  <si>
    <t>Report Summary</t>
  </si>
  <si>
    <t xml:space="preserve">    </t>
  </si>
  <si>
    <t>Actual</t>
  </si>
  <si>
    <t>YTD &amp; Proj</t>
  </si>
  <si>
    <t>Month</t>
  </si>
  <si>
    <t>August</t>
  </si>
  <si>
    <t xml:space="preserve">    % of Budget</t>
  </si>
  <si>
    <t xml:space="preserve">    % of Levy</t>
  </si>
  <si>
    <t>N.A.</t>
  </si>
  <si>
    <t xml:space="preserve">      % of Budget</t>
  </si>
  <si>
    <t xml:space="preserve">      % of Levy</t>
  </si>
  <si>
    <t>Levy in Budget</t>
  </si>
  <si>
    <t>Budget Collect %</t>
  </si>
  <si>
    <t>Mill Rate</t>
  </si>
  <si>
    <t>Italics=Projected</t>
  </si>
  <si>
    <t>Public Works Bureau Detail</t>
  </si>
  <si>
    <t>FORENSIC FEES</t>
  </si>
  <si>
    <t>TOTAL GENERAL FUND EXP.</t>
  </si>
  <si>
    <t>FY 04/05</t>
  </si>
  <si>
    <t>Purch. Property Services (540's)</t>
  </si>
  <si>
    <t>Purch. Other Services (550's)</t>
  </si>
  <si>
    <t>Supplies (560's)</t>
  </si>
  <si>
    <t>Other Objects(580's)</t>
  </si>
  <si>
    <t>Property (570's)</t>
  </si>
  <si>
    <t>Employee Benefits (520's)</t>
  </si>
  <si>
    <t>Purchased Prof. Services (530's)</t>
  </si>
  <si>
    <t>Other Objects (580's)</t>
  </si>
  <si>
    <t>601 HEALTH DEPARTMENT</t>
  </si>
  <si>
    <t>1001 DEBT AND SUNDRY</t>
  </si>
  <si>
    <t>YTD Expenditures includes # of biweekly pay periods</t>
  </si>
  <si>
    <t>Biweekly Pay periods to pay thru year end</t>
  </si>
  <si>
    <t>YTD Expenditures includes # of weekly pay periods</t>
  </si>
  <si>
    <t>Weekly Pay periods to pay thru year end</t>
  </si>
  <si>
    <t>ZONING APPEALS FEES</t>
  </si>
  <si>
    <t>ZONING FEES SURCHARGE</t>
  </si>
  <si>
    <t>Transfers (590's)</t>
  </si>
  <si>
    <t>Property Insurance</t>
  </si>
  <si>
    <t>Taxes to Other Towns</t>
  </si>
  <si>
    <t xml:space="preserve">Transfers to Debt Service </t>
  </si>
  <si>
    <t>Transfer to Vehicle Replacement Fund</t>
  </si>
  <si>
    <t>Transfers to Capital Improvement Funds</t>
  </si>
  <si>
    <t>Budgeted</t>
  </si>
  <si>
    <t>Vacant</t>
  </si>
  <si>
    <t>Department</t>
  </si>
  <si>
    <t xml:space="preserve">Full Time Position Count </t>
  </si>
  <si>
    <t>Registrar of Voters</t>
  </si>
  <si>
    <t>Dept. of Finance</t>
  </si>
  <si>
    <t>Dept. of Assessment</t>
  </si>
  <si>
    <t>Dept. of Purchasing</t>
  </si>
  <si>
    <t>Dept. of Information Technology</t>
  </si>
  <si>
    <t xml:space="preserve">   Office of the Director</t>
  </si>
  <si>
    <t xml:space="preserve">   Bureau of Engineering</t>
  </si>
  <si>
    <t xml:space="preserve">   Bureau of Public Buildings</t>
  </si>
  <si>
    <t xml:space="preserve">   Bureau of Refuse Collection</t>
  </si>
  <si>
    <t xml:space="preserve">   Bureau of Streets</t>
  </si>
  <si>
    <t xml:space="preserve">   Central Vehicle Maintenance</t>
  </si>
  <si>
    <t xml:space="preserve">   Bureau of Parks</t>
  </si>
  <si>
    <t>Total Non-Ed Departments</t>
  </si>
  <si>
    <t>Filled*</t>
  </si>
  <si>
    <t>Collections</t>
  </si>
  <si>
    <t>Audited</t>
  </si>
  <si>
    <t>Department wide payroll</t>
  </si>
  <si>
    <t>Current Year Weekly Average Overtime</t>
  </si>
  <si>
    <t>TAX COLLECTOR - TAXES</t>
  </si>
  <si>
    <t>TOTAL FINANCE DEPT.  REVENUE</t>
  </si>
  <si>
    <t>DEED TRANSFER FEES</t>
  </si>
  <si>
    <t>VITAL STATISTICS FEES</t>
  </si>
  <si>
    <t>MARRIAGE LICENSES</t>
  </si>
  <si>
    <t>DEPARTMENT CHARGES (PHOTOSTAT)</t>
  </si>
  <si>
    <t>RECORD COPY FEES</t>
  </si>
  <si>
    <t>STATE  GRANT - OTHER</t>
  </si>
  <si>
    <t>DOG POUND FEES</t>
  </si>
  <si>
    <t>FALSE ALARMS FINES</t>
  </si>
  <si>
    <t>PARKING VIOLATION FEES</t>
  </si>
  <si>
    <t>LOCAL AID GRANT</t>
  </si>
  <si>
    <t>STORAGE-EXPLOSIVES PERMITS</t>
  </si>
  <si>
    <t>EVICTION FEES</t>
  </si>
  <si>
    <t>PHOTOCOPIES</t>
  </si>
  <si>
    <t>DEMOLITION PERMITS</t>
  </si>
  <si>
    <t>ELECTRICAL WORK PERMITS</t>
  </si>
  <si>
    <t>OCCUPANCY PERMITS</t>
  </si>
  <si>
    <t>STREET SIGN FEES</t>
  </si>
  <si>
    <t>RESTAURANT LICENSE PERMITS</t>
  </si>
  <si>
    <t>ROOMING HOUSE PERMITS</t>
  </si>
  <si>
    <t>PUBLIC POOLS PERMITS</t>
  </si>
  <si>
    <t>EDUCATION EQUALIZATION GRANT (ECS)</t>
  </si>
  <si>
    <t>BOARD OF BLIND SERVICES GRANT</t>
  </si>
  <si>
    <t>SPECIAL EDUCATION - MEDICAID GRANT</t>
  </si>
  <si>
    <t>STATE GRANT - OTHER</t>
  </si>
  <si>
    <t>RECREATIONAL PROGRAM  FEES</t>
  </si>
  <si>
    <t>4070002 DEPARTMENT OF PUBLIC BUILDINGS</t>
  </si>
  <si>
    <t>4100001 CENTRAL VEHICLE MAINTENANCE</t>
  </si>
  <si>
    <t>4100002 REFUSE COLLECTION</t>
  </si>
  <si>
    <t>4100003 STREET DEPARTMENT</t>
  </si>
  <si>
    <t>4010001 OFFICE OF DIRECTOR OF PUBLIC WORKS</t>
  </si>
  <si>
    <t>4040001 DEPARTMENT OF ENGINEERING</t>
  </si>
  <si>
    <t>4070001 PARKS DEPARTMENT</t>
  </si>
  <si>
    <t>1190001 REGISTAR OF VOTERS</t>
  </si>
  <si>
    <t>1070001 LEGAL DEPARTMENT</t>
  </si>
  <si>
    <t>2010001 DEPARTMENT OF FINANCE</t>
  </si>
  <si>
    <t>2040001 DEPARTMENT OF ASSESSMENT</t>
  </si>
  <si>
    <t>2100001   DEPARTMENT OF PURCHASING</t>
  </si>
  <si>
    <t>2220001   DEPT. OF INFORMATION TECHNOLOGY</t>
  </si>
  <si>
    <t>3010001 POLICE DEPARTMENT</t>
  </si>
  <si>
    <t>3100001 FIRE DEPARTMENT</t>
  </si>
  <si>
    <t>PILOT-VESSELS/BOAT</t>
  </si>
  <si>
    <t>RENTAL FEES OF PUBLIC BUILDINGS</t>
  </si>
  <si>
    <t>LEGAL CLAIMS</t>
  </si>
  <si>
    <t>Adopted</t>
  </si>
  <si>
    <t>FY 05/06</t>
  </si>
  <si>
    <t>Personal Services-Early Incentive</t>
  </si>
  <si>
    <t>Summer Temps</t>
  </si>
  <si>
    <t>Winter Temps</t>
  </si>
  <si>
    <t xml:space="preserve">Personal Services-Overtime </t>
  </si>
  <si>
    <t xml:space="preserve">                         Current Year Taxes</t>
  </si>
  <si>
    <t xml:space="preserve">                         Prior Year Taxes</t>
  </si>
  <si>
    <t xml:space="preserve">                      Supplemental MV </t>
  </si>
  <si>
    <t xml:space="preserve">                           Interest Current Year Tx </t>
  </si>
  <si>
    <t xml:space="preserve">                          Interest Prior Year Taxes</t>
  </si>
  <si>
    <t>Police Overtime</t>
  </si>
  <si>
    <t xml:space="preserve">Current fiscal year weekly OT average </t>
  </si>
  <si>
    <t>REFUNDS RECEIVED</t>
  </si>
  <si>
    <t>LEAF BAG / RECYCLING REVENUE</t>
  </si>
  <si>
    <t>SPEC ED-AG. EQUITY REVENUE</t>
  </si>
  <si>
    <t>Transfer to Special Revenue Fund</t>
  </si>
  <si>
    <t>FY 06/07</t>
  </si>
  <si>
    <t>FY07</t>
  </si>
  <si>
    <t xml:space="preserve">REVENUE PROJECTION SUMMARY </t>
  </si>
  <si>
    <t xml:space="preserve">    Sub-Total Proj.</t>
  </si>
  <si>
    <t xml:space="preserve">     Total Year-End</t>
  </si>
  <si>
    <t xml:space="preserve">  Sub-Total Collctn</t>
  </si>
  <si>
    <t>CITY PLAN COMM. FEES</t>
  </si>
  <si>
    <t>Contingency</t>
  </si>
  <si>
    <t>Salary Adjustment/Restructuring</t>
  </si>
  <si>
    <t>6/30/07</t>
  </si>
  <si>
    <t>FY07 Actual</t>
  </si>
  <si>
    <t>FY08</t>
  </si>
  <si>
    <t>FY 07/08</t>
  </si>
  <si>
    <t>Grant Credits/Adjstmnts</t>
  </si>
  <si>
    <t>FY 07-08</t>
  </si>
  <si>
    <t>60 day entry FY07</t>
  </si>
  <si>
    <t>FINGERPRINTING FEES</t>
  </si>
  <si>
    <t>SALES OF CODE BOOKS</t>
  </si>
  <si>
    <t>ZONING CERT. OF COMPLIANCE</t>
  </si>
  <si>
    <t>ZONING COMM. FEES</t>
  </si>
  <si>
    <t>ZONING BOARD OF APPLEALS FEES</t>
  </si>
  <si>
    <t>INLAND WETLAND FEES</t>
  </si>
  <si>
    <t xml:space="preserve">Prior fiscal year weekly OT average </t>
  </si>
  <si>
    <t>Total DPW</t>
  </si>
  <si>
    <t>Dept of Public Works</t>
  </si>
  <si>
    <t>DPW Breakdown</t>
  </si>
  <si>
    <t xml:space="preserve">Group Life Insurance </t>
  </si>
  <si>
    <t xml:space="preserve">Unemployment Compensation </t>
  </si>
  <si>
    <t xml:space="preserve">Heart and Hypertension </t>
  </si>
  <si>
    <t xml:space="preserve">Contractual Services </t>
  </si>
  <si>
    <t xml:space="preserve">Auditing </t>
  </si>
  <si>
    <t xml:space="preserve">General Liability </t>
  </si>
  <si>
    <t xml:space="preserve">Worker's Compensation </t>
  </si>
  <si>
    <t>Includes projection for filling of existing vacancies - $0</t>
  </si>
  <si>
    <t>Purch. Professional Services (530's)</t>
  </si>
  <si>
    <t>Printing &amp; Binding</t>
  </si>
  <si>
    <t>FLU VACCINES</t>
  </si>
  <si>
    <t>FY08 Actual</t>
  </si>
  <si>
    <t>FY09 APPROVED BUDGET</t>
  </si>
  <si>
    <t>FY09</t>
  </si>
  <si>
    <t>6/30/08</t>
  </si>
  <si>
    <t>FY 08-09</t>
  </si>
  <si>
    <t>PROPERTY TAX COLLECTIONS FY08 AND FY09</t>
  </si>
  <si>
    <t>FY 08/09</t>
  </si>
  <si>
    <t>ANIMAL STERILIZATION FEES</t>
  </si>
  <si>
    <t>60 day FY08</t>
  </si>
  <si>
    <t xml:space="preserve">ER FICA Costs </t>
  </si>
  <si>
    <t xml:space="preserve">ER Medicare Costs </t>
  </si>
  <si>
    <t>ER 401(A) Match</t>
  </si>
  <si>
    <t>* Amount of $1.24 million collected in July and August 2008 is posted to prior year per GAAP principles (same will occur in July &amp; August of 09)</t>
  </si>
  <si>
    <t xml:space="preserve">  FY09  - GENERAL FUND</t>
  </si>
  <si>
    <t>Adj. Overpayments</t>
  </si>
  <si>
    <t>Adj. (3rd parties)</t>
  </si>
  <si>
    <t>Estimates</t>
  </si>
  <si>
    <t>Employees hired as recruits for police academy class were included starting with weekly payroll as of 11/25/08</t>
  </si>
  <si>
    <t xml:space="preserve">* Amount of $1.1 million to be collected in July and August 2009 is deemed to belong to current year per GAAP principles </t>
  </si>
  <si>
    <t>Average of last 12 weeks worked</t>
  </si>
  <si>
    <t xml:space="preserve">Bi-Weekly Part-Time posted </t>
  </si>
  <si>
    <t>Employees hired as recruits for fire academy class were included starting with weekly payroll as of 2/5/09</t>
  </si>
  <si>
    <t>Seasonal Wages posted 4/8/09</t>
  </si>
  <si>
    <t>Payroll Projections include 4 day accrual of: $5,000</t>
  </si>
  <si>
    <t>Payroll Projections include 4 day accrual of: $6,700</t>
  </si>
  <si>
    <t xml:space="preserve">           Projections as of April 30, 2009</t>
  </si>
  <si>
    <t>As of 4/30/09</t>
  </si>
  <si>
    <t>2 months</t>
  </si>
  <si>
    <t>MONTHLY PROPERTY TAX COLLECTION AND PROJECTION REPORT: THROUGH APRIL 30, 2009</t>
  </si>
  <si>
    <t>Bi-Weekly PP posted 5/22/09</t>
  </si>
  <si>
    <t>Bi-Weekly Temps posted 5/22/09</t>
  </si>
  <si>
    <t>Weekly PP posted 5/22/09</t>
  </si>
  <si>
    <t>Library</t>
  </si>
  <si>
    <t>Tax Collector - Taxes</t>
  </si>
  <si>
    <t>Human Services (Health/Library)</t>
  </si>
  <si>
    <t>HEALTH DEPARTMENT</t>
  </si>
  <si>
    <t>BOARD OF EDUCATION</t>
  </si>
  <si>
    <t>DEBT AND SUNDRY</t>
  </si>
  <si>
    <t>GOLF COURSES  FUND FRINGES</t>
  </si>
  <si>
    <t>REFUNDS</t>
  </si>
  <si>
    <t xml:space="preserve">POLICE DEPARTMENT </t>
  </si>
  <si>
    <t>PARKING GARAGES</t>
  </si>
  <si>
    <t>PUBLIC WORKS DEPARTMENT (including Recreation)</t>
  </si>
  <si>
    <t xml:space="preserve">DEPARTMENT OF HEALTH </t>
  </si>
  <si>
    <t>Dept. of Personnel</t>
  </si>
  <si>
    <t xml:space="preserve">   Bureau of Recreation</t>
  </si>
  <si>
    <t xml:space="preserve">  Transfer Station</t>
  </si>
  <si>
    <t>Schedule 1</t>
  </si>
  <si>
    <t>Schedule 2</t>
  </si>
  <si>
    <t>Schedule 3</t>
  </si>
  <si>
    <t>Schedule 4</t>
  </si>
  <si>
    <t>Schedule 5</t>
  </si>
  <si>
    <t>Schedule 6</t>
  </si>
  <si>
    <t>Schedule 6a</t>
  </si>
  <si>
    <t>Schedules</t>
  </si>
  <si>
    <t>Table of Contents</t>
  </si>
  <si>
    <t>Appendix 1</t>
  </si>
  <si>
    <t>Appendix 2</t>
  </si>
  <si>
    <t>TOWN/CITY OF XXXXXXXXXX</t>
  </si>
  <si>
    <t xml:space="preserve">    Prior Years Comparables    </t>
  </si>
  <si>
    <t xml:space="preserve">Operating Charges (e.g., employee </t>
  </si>
  <si>
    <t>benefits, debt service, contingency)</t>
  </si>
  <si>
    <t>PERSONNEL DEPT</t>
  </si>
  <si>
    <t>REGISTAR OF VOTERS</t>
  </si>
  <si>
    <t>DEPARTMENT OF FINANCE</t>
  </si>
  <si>
    <t>ASSESSMENT</t>
  </si>
  <si>
    <t>TAX COLLECTOR</t>
  </si>
  <si>
    <t>PURCHASING DEPT</t>
  </si>
  <si>
    <t>INFORMATION SERVICES</t>
  </si>
  <si>
    <t>POLICE DEPARTMENT</t>
  </si>
  <si>
    <t>FIRE DEPARTMENT</t>
  </si>
  <si>
    <t>DEPT. OF PUBLIC WORKS</t>
  </si>
  <si>
    <t>Dept.</t>
  </si>
  <si>
    <t>Number</t>
  </si>
  <si>
    <t xml:space="preserve">Purchased Prof. Services </t>
  </si>
  <si>
    <t xml:space="preserve">Purch. Other Services </t>
  </si>
  <si>
    <t xml:space="preserve">Other Objects </t>
  </si>
  <si>
    <t xml:space="preserve">Other Uses </t>
  </si>
  <si>
    <t xml:space="preserve">Employee Benefits </t>
  </si>
  <si>
    <t>Expenditures: Department Detail</t>
  </si>
  <si>
    <t>Page</t>
  </si>
  <si>
    <t>1160003 DEPARTMENT OF PERSONNEL</t>
  </si>
  <si>
    <t>2070001 DEPARTMENT OF TAX COLLECTION</t>
  </si>
  <si>
    <t>7010001    LIBRARY</t>
  </si>
  <si>
    <t>PENSION FUND</t>
  </si>
  <si>
    <t>PUBLIC WORKS DEPARTMENT  SUMMARY  PAGE</t>
  </si>
  <si>
    <t>4100004   Transfer Station</t>
  </si>
  <si>
    <t>4070003 BUREAU OF RECREATION</t>
  </si>
  <si>
    <t xml:space="preserve">FY 09 </t>
  </si>
  <si>
    <t>Pay</t>
  </si>
  <si>
    <t>Period</t>
  </si>
  <si>
    <t>General Fund Non-Education Position Count</t>
  </si>
  <si>
    <t>STATUS OF GENERAL GOVERNMENT NON-EDUCATION FULL TIME POSITIONS</t>
  </si>
  <si>
    <t>Town/City Of XXXXXX</t>
  </si>
  <si>
    <t>Account #</t>
  </si>
  <si>
    <t xml:space="preserve">FIRE DEPARTMENT </t>
  </si>
  <si>
    <t>Payroll Projections include 4 day accrual of: $2,333</t>
  </si>
  <si>
    <t>Payroll Projections include 4 day accrual of: $4,767</t>
  </si>
  <si>
    <t>Payroll Projections include 4 day accrual of: $2,000</t>
  </si>
  <si>
    <t>Payroll Projections include 4 day accrual of: $3,300</t>
  </si>
  <si>
    <t>Payroll Projections include 4 day accrual of: $1,200</t>
  </si>
  <si>
    <t>Payroll Projections include 4 day accrual of: $4,000</t>
  </si>
  <si>
    <t>Payroll Projections include 4 day accrual of: $1,100</t>
  </si>
  <si>
    <t>Payroll Projections include 4 day accrual of: $900</t>
  </si>
  <si>
    <t>Payroll Projections include 4 day accrual of: $3,400</t>
  </si>
  <si>
    <t>(assume $1,000 more than average for remaining weeks)</t>
  </si>
  <si>
    <t>Payroll Projections include 4 day accrual of: $120,000</t>
  </si>
  <si>
    <t>Payroll Projections include 4 day accrual of: $30,000</t>
  </si>
  <si>
    <t>Payroll Projections include 4 day accrual of: $1,500</t>
  </si>
  <si>
    <t>Payroll Projections include 4 day accrual of: $3,500</t>
  </si>
  <si>
    <t>Payroll Projections include 4 day accrual of: $7,000</t>
  </si>
  <si>
    <t>Payroll Projections include 4 day accrual of: $6,000</t>
  </si>
  <si>
    <t>Payroll Projections include 4 day accrual of: $2,200</t>
  </si>
  <si>
    <t>Payroll Projections include 4 day accrual of: $11,000</t>
  </si>
  <si>
    <t>Payroll Projections include 4 day accrual of: $5,300</t>
  </si>
  <si>
    <t>Payroll Projections include 4day accrual of: $4,300</t>
  </si>
  <si>
    <t>FY09 Adopted Budget vs. Filled</t>
  </si>
  <si>
    <t>Accounting Unit #</t>
  </si>
  <si>
    <t>Fund Activity - FY09</t>
  </si>
  <si>
    <t>Projected FY09</t>
  </si>
  <si>
    <t>Revenue</t>
  </si>
  <si>
    <t xml:space="preserve">Dividend Income </t>
  </si>
  <si>
    <t xml:space="preserve">Realized/Unrealized Gains </t>
  </si>
  <si>
    <t xml:space="preserve">Education Payroll Co-shares </t>
  </si>
  <si>
    <t xml:space="preserve">Non-Education Payroll </t>
  </si>
  <si>
    <t xml:space="preserve">Retiree Co-shares </t>
  </si>
  <si>
    <t xml:space="preserve">Cobra Payments </t>
  </si>
  <si>
    <t xml:space="preserve">Edu Grants Payroll - Co-shares </t>
  </si>
  <si>
    <t xml:space="preserve">Medicare Part D Subsidy </t>
  </si>
  <si>
    <t xml:space="preserve">Insurance Carrier Refunds </t>
  </si>
  <si>
    <t xml:space="preserve">Misc. Other Revenue </t>
  </si>
  <si>
    <t>General Fund Contribution</t>
  </si>
  <si>
    <t xml:space="preserve">Water Contribution </t>
  </si>
  <si>
    <t xml:space="preserve">WPCF Contribution </t>
  </si>
  <si>
    <t>Use of Fund Balance</t>
  </si>
  <si>
    <t>Total Revenues</t>
  </si>
  <si>
    <t xml:space="preserve"> Payments made by Fund</t>
  </si>
  <si>
    <t xml:space="preserve">Admin Expenditures </t>
  </si>
  <si>
    <t xml:space="preserve">Medicare Supplement Retirees </t>
  </si>
  <si>
    <t>Total Claim &amp; Admin Expenses</t>
  </si>
  <si>
    <t xml:space="preserve">Broker Fees </t>
  </si>
  <si>
    <t xml:space="preserve">Investment Services </t>
  </si>
  <si>
    <t xml:space="preserve">Professional Services </t>
  </si>
  <si>
    <t>Change in IBNR</t>
  </si>
  <si>
    <t xml:space="preserve">Contibution to OPEB </t>
  </si>
  <si>
    <t xml:space="preserve">Fund Activity </t>
  </si>
  <si>
    <t>FY07 Actuals</t>
  </si>
  <si>
    <t>FY08 Actuals</t>
  </si>
  <si>
    <t xml:space="preserve">                  Total Net Assets as of June 30, 2007</t>
  </si>
  <si>
    <t xml:space="preserve">                  Projected Net Assets as of June 30, 2008</t>
  </si>
  <si>
    <t>Total Payments</t>
  </si>
  <si>
    <t>Difference: Revenues and Total Payments</t>
  </si>
  <si>
    <t>Appendix 3</t>
  </si>
  <si>
    <t>Appendix 4</t>
  </si>
  <si>
    <t>Appendices</t>
  </si>
  <si>
    <t>Projected Results of Operation</t>
  </si>
  <si>
    <t xml:space="preserve">    PriorComparables    </t>
  </si>
  <si>
    <t>Appendix 5</t>
  </si>
  <si>
    <t>Tax Collection Projections</t>
  </si>
  <si>
    <t>TOWN/CITY OF XXXXXXXX  FY09</t>
  </si>
  <si>
    <t>TOWN/CITY OF XXXXXXXXX  FY09</t>
  </si>
  <si>
    <t>Schedule 6: Department Expenditure Detail</t>
  </si>
  <si>
    <t>Includes projection for filling of existing vacancies: $3,333</t>
  </si>
  <si>
    <t>Includes projection for filling of existing vacancies: $0</t>
  </si>
  <si>
    <t>Includes projection for filling of existing vacancies: $3,200</t>
  </si>
  <si>
    <t>Includes Workers Compensation credit of: ($30,000)</t>
  </si>
  <si>
    <t>Includes projection for filling of existing vacancies: $0*</t>
  </si>
  <si>
    <t>Includes Workers Compensation credit of : ($30,000)</t>
  </si>
  <si>
    <t>See Schedule 6a for detail by division</t>
  </si>
  <si>
    <t>Includes projection for filling of existing vacancies: $2,000</t>
  </si>
  <si>
    <t>Includes projection for filling of existing vacancies: $1,000</t>
  </si>
  <si>
    <t xml:space="preserve">Employee and Retiree Health Insurance </t>
  </si>
  <si>
    <t>Transfer: Economic Development Agency</t>
  </si>
  <si>
    <t>Includes projection for filling of existing vacancies: $3,300</t>
  </si>
  <si>
    <t>Includes projection for filling of existing vacancies: $10,000</t>
  </si>
  <si>
    <t>Includes projection for filling of existing vacancies: $1,600</t>
  </si>
  <si>
    <t>TOWN/CITY OF XXXXXXX   FY09</t>
  </si>
  <si>
    <t>DEPARTMENT--TOTAL FOR ALL DIVISIONS</t>
  </si>
  <si>
    <t xml:space="preserve">     Revenue and Expenditure Summaries</t>
  </si>
  <si>
    <t xml:space="preserve">    Revenue and Expenditure Details</t>
  </si>
  <si>
    <t xml:space="preserve"> Schedule 6a</t>
  </si>
  <si>
    <t>TOTAL GEN FUND BUDGET</t>
  </si>
  <si>
    <t>Expenditure Summary - By Department</t>
  </si>
  <si>
    <t xml:space="preserve">State Teacher Retiree Payments </t>
  </si>
  <si>
    <t>EMPLOYEE AND RETIREE HEALTH BENEFIT INTERNAL SERVICE FUND</t>
  </si>
  <si>
    <t xml:space="preserve">                      TOWN/CITY OF XXXXXXXXXX'S HEALTH BENEFIT INTERNAL SERVICE FUND FY09</t>
  </si>
  <si>
    <t>Employee and Retiree Health Benefit Internal Service Fund</t>
  </si>
  <si>
    <t>Report Overview and Discussion</t>
  </si>
  <si>
    <t>i</t>
  </si>
  <si>
    <t>Payroll Projections include 4 day accrual of: $1,000</t>
  </si>
  <si>
    <t>Adjustments</t>
  </si>
  <si>
    <t>Proj May</t>
  </si>
  <si>
    <t>Proj June</t>
  </si>
  <si>
    <t>Prescription Claims</t>
  </si>
  <si>
    <t>Health Insurance Claims</t>
  </si>
  <si>
    <t>SPEC EDPLACEMENTS &amp; EXCESS COST</t>
  </si>
  <si>
    <t>GRANT ABATEMENT ELDERLY HOUSING</t>
  </si>
  <si>
    <t>PROBATE COURT</t>
  </si>
  <si>
    <t xml:space="preserve">BOARD OF EDUCATION </t>
  </si>
  <si>
    <t>1030001 LEGISLATIVE BODY</t>
  </si>
  <si>
    <t>1010001 MAYOR/FIRST SELECTMAN/TOWN MANAGER</t>
  </si>
  <si>
    <t xml:space="preserve">              (Account line-item numbers (e.g., 100, 101) and groupings (e.g., 530's, 540's) are provided as examples only)</t>
  </si>
  <si>
    <t>5010001 PLANNING &amp; ZONING</t>
  </si>
  <si>
    <t>800  BOARD OF EDUCATION</t>
  </si>
  <si>
    <t>1130001 CITY/TOWN CLERK</t>
  </si>
  <si>
    <t>2190001 MANAGEMENT AND BUDGET</t>
  </si>
  <si>
    <t>MAYOR/FIRST SELECTMAN</t>
  </si>
  <si>
    <t>LEGISLATIVE BODY</t>
  </si>
  <si>
    <t>CITY/TOWN CLERK</t>
  </si>
  <si>
    <t>MANAGEMENT &amp; BUDGET</t>
  </si>
  <si>
    <t>PLANNING &amp; ZONING</t>
  </si>
  <si>
    <t>BUILDING INSPECTOR</t>
  </si>
  <si>
    <t>5040001 BUILDING INSPECTOR</t>
  </si>
  <si>
    <t>TOTAL BOARD  OF EDUCATION</t>
  </si>
  <si>
    <t>Education Grants</t>
  </si>
  <si>
    <t>Non-PUBLIC SCHOOL SERVICE (NURSES)</t>
  </si>
  <si>
    <t>Non-Education Grants</t>
  </si>
  <si>
    <t>TOTAL BUILDING INSPECTOR</t>
  </si>
  <si>
    <t>City/Town Clerk</t>
  </si>
  <si>
    <t>Board of Education</t>
  </si>
  <si>
    <t>Planning &amp; Zoning</t>
  </si>
  <si>
    <t>Building Inspector</t>
  </si>
  <si>
    <t xml:space="preserve">LIBRARY </t>
  </si>
  <si>
    <t>TOTAL LIBRARY</t>
  </si>
  <si>
    <t>CHARGES/FINES</t>
  </si>
  <si>
    <t>OTHER</t>
  </si>
  <si>
    <t>TOTAL PLANNING &amp; ZONING</t>
  </si>
  <si>
    <t>TOTAL TRANSFERS  OTHER FUNDS</t>
  </si>
  <si>
    <t>Dept. of Tax Collection</t>
  </si>
  <si>
    <t>Management and Budget</t>
  </si>
  <si>
    <t>Planning and Zoning</t>
  </si>
  <si>
    <t>Mayor/First Selectman</t>
  </si>
  <si>
    <t>LIBRARY</t>
  </si>
  <si>
    <t xml:space="preserve">CITY/TOWN CLERK </t>
  </si>
  <si>
    <t>TOTAL CITY/TOWN CLERK</t>
  </si>
  <si>
    <t xml:space="preserve">  </t>
  </si>
  <si>
    <t>Legend for Data Entry Requirements in Schedules:</t>
  </si>
  <si>
    <t>Pre-filled  (white)</t>
  </si>
  <si>
    <t>Calculated by Excel (gray)</t>
  </si>
  <si>
    <t>Once per Year (green)</t>
  </si>
  <si>
    <t>Data Entry Monthly (yellow)</t>
  </si>
  <si>
    <t xml:space="preserve">                                                                Legend for Data Entry Requirements in Schedules:</t>
  </si>
  <si>
    <t xml:space="preserve">     Legend</t>
  </si>
  <si>
    <t>Sample B: Monthly Financial Report (Detailed Reporting System)</t>
  </si>
  <si>
    <t>Schedule 5: Revenue Detail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</si>
</sst>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_(&quot;$&quot;* #,##0.0_);_(&quot;$&quot;* \(#,##0.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mmmm\-yy"/>
    <numFmt numFmtId="174" formatCode="mmmm\ yyyy"/>
    <numFmt numFmtId="175" formatCode="&quot;$&quot;#,##0.00"/>
    <numFmt numFmtId="176" formatCode="_(&quot;$&quot;* #,##0.000_);_(&quot;$&quot;* \(#,##0.000\);_(&quot;$&quot;* &quot;-&quot;??_);_(@_)"/>
    <numFmt numFmtId="177" formatCode="&quot;$&quot;#,##0.0_);[Red]\(&quot;$&quot;#,##0.0\)"/>
    <numFmt numFmtId="178" formatCode="m/d/yy"/>
    <numFmt numFmtId="179" formatCode="0_);[Red]\(0\)"/>
    <numFmt numFmtId="180" formatCode="0.0%"/>
    <numFmt numFmtId="181" formatCode="[$-409]dddd\,\ mmmm\ dd\,\ yyyy"/>
    <numFmt numFmtId="182" formatCode="&quot;$&quot;#,##0.00000_);[Red]\(&quot;$&quot;#,##0.00000\)"/>
    <numFmt numFmtId="183" formatCode="0.0000"/>
    <numFmt numFmtId="184" formatCode="0.000"/>
    <numFmt numFmtId="185" formatCode="mmm\-yyyy"/>
    <numFmt numFmtId="186" formatCode="m/d/yy;@"/>
    <numFmt numFmtId="187" formatCode="_(* #,##0.0_);_(* \(#,##0.0\);_(* &quot;-&quot;??_);_(@_)"/>
    <numFmt numFmtId="188" formatCode="_(* #,##0.000_);_(* \(#,##0.000\);_(* &quot;-&quot;??_);_(@_)"/>
    <numFmt numFmtId="189" formatCode="0.00000"/>
    <numFmt numFmtId="190" formatCode="_(* #,##0.0_);_(* \(#,##0.0\);_(* &quot;-&quot;?_);_(@_)"/>
    <numFmt numFmtId="191" formatCode="_(* #,##0_);_(* \(#,##0\);_(* &quot;-&quot;?_);_(@_)"/>
    <numFmt numFmtId="192" formatCode="_(* #,##0.0000000_);_(* \(#,##0.0000000\);_(* &quot;-&quot;???????_);_(@_)"/>
    <numFmt numFmtId="193" formatCode="[$€-2]\ #,##0.00_);[Red]\([$€-2]\ #,##0.00\)"/>
    <numFmt numFmtId="194" formatCode="&quot;$&quot;#,##0.000_);[Red]\(&quot;$&quot;#,##0.000\)"/>
    <numFmt numFmtId="195" formatCode="0.000000"/>
  </numFmts>
  <fonts count="3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26"/>
      <name val="Arial Black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i/>
      <u val="singleAccounting"/>
      <sz val="10"/>
      <name val="Arial"/>
      <family val="2"/>
    </font>
    <font>
      <i/>
      <sz val="14"/>
      <name val="Arial"/>
      <family val="2"/>
    </font>
    <font>
      <b/>
      <sz val="10"/>
      <color indexed="60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1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6" fontId="0" fillId="0" borderId="0" xfId="17" applyNumberFormat="1" applyFont="1" applyBorder="1" applyAlignment="1">
      <alignment/>
    </xf>
    <xf numFmtId="6" fontId="0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7" fillId="0" borderId="0" xfId="0" applyNumberFormat="1" applyFont="1" applyAlignment="1">
      <alignment horizontal="center"/>
    </xf>
    <xf numFmtId="6" fontId="0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10" fontId="0" fillId="0" borderId="0" xfId="21" applyNumberFormat="1" applyAlignment="1">
      <alignment/>
    </xf>
    <xf numFmtId="6" fontId="0" fillId="0" borderId="0" xfId="0" applyNumberFormat="1" applyBorder="1" applyAlignment="1">
      <alignment/>
    </xf>
    <xf numFmtId="6" fontId="7" fillId="0" borderId="0" xfId="0" applyNumberFormat="1" applyFont="1" applyAlignment="1">
      <alignment/>
    </xf>
    <xf numFmtId="6" fontId="0" fillId="0" borderId="0" xfId="17" applyNumberFormat="1" applyAlignment="1">
      <alignment/>
    </xf>
    <xf numFmtId="6" fontId="0" fillId="0" borderId="0" xfId="17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7" applyFont="1" applyAlignment="1">
      <alignment/>
    </xf>
    <xf numFmtId="0" fontId="3" fillId="0" borderId="0" xfId="0" applyFont="1" applyAlignment="1">
      <alignment horizontal="right"/>
    </xf>
    <xf numFmtId="44" fontId="3" fillId="0" borderId="0" xfId="17" applyFont="1" applyAlignment="1">
      <alignment/>
    </xf>
    <xf numFmtId="0" fontId="1" fillId="0" borderId="0" xfId="0" applyFont="1" applyAlignment="1">
      <alignment horizontal="right"/>
    </xf>
    <xf numFmtId="44" fontId="1" fillId="0" borderId="0" xfId="17" applyFont="1" applyAlignment="1">
      <alignment/>
    </xf>
    <xf numFmtId="6" fontId="4" fillId="0" borderId="0" xfId="17" applyNumberFormat="1" applyFont="1" applyBorder="1" applyAlignment="1">
      <alignment horizontal="center"/>
    </xf>
    <xf numFmtId="6" fontId="0" fillId="0" borderId="0" xfId="17" applyNumberFormat="1" applyFont="1" applyFill="1" applyAlignment="1">
      <alignment/>
    </xf>
    <xf numFmtId="6" fontId="0" fillId="0" borderId="0" xfId="17" applyNumberFormat="1" applyFont="1" applyFill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0" fillId="0" borderId="0" xfId="17" applyNumberFormat="1" applyFill="1" applyAlignment="1">
      <alignment/>
    </xf>
    <xf numFmtId="0" fontId="1" fillId="0" borderId="0" xfId="0" applyFont="1" applyBorder="1" applyAlignment="1">
      <alignment/>
    </xf>
    <xf numFmtId="6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8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6" fontId="0" fillId="0" borderId="3" xfId="17" applyNumberFormat="1" applyFont="1" applyFill="1" applyBorder="1" applyAlignment="1">
      <alignment/>
    </xf>
    <xf numFmtId="6" fontId="0" fillId="0" borderId="2" xfId="17" applyNumberFormat="1" applyFont="1" applyFill="1" applyBorder="1" applyAlignment="1">
      <alignment horizontal="right"/>
    </xf>
    <xf numFmtId="6" fontId="0" fillId="0" borderId="4" xfId="17" applyNumberFormat="1" applyFont="1" applyFill="1" applyBorder="1" applyAlignment="1">
      <alignment/>
    </xf>
    <xf numFmtId="6" fontId="0" fillId="0" borderId="5" xfId="17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6" fontId="3" fillId="0" borderId="2" xfId="0" applyNumberFormat="1" applyFont="1" applyBorder="1" applyAlignment="1">
      <alignment/>
    </xf>
    <xf numFmtId="6" fontId="4" fillId="0" borderId="2" xfId="0" applyNumberFormat="1" applyFont="1" applyBorder="1" applyAlignment="1">
      <alignment horizontal="center"/>
    </xf>
    <xf numFmtId="6" fontId="3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6" fontId="4" fillId="0" borderId="0" xfId="0" applyNumberFormat="1" applyFont="1" applyBorder="1" applyAlignment="1">
      <alignment horizontal="center"/>
    </xf>
    <xf numFmtId="6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6" fontId="7" fillId="0" borderId="0" xfId="0" applyNumberFormat="1" applyFont="1" applyBorder="1" applyAlignment="1">
      <alignment horizontal="center"/>
    </xf>
    <xf numFmtId="6" fontId="8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6" fontId="0" fillId="0" borderId="2" xfId="0" applyNumberFormat="1" applyFont="1" applyBorder="1" applyAlignment="1">
      <alignment/>
    </xf>
    <xf numFmtId="6" fontId="0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6" fontId="4" fillId="0" borderId="5" xfId="0" applyNumberFormat="1" applyFont="1" applyBorder="1" applyAlignment="1">
      <alignment horizontal="center"/>
    </xf>
    <xf numFmtId="6" fontId="4" fillId="0" borderId="9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6" fontId="0" fillId="0" borderId="8" xfId="0" applyNumberFormat="1" applyFont="1" applyBorder="1" applyAlignment="1">
      <alignment/>
    </xf>
    <xf numFmtId="6" fontId="8" fillId="0" borderId="4" xfId="0" applyNumberFormat="1" applyFont="1" applyBorder="1" applyAlignment="1">
      <alignment/>
    </xf>
    <xf numFmtId="6" fontId="8" fillId="0" borderId="5" xfId="0" applyNumberFormat="1" applyFont="1" applyBorder="1" applyAlignment="1">
      <alignment horizontal="center"/>
    </xf>
    <xf numFmtId="6" fontId="0" fillId="0" borderId="9" xfId="0" applyNumberFormat="1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0" xfId="17" applyFont="1" applyAlignment="1">
      <alignment/>
    </xf>
    <xf numFmtId="6" fontId="0" fillId="0" borderId="0" xfId="17" applyNumberFormat="1" applyFont="1" applyFill="1" applyBorder="1" applyAlignment="1">
      <alignment horizontal="right"/>
    </xf>
    <xf numFmtId="38" fontId="1" fillId="0" borderId="0" xfId="17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6" fontId="8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6" fontId="4" fillId="0" borderId="0" xfId="17" applyNumberFormat="1" applyFont="1" applyAlignment="1">
      <alignment horizontal="center"/>
    </xf>
    <xf numFmtId="44" fontId="12" fillId="0" borderId="0" xfId="17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6" fontId="1" fillId="0" borderId="0" xfId="0" applyNumberFormat="1" applyFont="1" applyAlignment="1">
      <alignment horizontal="left"/>
    </xf>
    <xf numFmtId="6" fontId="0" fillId="0" borderId="0" xfId="17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6" fontId="7" fillId="0" borderId="0" xfId="17" applyNumberFormat="1" applyFont="1" applyBorder="1" applyAlignment="1">
      <alignment horizontal="center"/>
    </xf>
    <xf numFmtId="6" fontId="7" fillId="0" borderId="0" xfId="17" applyNumberFormat="1" applyFont="1" applyFill="1" applyBorder="1" applyAlignment="1">
      <alignment horizontal="center"/>
    </xf>
    <xf numFmtId="6" fontId="0" fillId="0" borderId="0" xfId="17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6" fontId="0" fillId="0" borderId="12" xfId="17" applyNumberFormat="1" applyFont="1" applyFill="1" applyBorder="1" applyAlignment="1">
      <alignment/>
    </xf>
    <xf numFmtId="6" fontId="0" fillId="0" borderId="12" xfId="17" applyNumberFormat="1" applyFont="1" applyFill="1" applyBorder="1" applyAlignment="1">
      <alignment horizontal="center"/>
    </xf>
    <xf numFmtId="6" fontId="0" fillId="0" borderId="12" xfId="17" applyNumberFormat="1" applyFont="1" applyBorder="1" applyAlignment="1">
      <alignment/>
    </xf>
    <xf numFmtId="6" fontId="0" fillId="0" borderId="13" xfId="17" applyNumberFormat="1" applyFont="1" applyBorder="1" applyAlignment="1">
      <alignment/>
    </xf>
    <xf numFmtId="0" fontId="0" fillId="0" borderId="14" xfId="0" applyFont="1" applyBorder="1" applyAlignment="1">
      <alignment/>
    </xf>
    <xf numFmtId="6" fontId="0" fillId="0" borderId="15" xfId="17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6" fontId="7" fillId="0" borderId="1" xfId="17" applyNumberFormat="1" applyFont="1" applyFill="1" applyBorder="1" applyAlignment="1">
      <alignment horizontal="center"/>
    </xf>
    <xf numFmtId="6" fontId="7" fillId="0" borderId="1" xfId="17" applyNumberFormat="1" applyFont="1" applyBorder="1" applyAlignment="1">
      <alignment horizontal="center"/>
    </xf>
    <xf numFmtId="6" fontId="7" fillId="0" borderId="17" xfId="17" applyNumberFormat="1" applyFont="1" applyBorder="1" applyAlignment="1">
      <alignment horizontal="center"/>
    </xf>
    <xf numFmtId="6" fontId="7" fillId="0" borderId="12" xfId="17" applyNumberFormat="1" applyFont="1" applyFill="1" applyBorder="1" applyAlignment="1" quotePrefix="1">
      <alignment horizontal="center"/>
    </xf>
    <xf numFmtId="0" fontId="16" fillId="0" borderId="0" xfId="0" applyFont="1" applyAlignment="1">
      <alignment/>
    </xf>
    <xf numFmtId="6" fontId="4" fillId="0" borderId="0" xfId="17" applyNumberFormat="1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Border="1" applyAlignment="1">
      <alignment horizontal="center"/>
    </xf>
    <xf numFmtId="6" fontId="8" fillId="0" borderId="0" xfId="0" applyNumberFormat="1" applyFont="1" applyBorder="1" applyAlignment="1">
      <alignment horizontal="left"/>
    </xf>
    <xf numFmtId="6" fontId="8" fillId="0" borderId="0" xfId="0" applyNumberFormat="1" applyFont="1" applyBorder="1" applyAlignment="1">
      <alignment horizontal="center"/>
    </xf>
    <xf numFmtId="38" fontId="0" fillId="0" borderId="0" xfId="17" applyNumberFormat="1" applyFont="1" applyFill="1" applyBorder="1" applyAlignment="1">
      <alignment horizontal="center"/>
    </xf>
    <xf numFmtId="6" fontId="0" fillId="0" borderId="0" xfId="17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6" fontId="0" fillId="0" borderId="0" xfId="0" applyNumberFormat="1" applyFont="1" applyFill="1" applyAlignment="1">
      <alignment/>
    </xf>
    <xf numFmtId="6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8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/>
    </xf>
    <xf numFmtId="166" fontId="17" fillId="0" borderId="0" xfId="17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0" fillId="0" borderId="20" xfId="17" applyNumberFormat="1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4" fontId="0" fillId="0" borderId="0" xfId="17" applyFill="1" applyAlignment="1">
      <alignment/>
    </xf>
    <xf numFmtId="6" fontId="7" fillId="0" borderId="1" xfId="17" applyNumberFormat="1" applyFont="1" applyFill="1" applyBorder="1" applyAlignment="1" quotePrefix="1">
      <alignment horizontal="center"/>
    </xf>
    <xf numFmtId="6" fontId="0" fillId="0" borderId="0" xfId="0" applyNumberFormat="1" applyFill="1" applyAlignment="1">
      <alignment/>
    </xf>
    <xf numFmtId="166" fontId="0" fillId="0" borderId="21" xfId="17" applyNumberFormat="1" applyBorder="1" applyAlignment="1">
      <alignment/>
    </xf>
    <xf numFmtId="6" fontId="0" fillId="0" borderId="0" xfId="17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 vertical="center"/>
    </xf>
    <xf numFmtId="6" fontId="7" fillId="0" borderId="12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6" fontId="0" fillId="0" borderId="7" xfId="17" applyNumberFormat="1" applyFont="1" applyFill="1" applyBorder="1" applyAlignment="1">
      <alignment/>
    </xf>
    <xf numFmtId="6" fontId="1" fillId="0" borderId="0" xfId="17" applyNumberFormat="1" applyFont="1" applyFill="1" applyAlignment="1">
      <alignment/>
    </xf>
    <xf numFmtId="0" fontId="4" fillId="0" borderId="0" xfId="0" applyFont="1" applyBorder="1" applyAlignment="1">
      <alignment/>
    </xf>
    <xf numFmtId="6" fontId="4" fillId="0" borderId="1" xfId="17" applyNumberFormat="1" applyFont="1" applyFill="1" applyBorder="1" applyAlignment="1" quotePrefix="1">
      <alignment/>
    </xf>
    <xf numFmtId="6" fontId="0" fillId="0" borderId="0" xfId="17" applyNumberFormat="1" applyFont="1" applyFill="1" applyBorder="1" applyAlignment="1" quotePrefix="1">
      <alignment/>
    </xf>
    <xf numFmtId="8" fontId="0" fillId="0" borderId="0" xfId="0" applyNumberFormat="1" applyFont="1" applyFill="1" applyAlignment="1">
      <alignment/>
    </xf>
    <xf numFmtId="6" fontId="12" fillId="0" borderId="2" xfId="17" applyNumberFormat="1" applyFont="1" applyFill="1" applyBorder="1" applyAlignment="1">
      <alignment horizontal="center"/>
    </xf>
    <xf numFmtId="6" fontId="12" fillId="0" borderId="5" xfId="17" applyNumberFormat="1" applyFont="1" applyFill="1" applyBorder="1" applyAlignment="1">
      <alignment horizontal="center"/>
    </xf>
    <xf numFmtId="6" fontId="2" fillId="0" borderId="0" xfId="17" applyNumberFormat="1" applyFont="1" applyFill="1" applyAlignment="1">
      <alignment/>
    </xf>
    <xf numFmtId="6" fontId="3" fillId="0" borderId="0" xfId="17" applyNumberFormat="1" applyFont="1" applyFill="1" applyAlignment="1">
      <alignment/>
    </xf>
    <xf numFmtId="6" fontId="1" fillId="0" borderId="0" xfId="17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4" fontId="1" fillId="0" borderId="0" xfId="17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0" fontId="0" fillId="0" borderId="0" xfId="21" applyNumberFormat="1" applyBorder="1" applyAlignment="1">
      <alignment/>
    </xf>
    <xf numFmtId="166" fontId="0" fillId="0" borderId="0" xfId="17" applyNumberFormat="1" applyFont="1" applyBorder="1" applyAlignment="1">
      <alignment horizontal="right"/>
    </xf>
    <xf numFmtId="0" fontId="8" fillId="0" borderId="0" xfId="0" applyFont="1" applyAlignment="1">
      <alignment/>
    </xf>
    <xf numFmtId="6" fontId="10" fillId="0" borderId="0" xfId="17" applyNumberFormat="1" applyFont="1" applyFill="1" applyAlignment="1">
      <alignment/>
    </xf>
    <xf numFmtId="6" fontId="10" fillId="0" borderId="0" xfId="17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4" fontId="19" fillId="0" borderId="0" xfId="17" applyFont="1" applyAlignment="1">
      <alignment/>
    </xf>
    <xf numFmtId="44" fontId="0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ont="1" applyAlignment="1">
      <alignment/>
    </xf>
    <xf numFmtId="8" fontId="0" fillId="0" borderId="0" xfId="17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6" fontId="3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4" fillId="0" borderId="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center"/>
    </xf>
    <xf numFmtId="6" fontId="0" fillId="0" borderId="0" xfId="17" applyNumberFormat="1" applyFill="1" applyBorder="1" applyAlignment="1">
      <alignment/>
    </xf>
    <xf numFmtId="6" fontId="12" fillId="0" borderId="2" xfId="0" applyNumberFormat="1" applyFont="1" applyFill="1" applyBorder="1" applyAlignment="1">
      <alignment horizontal="center"/>
    </xf>
    <xf numFmtId="6" fontId="12" fillId="0" borderId="5" xfId="0" applyNumberFormat="1" applyFont="1" applyFill="1" applyBorder="1" applyAlignment="1">
      <alignment horizontal="center"/>
    </xf>
    <xf numFmtId="44" fontId="12" fillId="0" borderId="9" xfId="17" applyFont="1" applyFill="1" applyBorder="1" applyAlignment="1">
      <alignment horizontal="center"/>
    </xf>
    <xf numFmtId="6" fontId="20" fillId="0" borderId="0" xfId="17" applyNumberFormat="1" applyFont="1" applyFill="1" applyBorder="1" applyAlignment="1">
      <alignment horizontal="center"/>
    </xf>
    <xf numFmtId="6" fontId="12" fillId="0" borderId="0" xfId="0" applyNumberFormat="1" applyFont="1" applyFill="1" applyBorder="1" applyAlignment="1">
      <alignment horizontal="center"/>
    </xf>
    <xf numFmtId="44" fontId="12" fillId="0" borderId="0" xfId="17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66" fontId="0" fillId="0" borderId="20" xfId="17" applyNumberFormat="1" applyFont="1" applyFill="1" applyBorder="1" applyAlignment="1">
      <alignment horizontal="right"/>
    </xf>
    <xf numFmtId="166" fontId="0" fillId="0" borderId="0" xfId="17" applyNumberFormat="1" applyFont="1" applyFill="1" applyBorder="1" applyAlignment="1">
      <alignment horizontal="right"/>
    </xf>
    <xf numFmtId="166" fontId="17" fillId="0" borderId="0" xfId="17" applyNumberFormat="1" applyFont="1" applyFill="1" applyAlignment="1">
      <alignment/>
    </xf>
    <xf numFmtId="43" fontId="0" fillId="0" borderId="0" xfId="0" applyNumberFormat="1" applyFill="1" applyAlignment="1">
      <alignment/>
    </xf>
    <xf numFmtId="180" fontId="0" fillId="0" borderId="0" xfId="21" applyNumberFormat="1" applyFill="1" applyBorder="1" applyAlignment="1">
      <alignment/>
    </xf>
    <xf numFmtId="180" fontId="0" fillId="0" borderId="0" xfId="21" applyNumberFormat="1" applyFont="1" applyFill="1" applyBorder="1" applyAlignment="1">
      <alignment/>
    </xf>
    <xf numFmtId="6" fontId="19" fillId="0" borderId="0" xfId="0" applyNumberFormat="1" applyFont="1" applyAlignment="1">
      <alignment/>
    </xf>
    <xf numFmtId="6" fontId="4" fillId="0" borderId="1" xfId="17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right"/>
    </xf>
    <xf numFmtId="6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0" fontId="0" fillId="0" borderId="0" xfId="21" applyNumberFormat="1" applyFill="1" applyAlignment="1">
      <alignment/>
    </xf>
    <xf numFmtId="9" fontId="0" fillId="0" borderId="0" xfId="21" applyFill="1" applyAlignment="1">
      <alignment/>
    </xf>
    <xf numFmtId="6" fontId="7" fillId="0" borderId="13" xfId="17" applyNumberFormat="1" applyFont="1" applyFill="1" applyBorder="1" applyAlignment="1">
      <alignment horizontal="center"/>
    </xf>
    <xf numFmtId="6" fontId="7" fillId="0" borderId="15" xfId="17" applyNumberFormat="1" applyFont="1" applyFill="1" applyBorder="1" applyAlignment="1">
      <alignment horizontal="center"/>
    </xf>
    <xf numFmtId="6" fontId="7" fillId="0" borderId="17" xfId="17" applyNumberFormat="1" applyFont="1" applyFill="1" applyBorder="1" applyAlignment="1" quotePrefix="1">
      <alignment horizontal="center"/>
    </xf>
    <xf numFmtId="6" fontId="1" fillId="0" borderId="0" xfId="0" applyNumberFormat="1" applyFont="1" applyFill="1" applyBorder="1" applyAlignment="1">
      <alignment horizontal="left"/>
    </xf>
    <xf numFmtId="6" fontId="0" fillId="0" borderId="0" xfId="0" applyNumberFormat="1" applyFill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21" applyNumberFormat="1" applyFont="1" applyFill="1" applyAlignment="1">
      <alignment/>
    </xf>
    <xf numFmtId="6" fontId="4" fillId="0" borderId="1" xfId="17" applyNumberFormat="1" applyFont="1" applyFill="1" applyBorder="1" applyAlignment="1" quotePrefix="1">
      <alignment horizontal="center"/>
    </xf>
    <xf numFmtId="9" fontId="0" fillId="0" borderId="0" xfId="21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38" fontId="0" fillId="0" borderId="0" xfId="0" applyNumberFormat="1" applyFill="1" applyAlignment="1">
      <alignment horizontal="center"/>
    </xf>
    <xf numFmtId="175" fontId="0" fillId="0" borderId="0" xfId="0" applyNumberFormat="1" applyFill="1" applyAlignment="1">
      <alignment/>
    </xf>
    <xf numFmtId="6" fontId="12" fillId="0" borderId="0" xfId="17" applyNumberFormat="1" applyFont="1" applyFill="1" applyBorder="1" applyAlignment="1">
      <alignment horizontal="center"/>
    </xf>
    <xf numFmtId="8" fontId="0" fillId="0" borderId="0" xfId="17" applyNumberFormat="1" applyFill="1" applyAlignment="1">
      <alignment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Fill="1" applyAlignment="1">
      <alignment horizontal="center"/>
    </xf>
    <xf numFmtId="44" fontId="0" fillId="0" borderId="0" xfId="17" applyNumberFormat="1" applyFill="1" applyAlignment="1">
      <alignment/>
    </xf>
    <xf numFmtId="44" fontId="0" fillId="0" borderId="0" xfId="17" applyNumberFormat="1" applyFont="1" applyFill="1" applyAlignment="1">
      <alignment/>
    </xf>
    <xf numFmtId="180" fontId="0" fillId="0" borderId="0" xfId="21" applyNumberFormat="1" applyFill="1" applyAlignment="1">
      <alignment/>
    </xf>
    <xf numFmtId="38" fontId="0" fillId="0" borderId="0" xfId="0" applyNumberFormat="1" applyFill="1" applyAlignment="1">
      <alignment/>
    </xf>
    <xf numFmtId="44" fontId="0" fillId="0" borderId="0" xfId="17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6" fontId="4" fillId="0" borderId="0" xfId="17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7" fillId="0" borderId="3" xfId="0" applyFont="1" applyBorder="1" applyAlignment="1">
      <alignment/>
    </xf>
    <xf numFmtId="6" fontId="7" fillId="0" borderId="2" xfId="0" applyNumberFormat="1" applyFont="1" applyBorder="1" applyAlignment="1">
      <alignment horizontal="center"/>
    </xf>
    <xf numFmtId="6" fontId="7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6" fontId="0" fillId="0" borderId="5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7" fontId="0" fillId="0" borderId="0" xfId="0" applyNumberFormat="1" applyFont="1" applyBorder="1" applyAlignment="1">
      <alignment/>
    </xf>
    <xf numFmtId="6" fontId="0" fillId="0" borderId="0" xfId="0" applyNumberFormat="1" applyFont="1" applyFill="1" applyBorder="1" applyAlignment="1">
      <alignment/>
    </xf>
    <xf numFmtId="6" fontId="7" fillId="0" borderId="0" xfId="0" applyNumberFormat="1" applyFont="1" applyBorder="1" applyAlignment="1">
      <alignment/>
    </xf>
    <xf numFmtId="0" fontId="0" fillId="0" borderId="7" xfId="0" applyFont="1" applyBorder="1" applyAlignment="1" quotePrefix="1">
      <alignment horizontal="left"/>
    </xf>
    <xf numFmtId="49" fontId="23" fillId="0" borderId="0" xfId="0" applyNumberFormat="1" applyFont="1" applyAlignment="1">
      <alignment horizontal="center"/>
    </xf>
    <xf numFmtId="6" fontId="0" fillId="0" borderId="0" xfId="17" applyNumberFormat="1" applyFont="1" applyFill="1" applyBorder="1" applyAlignment="1">
      <alignment horizontal="left"/>
    </xf>
    <xf numFmtId="178" fontId="0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0" xfId="17" applyNumberFormat="1" applyFont="1" applyFill="1" applyBorder="1" applyAlignment="1">
      <alignment horizontal="center"/>
    </xf>
    <xf numFmtId="6" fontId="22" fillId="0" borderId="0" xfId="0" applyNumberFormat="1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6" fontId="6" fillId="0" borderId="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left"/>
    </xf>
    <xf numFmtId="6" fontId="6" fillId="0" borderId="0" xfId="0" applyNumberFormat="1" applyFont="1" applyBorder="1" applyAlignment="1">
      <alignment horizontal="right"/>
    </xf>
    <xf numFmtId="6" fontId="9" fillId="0" borderId="1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26" fillId="0" borderId="0" xfId="0" applyFont="1" applyAlignment="1">
      <alignment/>
    </xf>
    <xf numFmtId="6" fontId="26" fillId="0" borderId="0" xfId="0" applyNumberFormat="1" applyFont="1" applyAlignment="1">
      <alignment/>
    </xf>
    <xf numFmtId="38" fontId="21" fillId="0" borderId="0" xfId="17" applyNumberFormat="1" applyFont="1" applyFill="1" applyBorder="1" applyAlignment="1">
      <alignment horizontal="center"/>
    </xf>
    <xf numFmtId="6" fontId="0" fillId="3" borderId="0" xfId="17" applyNumberFormat="1" applyFont="1" applyFill="1" applyAlignment="1">
      <alignment/>
    </xf>
    <xf numFmtId="6" fontId="0" fillId="3" borderId="0" xfId="17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6" fontId="0" fillId="0" borderId="0" xfId="17" applyNumberFormat="1" applyFill="1" applyAlignment="1">
      <alignment/>
    </xf>
    <xf numFmtId="166" fontId="0" fillId="3" borderId="0" xfId="17" applyNumberFormat="1" applyFill="1" applyAlignment="1">
      <alignment/>
    </xf>
    <xf numFmtId="166" fontId="0" fillId="0" borderId="0" xfId="17" applyNumberFormat="1" applyFont="1" applyAlignment="1">
      <alignment/>
    </xf>
    <xf numFmtId="44" fontId="0" fillId="3" borderId="0" xfId="17" applyFill="1" applyAlignment="1">
      <alignment/>
    </xf>
    <xf numFmtId="166" fontId="0" fillId="3" borderId="0" xfId="17" applyNumberFormat="1" applyFont="1" applyFill="1" applyAlignment="1">
      <alignment/>
    </xf>
    <xf numFmtId="6" fontId="0" fillId="3" borderId="1" xfId="17" applyNumberFormat="1" applyFont="1" applyFill="1" applyBorder="1" applyAlignment="1">
      <alignment/>
    </xf>
    <xf numFmtId="194" fontId="0" fillId="3" borderId="0" xfId="0" applyNumberFormat="1" applyFont="1" applyFill="1" applyAlignment="1">
      <alignment/>
    </xf>
    <xf numFmtId="6" fontId="0" fillId="3" borderId="0" xfId="17" applyNumberFormat="1" applyFont="1" applyFill="1" applyAlignment="1">
      <alignment horizontal="right"/>
    </xf>
    <xf numFmtId="6" fontId="0" fillId="3" borderId="0" xfId="0" applyNumberFormat="1" applyFont="1" applyFill="1" applyAlignment="1">
      <alignment/>
    </xf>
    <xf numFmtId="6" fontId="0" fillId="3" borderId="0" xfId="17" applyNumberFormat="1" applyFont="1" applyFill="1" applyBorder="1" applyAlignment="1">
      <alignment/>
    </xf>
    <xf numFmtId="8" fontId="0" fillId="3" borderId="0" xfId="0" applyNumberFormat="1" applyFont="1" applyFill="1" applyAlignment="1">
      <alignment/>
    </xf>
    <xf numFmtId="178" fontId="0" fillId="3" borderId="0" xfId="17" applyNumberFormat="1" applyFont="1" applyFill="1" applyAlignment="1">
      <alignment/>
    </xf>
    <xf numFmtId="6" fontId="1" fillId="3" borderId="0" xfId="0" applyNumberFormat="1" applyFont="1" applyFill="1" applyAlignment="1">
      <alignment/>
    </xf>
    <xf numFmtId="6" fontId="0" fillId="3" borderId="0" xfId="0" applyNumberFormat="1" applyFont="1" applyFill="1" applyBorder="1" applyAlignment="1">
      <alignment/>
    </xf>
    <xf numFmtId="6" fontId="0" fillId="3" borderId="1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1" fillId="0" borderId="0" xfId="0" applyFont="1" applyAlignment="1">
      <alignment horizontal="center"/>
    </xf>
    <xf numFmtId="6" fontId="1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6" fontId="15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horizontal="center"/>
    </xf>
    <xf numFmtId="6" fontId="15" fillId="4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 horizontal="left"/>
    </xf>
    <xf numFmtId="6" fontId="16" fillId="0" borderId="0" xfId="0" applyNumberFormat="1" applyFont="1" applyAlignment="1">
      <alignment/>
    </xf>
    <xf numFmtId="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6" fontId="28" fillId="0" borderId="0" xfId="0" applyNumberFormat="1" applyFont="1" applyAlignment="1">
      <alignment/>
    </xf>
    <xf numFmtId="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6" fontId="15" fillId="0" borderId="0" xfId="0" applyNumberFormat="1" applyFont="1" applyAlignment="1">
      <alignment horizontal="right"/>
    </xf>
    <xf numFmtId="6" fontId="16" fillId="0" borderId="0" xfId="0" applyNumberFormat="1" applyFont="1" applyAlignment="1">
      <alignment horizontal="right"/>
    </xf>
    <xf numFmtId="6" fontId="11" fillId="0" borderId="0" xfId="0" applyNumberFormat="1" applyFont="1" applyAlignment="1">
      <alignment horizontal="right"/>
    </xf>
    <xf numFmtId="6" fontId="28" fillId="0" borderId="0" xfId="0" applyNumberFormat="1" applyFont="1" applyAlignment="1">
      <alignment horizontal="right"/>
    </xf>
    <xf numFmtId="6" fontId="15" fillId="0" borderId="0" xfId="0" applyNumberFormat="1" applyFont="1" applyBorder="1" applyAlignment="1">
      <alignment/>
    </xf>
    <xf numFmtId="6" fontId="16" fillId="0" borderId="0" xfId="0" applyNumberFormat="1" applyFont="1" applyBorder="1" applyAlignment="1">
      <alignment/>
    </xf>
    <xf numFmtId="6" fontId="15" fillId="4" borderId="0" xfId="0" applyNumberFormat="1" applyFont="1" applyFill="1" applyBorder="1" applyAlignment="1">
      <alignment/>
    </xf>
    <xf numFmtId="6" fontId="15" fillId="0" borderId="23" xfId="0" applyNumberFormat="1" applyFont="1" applyFill="1" applyBorder="1" applyAlignment="1">
      <alignment horizontal="center"/>
    </xf>
    <xf numFmtId="6" fontId="15" fillId="0" borderId="24" xfId="0" applyNumberFormat="1" applyFont="1" applyBorder="1" applyAlignment="1">
      <alignment/>
    </xf>
    <xf numFmtId="6" fontId="16" fillId="0" borderId="0" xfId="0" applyNumberFormat="1" applyFont="1" applyFill="1" applyBorder="1" applyAlignment="1">
      <alignment/>
    </xf>
    <xf numFmtId="8" fontId="11" fillId="0" borderId="0" xfId="0" applyNumberFormat="1" applyFont="1" applyAlignment="1">
      <alignment/>
    </xf>
    <xf numFmtId="6" fontId="16" fillId="0" borderId="0" xfId="0" applyNumberFormat="1" applyFont="1" applyFill="1" applyAlignment="1">
      <alignment/>
    </xf>
    <xf numFmtId="0" fontId="27" fillId="0" borderId="3" xfId="0" applyFont="1" applyBorder="1" applyAlignment="1">
      <alignment horizontal="right"/>
    </xf>
    <xf numFmtId="6" fontId="11" fillId="0" borderId="23" xfId="0" applyNumberFormat="1" applyFont="1" applyBorder="1" applyAlignment="1">
      <alignment/>
    </xf>
    <xf numFmtId="6" fontId="11" fillId="0" borderId="6" xfId="0" applyNumberFormat="1" applyFont="1" applyBorder="1" applyAlignment="1">
      <alignment/>
    </xf>
    <xf numFmtId="0" fontId="27" fillId="0" borderId="7" xfId="0" applyFont="1" applyBorder="1" applyAlignment="1">
      <alignment horizontal="left"/>
    </xf>
    <xf numFmtId="6" fontId="11" fillId="0" borderId="24" xfId="0" applyNumberFormat="1" applyFont="1" applyBorder="1" applyAlignment="1">
      <alignment/>
    </xf>
    <xf numFmtId="6" fontId="11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left"/>
    </xf>
    <xf numFmtId="6" fontId="15" fillId="0" borderId="8" xfId="0" applyNumberFormat="1" applyFont="1" applyBorder="1" applyAlignment="1">
      <alignment/>
    </xf>
    <xf numFmtId="6" fontId="15" fillId="0" borderId="24" xfId="0" applyNumberFormat="1" applyFont="1" applyBorder="1" applyAlignment="1">
      <alignment horizontal="right"/>
    </xf>
    <xf numFmtId="6" fontId="15" fillId="0" borderId="8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0" fontId="23" fillId="0" borderId="0" xfId="0" applyFont="1" applyAlignment="1">
      <alignment horizontal="left"/>
    </xf>
    <xf numFmtId="6" fontId="15" fillId="0" borderId="25" xfId="0" applyNumberFormat="1" applyFont="1" applyBorder="1" applyAlignment="1">
      <alignment horizontal="center"/>
    </xf>
    <xf numFmtId="44" fontId="9" fillId="0" borderId="0" xfId="17" applyFont="1" applyAlignment="1">
      <alignment/>
    </xf>
    <xf numFmtId="0" fontId="29" fillId="0" borderId="0" xfId="0" applyFont="1" applyAlignment="1">
      <alignment horizontal="left"/>
    </xf>
    <xf numFmtId="166" fontId="3" fillId="0" borderId="20" xfId="17" applyNumberFormat="1" applyFont="1" applyFill="1" applyBorder="1" applyAlignment="1">
      <alignment horizontal="right"/>
    </xf>
    <xf numFmtId="166" fontId="3" fillId="0" borderId="21" xfId="17" applyNumberFormat="1" applyFont="1" applyBorder="1" applyAlignment="1">
      <alignment/>
    </xf>
    <xf numFmtId="6" fontId="15" fillId="0" borderId="0" xfId="0" applyNumberFormat="1" applyFont="1" applyBorder="1" applyAlignment="1">
      <alignment horizontal="center"/>
    </xf>
    <xf numFmtId="6" fontId="6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38" fontId="1" fillId="0" borderId="8" xfId="17" applyNumberFormat="1" applyFont="1" applyFill="1" applyBorder="1" applyAlignment="1">
      <alignment horizontal="center"/>
    </xf>
    <xf numFmtId="38" fontId="1" fillId="3" borderId="6" xfId="17" applyNumberFormat="1" applyFont="1" applyFill="1" applyBorder="1" applyAlignment="1">
      <alignment horizontal="center"/>
    </xf>
    <xf numFmtId="38" fontId="1" fillId="3" borderId="8" xfId="17" applyNumberFormat="1" applyFont="1" applyFill="1" applyBorder="1" applyAlignment="1">
      <alignment horizontal="center"/>
    </xf>
    <xf numFmtId="6" fontId="0" fillId="4" borderId="0" xfId="0" applyNumberFormat="1" applyFill="1" applyAlignment="1">
      <alignment/>
    </xf>
    <xf numFmtId="6" fontId="1" fillId="5" borderId="10" xfId="17" applyNumberFormat="1" applyFont="1" applyFill="1" applyBorder="1" applyAlignment="1">
      <alignment/>
    </xf>
    <xf numFmtId="6" fontId="9" fillId="5" borderId="10" xfId="0" applyNumberFormat="1" applyFont="1" applyFill="1" applyBorder="1" applyAlignment="1">
      <alignment horizontal="right"/>
    </xf>
    <xf numFmtId="38" fontId="1" fillId="5" borderId="8" xfId="17" applyNumberFormat="1" applyFont="1" applyFill="1" applyBorder="1" applyAlignment="1">
      <alignment horizontal="center"/>
    </xf>
    <xf numFmtId="38" fontId="1" fillId="5" borderId="9" xfId="17" applyNumberFormat="1" applyFont="1" applyFill="1" applyBorder="1" applyAlignment="1">
      <alignment horizontal="center"/>
    </xf>
    <xf numFmtId="6" fontId="0" fillId="5" borderId="0" xfId="17" applyNumberFormat="1" applyFill="1" applyAlignment="1">
      <alignment/>
    </xf>
    <xf numFmtId="6" fontId="0" fillId="5" borderId="0" xfId="0" applyNumberFormat="1" applyFill="1" applyBorder="1" applyAlignment="1">
      <alignment/>
    </xf>
    <xf numFmtId="6" fontId="0" fillId="5" borderId="0" xfId="0" applyNumberFormat="1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6" fontId="1" fillId="5" borderId="22" xfId="0" applyNumberFormat="1" applyFont="1" applyFill="1" applyBorder="1" applyAlignment="1">
      <alignment/>
    </xf>
    <xf numFmtId="6" fontId="0" fillId="5" borderId="8" xfId="0" applyNumberFormat="1" applyFont="1" applyFill="1" applyBorder="1" applyAlignment="1">
      <alignment/>
    </xf>
    <xf numFmtId="6" fontId="0" fillId="5" borderId="9" xfId="0" applyNumberFormat="1" applyFont="1" applyFill="1" applyBorder="1" applyAlignment="1">
      <alignment/>
    </xf>
    <xf numFmtId="6" fontId="0" fillId="5" borderId="12" xfId="0" applyNumberFormat="1" applyFont="1" applyFill="1" applyBorder="1" applyAlignment="1">
      <alignment/>
    </xf>
    <xf numFmtId="6" fontId="0" fillId="5" borderId="26" xfId="0" applyNumberFormat="1" applyFont="1" applyFill="1" applyBorder="1" applyAlignment="1">
      <alignment/>
    </xf>
    <xf numFmtId="6" fontId="1" fillId="5" borderId="27" xfId="0" applyNumberFormat="1" applyFont="1" applyFill="1" applyBorder="1" applyAlignment="1">
      <alignment/>
    </xf>
    <xf numFmtId="6" fontId="1" fillId="5" borderId="2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6" fontId="0" fillId="5" borderId="0" xfId="17" applyNumberFormat="1" applyFill="1" applyAlignment="1">
      <alignment/>
    </xf>
    <xf numFmtId="6" fontId="1" fillId="5" borderId="0" xfId="17" applyNumberFormat="1" applyFont="1" applyFill="1" applyAlignment="1">
      <alignment/>
    </xf>
    <xf numFmtId="166" fontId="0" fillId="4" borderId="0" xfId="17" applyNumberFormat="1" applyFill="1" applyAlignment="1">
      <alignment/>
    </xf>
    <xf numFmtId="6" fontId="0" fillId="4" borderId="0" xfId="17" applyNumberFormat="1" applyFill="1" applyAlignment="1">
      <alignment/>
    </xf>
    <xf numFmtId="44" fontId="0" fillId="4" borderId="0" xfId="17" applyFill="1" applyAlignment="1">
      <alignment/>
    </xf>
    <xf numFmtId="166" fontId="0" fillId="4" borderId="0" xfId="17" applyNumberFormat="1" applyFont="1" applyFill="1" applyAlignment="1">
      <alignment/>
    </xf>
    <xf numFmtId="6" fontId="0" fillId="4" borderId="0" xfId="17" applyNumberFormat="1" applyFont="1" applyFill="1" applyAlignment="1">
      <alignment/>
    </xf>
    <xf numFmtId="6" fontId="0" fillId="0" borderId="1" xfId="17" applyNumberFormat="1" applyFont="1" applyFill="1" applyBorder="1" applyAlignment="1">
      <alignment/>
    </xf>
    <xf numFmtId="12" fontId="0" fillId="0" borderId="0" xfId="17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6" fontId="0" fillId="4" borderId="1" xfId="17" applyNumberFormat="1" applyFont="1" applyFill="1" applyBorder="1" applyAlignment="1">
      <alignment/>
    </xf>
    <xf numFmtId="6" fontId="0" fillId="5" borderId="0" xfId="17" applyNumberFormat="1" applyFont="1" applyFill="1" applyAlignment="1">
      <alignment/>
    </xf>
    <xf numFmtId="6" fontId="0" fillId="5" borderId="10" xfId="17" applyNumberFormat="1" applyFont="1" applyFill="1" applyBorder="1" applyAlignment="1">
      <alignment/>
    </xf>
    <xf numFmtId="6" fontId="0" fillId="5" borderId="1" xfId="17" applyNumberFormat="1" applyFont="1" applyFill="1" applyBorder="1" applyAlignment="1">
      <alignment/>
    </xf>
    <xf numFmtId="6" fontId="0" fillId="5" borderId="0" xfId="0" applyNumberFormat="1" applyFont="1" applyFill="1" applyAlignment="1">
      <alignment/>
    </xf>
    <xf numFmtId="6" fontId="0" fillId="4" borderId="0" xfId="0" applyNumberFormat="1" applyFont="1" applyFill="1" applyAlignment="1">
      <alignment/>
    </xf>
    <xf numFmtId="6" fontId="0" fillId="5" borderId="0" xfId="17" applyNumberFormat="1" applyFont="1" applyFill="1" applyBorder="1" applyAlignment="1">
      <alignment/>
    </xf>
    <xf numFmtId="6" fontId="0" fillId="4" borderId="0" xfId="17" applyNumberFormat="1" applyFont="1" applyFill="1" applyBorder="1" applyAlignment="1">
      <alignment/>
    </xf>
    <xf numFmtId="6" fontId="0" fillId="5" borderId="10" xfId="0" applyNumberFormat="1" applyFill="1" applyBorder="1" applyAlignment="1">
      <alignment/>
    </xf>
    <xf numFmtId="167" fontId="0" fillId="3" borderId="0" xfId="0" applyNumberFormat="1" applyFont="1" applyFill="1" applyAlignment="1">
      <alignment/>
    </xf>
    <xf numFmtId="6" fontId="0" fillId="5" borderId="0" xfId="17" applyNumberFormat="1" applyFont="1" applyFill="1" applyAlignment="1" quotePrefix="1">
      <alignment/>
    </xf>
    <xf numFmtId="6" fontId="1" fillId="5" borderId="0" xfId="17" applyNumberFormat="1" applyFont="1" applyFill="1" applyBorder="1" applyAlignment="1">
      <alignment horizontal="right"/>
    </xf>
    <xf numFmtId="6" fontId="0" fillId="5" borderId="0" xfId="17" applyNumberFormat="1" applyFont="1" applyFill="1" applyBorder="1" applyAlignment="1">
      <alignment horizontal="right"/>
    </xf>
    <xf numFmtId="6" fontId="1" fillId="5" borderId="21" xfId="17" applyNumberFormat="1" applyFont="1" applyFill="1" applyBorder="1" applyAlignment="1">
      <alignment/>
    </xf>
    <xf numFmtId="6" fontId="0" fillId="0" borderId="10" xfId="0" applyNumberFormat="1" applyFill="1" applyBorder="1" applyAlignment="1">
      <alignment/>
    </xf>
    <xf numFmtId="6" fontId="0" fillId="0" borderId="13" xfId="17" applyNumberFormat="1" applyFont="1" applyFill="1" applyBorder="1" applyAlignment="1">
      <alignment/>
    </xf>
    <xf numFmtId="6" fontId="0" fillId="0" borderId="15" xfId="17" applyNumberFormat="1" applyFont="1" applyFill="1" applyBorder="1" applyAlignment="1">
      <alignment horizontal="center"/>
    </xf>
    <xf numFmtId="6" fontId="7" fillId="0" borderId="17" xfId="17" applyNumberFormat="1" applyFont="1" applyFill="1" applyBorder="1" applyAlignment="1">
      <alignment horizontal="center"/>
    </xf>
    <xf numFmtId="8" fontId="0" fillId="0" borderId="0" xfId="0" applyNumberFormat="1" applyFill="1" applyAlignment="1">
      <alignment/>
    </xf>
    <xf numFmtId="6" fontId="0" fillId="5" borderId="21" xfId="17" applyNumberFormat="1" applyFont="1" applyFill="1" applyBorder="1" applyAlignment="1">
      <alignment/>
    </xf>
    <xf numFmtId="6" fontId="0" fillId="4" borderId="0" xfId="0" applyNumberFormat="1" applyFont="1" applyFill="1" applyBorder="1" applyAlignment="1">
      <alignment/>
    </xf>
    <xf numFmtId="6" fontId="0" fillId="4" borderId="1" xfId="0" applyNumberFormat="1" applyFont="1" applyFill="1" applyBorder="1" applyAlignment="1">
      <alignment/>
    </xf>
    <xf numFmtId="6" fontId="0" fillId="5" borderId="21" xfId="17" applyNumberFormat="1" applyFill="1" applyBorder="1" applyAlignment="1">
      <alignment/>
    </xf>
    <xf numFmtId="6" fontId="3" fillId="5" borderId="21" xfId="17" applyNumberFormat="1" applyFont="1" applyFill="1" applyBorder="1" applyAlignment="1">
      <alignment/>
    </xf>
    <xf numFmtId="6" fontId="0" fillId="3" borderId="0" xfId="0" applyNumberFormat="1" applyFill="1" applyAlignment="1">
      <alignment/>
    </xf>
    <xf numFmtId="6" fontId="3" fillId="3" borderId="0" xfId="0" applyNumberFormat="1" applyFont="1" applyFill="1" applyAlignment="1">
      <alignment/>
    </xf>
    <xf numFmtId="6" fontId="3" fillId="5" borderId="0" xfId="17" applyNumberFormat="1" applyFont="1" applyFill="1" applyAlignment="1">
      <alignment/>
    </xf>
    <xf numFmtId="180" fontId="0" fillId="5" borderId="20" xfId="21" applyNumberFormat="1" applyFill="1" applyBorder="1" applyAlignment="1">
      <alignment/>
    </xf>
    <xf numFmtId="180" fontId="3" fillId="5" borderId="20" xfId="21" applyNumberFormat="1" applyFont="1" applyFill="1" applyBorder="1" applyAlignment="1">
      <alignment/>
    </xf>
    <xf numFmtId="180" fontId="0" fillId="5" borderId="20" xfId="21" applyNumberFormat="1" applyFont="1" applyFill="1" applyBorder="1" applyAlignment="1">
      <alignment/>
    </xf>
    <xf numFmtId="6" fontId="0" fillId="4" borderId="2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6" fontId="17" fillId="5" borderId="0" xfId="17" applyNumberFormat="1" applyFont="1" applyFill="1" applyAlignment="1">
      <alignment/>
    </xf>
    <xf numFmtId="166" fontId="30" fillId="5" borderId="0" xfId="17" applyNumberFormat="1" applyFont="1" applyFill="1" applyAlignment="1">
      <alignment/>
    </xf>
    <xf numFmtId="38" fontId="0" fillId="5" borderId="0" xfId="17" applyNumberFormat="1" applyFont="1" applyFill="1" applyAlignment="1">
      <alignment/>
    </xf>
    <xf numFmtId="180" fontId="0" fillId="4" borderId="20" xfId="21" applyNumberFormat="1" applyFill="1" applyBorder="1" applyAlignment="1">
      <alignment/>
    </xf>
    <xf numFmtId="0" fontId="0" fillId="4" borderId="20" xfId="0" applyFill="1" applyBorder="1" applyAlignment="1">
      <alignment/>
    </xf>
    <xf numFmtId="166" fontId="0" fillId="5" borderId="17" xfId="17" applyNumberFormat="1" applyFill="1" applyBorder="1" applyAlignment="1">
      <alignment/>
    </xf>
    <xf numFmtId="166" fontId="0" fillId="5" borderId="20" xfId="17" applyNumberFormat="1" applyFill="1" applyBorder="1" applyAlignment="1">
      <alignment/>
    </xf>
    <xf numFmtId="178" fontId="1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/>
    </xf>
    <xf numFmtId="178" fontId="0" fillId="0" borderId="0" xfId="17" applyNumberFormat="1" applyFont="1" applyFill="1" applyAlignment="1">
      <alignment/>
    </xf>
    <xf numFmtId="6" fontId="1" fillId="5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0" fontId="0" fillId="4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0" xfId="0" applyFill="1" applyAlignment="1">
      <alignment horizontal="center"/>
    </xf>
    <xf numFmtId="178" fontId="0" fillId="4" borderId="0" xfId="17" applyNumberFormat="1" applyFont="1" applyFill="1" applyAlignment="1">
      <alignment/>
    </xf>
    <xf numFmtId="0" fontId="19" fillId="4" borderId="0" xfId="0" applyNumberFormat="1" applyFont="1" applyFill="1" applyAlignment="1">
      <alignment/>
    </xf>
    <xf numFmtId="6" fontId="15" fillId="3" borderId="0" xfId="0" applyNumberFormat="1" applyFont="1" applyFill="1" applyAlignment="1">
      <alignment/>
    </xf>
    <xf numFmtId="6" fontId="16" fillId="3" borderId="0" xfId="0" applyNumberFormat="1" applyFont="1" applyFill="1" applyAlignment="1">
      <alignment/>
    </xf>
    <xf numFmtId="6" fontId="11" fillId="3" borderId="0" xfId="0" applyNumberFormat="1" applyFont="1" applyFill="1" applyAlignment="1">
      <alignment/>
    </xf>
    <xf numFmtId="6" fontId="15" fillId="5" borderId="10" xfId="0" applyNumberFormat="1" applyFont="1" applyFill="1" applyBorder="1" applyAlignment="1">
      <alignment/>
    </xf>
    <xf numFmtId="6" fontId="16" fillId="5" borderId="10" xfId="0" applyNumberFormat="1" applyFont="1" applyFill="1" applyBorder="1" applyAlignment="1">
      <alignment/>
    </xf>
    <xf numFmtId="6" fontId="16" fillId="5" borderId="0" xfId="0" applyNumberFormat="1" applyFont="1" applyFill="1" applyBorder="1" applyAlignment="1">
      <alignment horizontal="right"/>
    </xf>
    <xf numFmtId="6" fontId="15" fillId="4" borderId="0" xfId="0" applyNumberFormat="1" applyFont="1" applyFill="1" applyAlignment="1">
      <alignment/>
    </xf>
    <xf numFmtId="6" fontId="15" fillId="4" borderId="10" xfId="0" applyNumberFormat="1" applyFont="1" applyFill="1" applyBorder="1" applyAlignment="1">
      <alignment/>
    </xf>
    <xf numFmtId="6" fontId="11" fillId="5" borderId="0" xfId="0" applyNumberFormat="1" applyFont="1" applyFill="1" applyBorder="1" applyAlignment="1">
      <alignment horizontal="right"/>
    </xf>
    <xf numFmtId="6" fontId="15" fillId="5" borderId="10" xfId="0" applyNumberFormat="1" applyFont="1" applyFill="1" applyBorder="1" applyAlignment="1">
      <alignment horizontal="right"/>
    </xf>
    <xf numFmtId="6" fontId="15" fillId="0" borderId="30" xfId="0" applyNumberFormat="1" applyFont="1" applyFill="1" applyBorder="1" applyAlignment="1">
      <alignment horizontal="center"/>
    </xf>
    <xf numFmtId="6" fontId="15" fillId="0" borderId="27" xfId="0" applyNumberFormat="1" applyFont="1" applyFill="1" applyBorder="1" applyAlignment="1">
      <alignment horizontal="center"/>
    </xf>
    <xf numFmtId="6" fontId="15" fillId="0" borderId="28" xfId="0" applyNumberFormat="1" applyFont="1" applyFill="1" applyBorder="1" applyAlignment="1">
      <alignment horizontal="center"/>
    </xf>
    <xf numFmtId="6" fontId="15" fillId="5" borderId="0" xfId="0" applyNumberFormat="1" applyFont="1" applyFill="1" applyAlignment="1">
      <alignment horizontal="right"/>
    </xf>
    <xf numFmtId="6" fontId="16" fillId="5" borderId="0" xfId="0" applyNumberFormat="1" applyFont="1" applyFill="1" applyAlignment="1">
      <alignment horizontal="right"/>
    </xf>
    <xf numFmtId="6" fontId="15" fillId="5" borderId="0" xfId="0" applyNumberFormat="1" applyFont="1" applyFill="1" applyAlignment="1">
      <alignment/>
    </xf>
    <xf numFmtId="6" fontId="28" fillId="0" borderId="0" xfId="0" applyNumberFormat="1" applyFont="1" applyFill="1" applyAlignment="1">
      <alignment/>
    </xf>
    <xf numFmtId="6" fontId="16" fillId="0" borderId="0" xfId="0" applyNumberFormat="1" applyFont="1" applyFill="1" applyAlignment="1">
      <alignment horizontal="right"/>
    </xf>
    <xf numFmtId="6" fontId="16" fillId="5" borderId="0" xfId="0" applyNumberFormat="1" applyFont="1" applyFill="1" applyAlignment="1">
      <alignment/>
    </xf>
    <xf numFmtId="6" fontId="16" fillId="5" borderId="0" xfId="0" applyNumberFormat="1" applyFont="1" applyFill="1" applyBorder="1" applyAlignment="1">
      <alignment/>
    </xf>
    <xf numFmtId="6" fontId="15" fillId="0" borderId="25" xfId="0" applyNumberFormat="1" applyFont="1" applyFill="1" applyBorder="1" applyAlignment="1">
      <alignment horizontal="center"/>
    </xf>
    <xf numFmtId="0" fontId="27" fillId="0" borderId="3" xfId="0" applyFont="1" applyBorder="1" applyAlignment="1">
      <alignment horizontal="left"/>
    </xf>
    <xf numFmtId="6" fontId="11" fillId="0" borderId="7" xfId="0" applyNumberFormat="1" applyFont="1" applyFill="1" applyBorder="1" applyAlignment="1">
      <alignment horizontal="left"/>
    </xf>
    <xf numFmtId="6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6" fontId="15" fillId="4" borderId="24" xfId="0" applyNumberFormat="1" applyFont="1" applyFill="1" applyBorder="1" applyAlignment="1">
      <alignment/>
    </xf>
    <xf numFmtId="6" fontId="15" fillId="4" borderId="31" xfId="0" applyNumberFormat="1" applyFont="1" applyFill="1" applyBorder="1" applyAlignment="1">
      <alignment/>
    </xf>
    <xf numFmtId="6" fontId="15" fillId="5" borderId="24" xfId="0" applyNumberFormat="1" applyFont="1" applyFill="1" applyBorder="1" applyAlignment="1">
      <alignment/>
    </xf>
    <xf numFmtId="6" fontId="16" fillId="5" borderId="24" xfId="0" applyNumberFormat="1" applyFont="1" applyFill="1" applyBorder="1" applyAlignment="1">
      <alignment horizontal="right"/>
    </xf>
    <xf numFmtId="6" fontId="16" fillId="5" borderId="25" xfId="0" applyNumberFormat="1" applyFont="1" applyFill="1" applyBorder="1" applyAlignment="1">
      <alignment/>
    </xf>
    <xf numFmtId="6" fontId="28" fillId="0" borderId="23" xfId="0" applyNumberFormat="1" applyFont="1" applyFill="1" applyBorder="1" applyAlignment="1">
      <alignment/>
    </xf>
    <xf numFmtId="6" fontId="28" fillId="0" borderId="24" xfId="0" applyNumberFormat="1" applyFont="1" applyFill="1" applyBorder="1" applyAlignment="1">
      <alignment/>
    </xf>
    <xf numFmtId="6" fontId="15" fillId="5" borderId="24" xfId="0" applyNumberFormat="1" applyFont="1" applyFill="1" applyBorder="1" applyAlignment="1">
      <alignment horizontal="right"/>
    </xf>
    <xf numFmtId="6" fontId="15" fillId="5" borderId="8" xfId="0" applyNumberFormat="1" applyFont="1" applyFill="1" applyBorder="1" applyAlignment="1">
      <alignment horizontal="right"/>
    </xf>
    <xf numFmtId="6" fontId="16" fillId="0" borderId="24" xfId="0" applyNumberFormat="1" applyFont="1" applyFill="1" applyBorder="1" applyAlignment="1">
      <alignment/>
    </xf>
    <xf numFmtId="6" fontId="11" fillId="5" borderId="0" xfId="0" applyNumberFormat="1" applyFont="1" applyFill="1" applyAlignment="1">
      <alignment/>
    </xf>
    <xf numFmtId="6" fontId="16" fillId="5" borderId="31" xfId="0" applyNumberFormat="1" applyFont="1" applyFill="1" applyBorder="1" applyAlignment="1">
      <alignment horizontal="right"/>
    </xf>
    <xf numFmtId="6" fontId="16" fillId="0" borderId="24" xfId="0" applyNumberFormat="1" applyFont="1" applyFill="1" applyBorder="1" applyAlignment="1">
      <alignment horizontal="right"/>
    </xf>
    <xf numFmtId="6" fontId="15" fillId="5" borderId="25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7" xfId="0" applyFont="1" applyBorder="1" applyAlignment="1">
      <alignment/>
    </xf>
    <xf numFmtId="6" fontId="7" fillId="0" borderId="8" xfId="0" applyNumberFormat="1" applyFont="1" applyBorder="1" applyAlignment="1">
      <alignment horizontal="center"/>
    </xf>
    <xf numFmtId="6" fontId="1" fillId="5" borderId="22" xfId="17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6" fontId="7" fillId="0" borderId="12" xfId="0" applyNumberFormat="1" applyFont="1" applyFill="1" applyBorder="1" applyAlignment="1">
      <alignment horizontal="center"/>
    </xf>
    <xf numFmtId="6" fontId="7" fillId="0" borderId="12" xfId="0" applyNumberFormat="1" applyFont="1" applyBorder="1" applyAlignment="1">
      <alignment horizontal="center"/>
    </xf>
    <xf numFmtId="6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6" fontId="0" fillId="4" borderId="0" xfId="0" applyNumberFormat="1" applyFill="1" applyBorder="1" applyAlignment="1">
      <alignment/>
    </xf>
    <xf numFmtId="6" fontId="0" fillId="5" borderId="15" xfId="0" applyNumberFormat="1" applyFill="1" applyBorder="1" applyAlignment="1">
      <alignment/>
    </xf>
    <xf numFmtId="6" fontId="0" fillId="5" borderId="15" xfId="17" applyNumberFormat="1" applyFill="1" applyBorder="1" applyAlignment="1">
      <alignment/>
    </xf>
    <xf numFmtId="0" fontId="0" fillId="0" borderId="16" xfId="0" applyFill="1" applyBorder="1" applyAlignment="1">
      <alignment/>
    </xf>
    <xf numFmtId="6" fontId="0" fillId="4" borderId="1" xfId="0" applyNumberFormat="1" applyFill="1" applyBorder="1" applyAlignment="1">
      <alignment/>
    </xf>
    <xf numFmtId="6" fontId="0" fillId="0" borderId="1" xfId="17" applyNumberFormat="1" applyFill="1" applyBorder="1" applyAlignment="1">
      <alignment/>
    </xf>
    <xf numFmtId="6" fontId="0" fillId="5" borderId="1" xfId="17" applyNumberFormat="1" applyFill="1" applyBorder="1" applyAlignment="1">
      <alignment/>
    </xf>
    <xf numFmtId="6" fontId="0" fillId="5" borderId="17" xfId="17" applyNumberFormat="1" applyFill="1" applyBorder="1" applyAlignment="1">
      <alignment/>
    </xf>
    <xf numFmtId="166" fontId="1" fillId="5" borderId="0" xfId="17" applyNumberFormat="1" applyFont="1" applyFill="1" applyAlignment="1">
      <alignment/>
    </xf>
    <xf numFmtId="0" fontId="1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7" xfId="0" applyFont="1" applyBorder="1" applyAlignment="1">
      <alignment/>
    </xf>
    <xf numFmtId="6" fontId="0" fillId="0" borderId="27" xfId="0" applyNumberFormat="1" applyFont="1" applyBorder="1" applyAlignment="1">
      <alignment/>
    </xf>
    <xf numFmtId="6" fontId="0" fillId="0" borderId="28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3" fillId="0" borderId="20" xfId="0" applyFont="1" applyBorder="1" applyAlignment="1">
      <alignment vertical="top" wrapText="1"/>
    </xf>
    <xf numFmtId="0" fontId="33" fillId="0" borderId="0" xfId="0" applyFont="1" applyBorder="1" applyAlignment="1">
      <alignment/>
    </xf>
    <xf numFmtId="0" fontId="33" fillId="5" borderId="20" xfId="0" applyFont="1" applyFill="1" applyBorder="1" applyAlignment="1">
      <alignment vertical="top" wrapText="1"/>
    </xf>
    <xf numFmtId="0" fontId="33" fillId="4" borderId="20" xfId="0" applyFont="1" applyFill="1" applyBorder="1" applyAlignment="1">
      <alignment vertical="top" wrapText="1"/>
    </xf>
    <xf numFmtId="0" fontId="33" fillId="3" borderId="20" xfId="0" applyFont="1" applyFill="1" applyBorder="1" applyAlignment="1">
      <alignment vertical="top" wrapText="1"/>
    </xf>
    <xf numFmtId="6" fontId="9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34" fillId="0" borderId="20" xfId="0" applyFont="1" applyBorder="1" applyAlignment="1">
      <alignment vertical="top" wrapText="1"/>
    </xf>
    <xf numFmtId="0" fontId="34" fillId="0" borderId="0" xfId="0" applyFont="1" applyBorder="1" applyAlignment="1">
      <alignment/>
    </xf>
    <xf numFmtId="0" fontId="34" fillId="5" borderId="20" xfId="0" applyFont="1" applyFill="1" applyBorder="1" applyAlignment="1">
      <alignment vertical="top" wrapText="1"/>
    </xf>
    <xf numFmtId="0" fontId="34" fillId="4" borderId="20" xfId="0" applyFont="1" applyFill="1" applyBorder="1" applyAlignment="1">
      <alignment vertical="top" wrapText="1"/>
    </xf>
    <xf numFmtId="0" fontId="34" fillId="3" borderId="20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6" fontId="1" fillId="0" borderId="0" xfId="0" applyNumberFormat="1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6" fontId="0" fillId="0" borderId="12" xfId="0" applyNumberFormat="1" applyFont="1" applyBorder="1" applyAlignment="1">
      <alignment/>
    </xf>
    <xf numFmtId="6" fontId="1" fillId="0" borderId="12" xfId="0" applyNumberFormat="1" applyFont="1" applyFill="1" applyBorder="1" applyAlignment="1">
      <alignment/>
    </xf>
    <xf numFmtId="6" fontId="1" fillId="0" borderId="13" xfId="0" applyNumberFormat="1" applyFont="1" applyFill="1" applyBorder="1" applyAlignment="1">
      <alignment/>
    </xf>
    <xf numFmtId="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6" fontId="11" fillId="0" borderId="0" xfId="0" applyNumberFormat="1" applyFont="1" applyBorder="1" applyAlignment="1">
      <alignment/>
    </xf>
    <xf numFmtId="0" fontId="33" fillId="0" borderId="19" xfId="0" applyFont="1" applyBorder="1" applyAlignment="1">
      <alignment vertical="top" wrapText="1"/>
    </xf>
    <xf numFmtId="6" fontId="1" fillId="0" borderId="25" xfId="0" applyNumberFormat="1" applyFont="1" applyFill="1" applyBorder="1" applyAlignment="1">
      <alignment/>
    </xf>
    <xf numFmtId="6" fontId="1" fillId="0" borderId="25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6" fontId="15" fillId="0" borderId="11" xfId="0" applyNumberFormat="1" applyFont="1" applyBorder="1" applyAlignment="1">
      <alignment/>
    </xf>
    <xf numFmtId="6" fontId="15" fillId="0" borderId="12" xfId="0" applyNumberFormat="1" applyFont="1" applyBorder="1" applyAlignment="1">
      <alignment/>
    </xf>
    <xf numFmtId="6" fontId="1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44" fontId="12" fillId="0" borderId="8" xfId="17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12" fillId="0" borderId="5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workbookViewId="0" topLeftCell="A1">
      <selection activeCell="M14" sqref="M14"/>
    </sheetView>
  </sheetViews>
  <sheetFormatPr defaultColWidth="9.140625" defaultRowHeight="12.75"/>
  <cols>
    <col min="2" max="2" width="2.7109375" style="0" customWidth="1"/>
    <col min="3" max="3" width="22.421875" style="0" customWidth="1"/>
    <col min="9" max="9" width="9.57421875" style="0" bestFit="1" customWidth="1"/>
    <col min="10" max="10" width="16.140625" style="0" customWidth="1"/>
    <col min="11" max="11" width="9.140625" style="4" customWidth="1"/>
    <col min="13" max="13" width="55.57421875" style="0" customWidth="1"/>
    <col min="19" max="19" width="45.8515625" style="0" bestFit="1" customWidth="1"/>
  </cols>
  <sheetData>
    <row r="1" spans="1:13" s="10" customFormat="1" ht="41.25">
      <c r="A1" s="541" t="s">
        <v>551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6" ht="41.25">
      <c r="A2" s="541" t="s">
        <v>559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10"/>
      <c r="O2" s="10"/>
      <c r="P2" s="10"/>
    </row>
    <row r="3" spans="1:13" s="10" customFormat="1" ht="32.25" customHeight="1">
      <c r="A3" s="542">
        <v>39904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1:16" s="10" customFormat="1" ht="32.25" customHeight="1">
      <c r="A4"/>
      <c r="B4"/>
      <c r="C4" s="235" t="s">
        <v>371</v>
      </c>
      <c r="D4"/>
      <c r="E4"/>
      <c r="F4" s="234"/>
      <c r="G4"/>
      <c r="H4"/>
      <c r="I4"/>
      <c r="J4"/>
      <c r="K4" s="253" t="s">
        <v>396</v>
      </c>
      <c r="L4"/>
      <c r="M4"/>
      <c r="N4"/>
      <c r="O4"/>
      <c r="P4"/>
    </row>
    <row r="5" spans="4:11" ht="8.25" customHeight="1">
      <c r="D5" s="11"/>
      <c r="E5" s="11"/>
      <c r="G5" s="11"/>
      <c r="H5" s="11"/>
      <c r="J5" s="11"/>
      <c r="K5" s="253"/>
    </row>
    <row r="6" spans="3:11" ht="20.25">
      <c r="C6" s="336" t="s">
        <v>503</v>
      </c>
      <c r="D6" s="11"/>
      <c r="E6" s="11"/>
      <c r="G6" s="11"/>
      <c r="H6" s="11"/>
      <c r="J6" s="11"/>
      <c r="K6" s="344" t="s">
        <v>504</v>
      </c>
    </row>
    <row r="7" spans="3:11" ht="13.5" customHeight="1">
      <c r="C7" s="336"/>
      <c r="D7" s="11"/>
      <c r="E7" s="11"/>
      <c r="G7" s="11"/>
      <c r="H7" s="11"/>
      <c r="J7" s="11"/>
      <c r="K7" s="253"/>
    </row>
    <row r="8" spans="3:11" ht="20.25">
      <c r="C8" s="336" t="s">
        <v>370</v>
      </c>
      <c r="D8" s="11"/>
      <c r="E8" s="11"/>
      <c r="G8" s="11"/>
      <c r="H8" s="11"/>
      <c r="J8" s="11"/>
      <c r="K8" s="253"/>
    </row>
    <row r="9" spans="3:10" ht="18">
      <c r="C9" s="43" t="s">
        <v>363</v>
      </c>
      <c r="D9" s="11" t="s">
        <v>154</v>
      </c>
      <c r="E9" s="11"/>
      <c r="G9" s="11"/>
      <c r="H9" s="11"/>
      <c r="J9" s="11"/>
    </row>
    <row r="10" spans="3:11" ht="18.75">
      <c r="C10" s="339" t="s">
        <v>494</v>
      </c>
      <c r="D10" s="11"/>
      <c r="E10" s="11"/>
      <c r="G10" s="11"/>
      <c r="H10" s="11"/>
      <c r="J10" s="11"/>
      <c r="K10" s="218"/>
    </row>
    <row r="11" spans="3:11" ht="18">
      <c r="C11" s="43" t="s">
        <v>364</v>
      </c>
      <c r="D11" s="11" t="s">
        <v>32</v>
      </c>
      <c r="E11" s="11"/>
      <c r="G11" s="11"/>
      <c r="H11" s="11"/>
      <c r="J11" s="11"/>
      <c r="K11" s="218"/>
    </row>
    <row r="12" spans="3:11" ht="18">
      <c r="C12" s="43" t="s">
        <v>365</v>
      </c>
      <c r="D12" s="11" t="s">
        <v>33</v>
      </c>
      <c r="E12" s="11"/>
      <c r="G12" s="11"/>
      <c r="H12" s="11"/>
      <c r="J12" s="11"/>
      <c r="K12" s="218"/>
    </row>
    <row r="13" spans="3:11" ht="18">
      <c r="C13" s="43" t="s">
        <v>366</v>
      </c>
      <c r="D13" s="11" t="s">
        <v>498</v>
      </c>
      <c r="E13" s="11"/>
      <c r="G13" s="11"/>
      <c r="H13" s="11"/>
      <c r="J13" s="11"/>
      <c r="K13" s="218"/>
    </row>
    <row r="14" spans="3:11" ht="18.75">
      <c r="C14" s="339" t="s">
        <v>495</v>
      </c>
      <c r="D14" s="11"/>
      <c r="E14" s="11"/>
      <c r="G14" s="11"/>
      <c r="H14" s="11"/>
      <c r="J14" s="11"/>
      <c r="K14" s="218"/>
    </row>
    <row r="15" spans="3:11" ht="18">
      <c r="C15" s="43" t="s">
        <v>367</v>
      </c>
      <c r="D15" s="11" t="s">
        <v>34</v>
      </c>
      <c r="E15" s="11"/>
      <c r="G15" s="11"/>
      <c r="H15" s="11"/>
      <c r="J15" s="11"/>
      <c r="K15" s="218"/>
    </row>
    <row r="16" spans="3:11" ht="18">
      <c r="C16" s="43" t="s">
        <v>368</v>
      </c>
      <c r="D16" s="11" t="s">
        <v>395</v>
      </c>
      <c r="E16" s="11"/>
      <c r="G16" s="11"/>
      <c r="H16" s="11"/>
      <c r="J16" s="11"/>
      <c r="K16" s="218"/>
    </row>
    <row r="17" spans="3:11" ht="18">
      <c r="C17" s="43" t="s">
        <v>496</v>
      </c>
      <c r="D17" s="11" t="s">
        <v>169</v>
      </c>
      <c r="E17" s="11"/>
      <c r="G17" s="11"/>
      <c r="H17" s="11"/>
      <c r="I17" s="11"/>
      <c r="J17" s="11"/>
      <c r="K17" s="218"/>
    </row>
    <row r="18" spans="3:11" ht="18">
      <c r="C18" s="43"/>
      <c r="D18" s="11"/>
      <c r="E18" s="11"/>
      <c r="G18" s="11"/>
      <c r="H18" s="11"/>
      <c r="I18" s="11"/>
      <c r="J18" s="11"/>
      <c r="K18" s="218"/>
    </row>
    <row r="19" spans="3:11" ht="20.25">
      <c r="C19" s="336" t="s">
        <v>470</v>
      </c>
      <c r="D19" s="220"/>
      <c r="E19" s="11"/>
      <c r="G19" s="11"/>
      <c r="H19" s="11"/>
      <c r="I19" s="11"/>
      <c r="J19" s="11"/>
      <c r="K19" s="218"/>
    </row>
    <row r="20" spans="3:11" ht="18">
      <c r="C20" s="43" t="s">
        <v>372</v>
      </c>
      <c r="D20" s="11" t="s">
        <v>474</v>
      </c>
      <c r="E20" s="11"/>
      <c r="G20" s="11"/>
      <c r="H20" s="11"/>
      <c r="I20" s="11"/>
      <c r="J20" s="11"/>
      <c r="K20" s="218"/>
    </row>
    <row r="21" spans="3:11" ht="18">
      <c r="C21" s="43" t="s">
        <v>373</v>
      </c>
      <c r="D21" s="11" t="s">
        <v>273</v>
      </c>
      <c r="E21" s="11"/>
      <c r="G21" s="11"/>
      <c r="H21" s="11"/>
      <c r="I21" s="11"/>
      <c r="J21" s="11"/>
      <c r="K21" s="218"/>
    </row>
    <row r="22" spans="3:11" ht="18">
      <c r="C22" s="43" t="s">
        <v>468</v>
      </c>
      <c r="D22" s="11" t="s">
        <v>35</v>
      </c>
      <c r="E22" s="11"/>
      <c r="G22" s="11"/>
      <c r="H22" s="11"/>
      <c r="I22" s="11"/>
      <c r="J22" s="11"/>
      <c r="K22" s="218"/>
    </row>
    <row r="23" spans="3:11" ht="18">
      <c r="C23" s="43" t="s">
        <v>469</v>
      </c>
      <c r="D23" s="11" t="s">
        <v>407</v>
      </c>
      <c r="K23" s="218"/>
    </row>
    <row r="24" spans="3:11" ht="18">
      <c r="C24" s="43" t="s">
        <v>473</v>
      </c>
      <c r="D24" s="343" t="s">
        <v>502</v>
      </c>
      <c r="K24" s="218"/>
    </row>
    <row r="25" spans="3:11" ht="18">
      <c r="C25" s="43"/>
      <c r="D25" s="343"/>
      <c r="K25" s="218"/>
    </row>
    <row r="26" spans="3:11" ht="18">
      <c r="C26" s="43"/>
      <c r="D26" s="11"/>
      <c r="E26" s="11"/>
      <c r="G26" s="11"/>
      <c r="H26" s="11"/>
      <c r="I26" s="11"/>
      <c r="J26" s="11"/>
      <c r="K26" s="218"/>
    </row>
    <row r="27" spans="2:11" ht="18">
      <c r="B27" s="490"/>
      <c r="C27" s="493"/>
      <c r="D27" s="491"/>
      <c r="E27" s="492"/>
      <c r="F27" s="492"/>
      <c r="G27" s="493"/>
      <c r="H27" s="492"/>
      <c r="I27" s="494"/>
      <c r="J27" s="11"/>
      <c r="K27" s="218"/>
    </row>
    <row r="28" spans="2:11" ht="18">
      <c r="B28" s="475"/>
      <c r="C28" s="502" t="s">
        <v>552</v>
      </c>
      <c r="D28" s="503"/>
      <c r="E28" s="503"/>
      <c r="F28" s="503"/>
      <c r="G28" s="503"/>
      <c r="H28" s="503"/>
      <c r="I28" s="495"/>
      <c r="J28" s="11"/>
      <c r="K28" s="218"/>
    </row>
    <row r="29" spans="2:11" ht="18">
      <c r="B29" s="475"/>
      <c r="C29" s="7"/>
      <c r="D29" s="7"/>
      <c r="E29" s="7"/>
      <c r="F29" s="7"/>
      <c r="G29" s="7"/>
      <c r="H29" s="7"/>
      <c r="I29" s="495"/>
      <c r="J29" s="11"/>
      <c r="K29" s="218"/>
    </row>
    <row r="30" spans="2:11" ht="18">
      <c r="B30" s="475"/>
      <c r="C30" s="504" t="s">
        <v>553</v>
      </c>
      <c r="D30" s="7"/>
      <c r="E30" s="7"/>
      <c r="F30" s="7"/>
      <c r="G30" s="7"/>
      <c r="H30" s="7"/>
      <c r="I30" s="495"/>
      <c r="J30" s="11"/>
      <c r="K30" s="218"/>
    </row>
    <row r="31" spans="2:11" ht="18">
      <c r="B31" s="475"/>
      <c r="C31" s="505"/>
      <c r="D31" s="7"/>
      <c r="E31" s="7"/>
      <c r="F31" s="7"/>
      <c r="G31" s="7"/>
      <c r="H31" s="7"/>
      <c r="I31" s="495"/>
      <c r="J31" s="11"/>
      <c r="K31" s="218"/>
    </row>
    <row r="32" spans="2:11" ht="18">
      <c r="B32" s="475"/>
      <c r="C32" s="506" t="s">
        <v>554</v>
      </c>
      <c r="D32" s="7"/>
      <c r="E32" s="7"/>
      <c r="F32" s="7"/>
      <c r="G32" s="7"/>
      <c r="H32" s="7"/>
      <c r="I32" s="495"/>
      <c r="J32" s="11"/>
      <c r="K32" s="218"/>
    </row>
    <row r="33" spans="2:11" ht="18">
      <c r="B33" s="475"/>
      <c r="C33" s="505"/>
      <c r="D33" s="7"/>
      <c r="E33" s="7"/>
      <c r="F33" s="7"/>
      <c r="G33" s="7"/>
      <c r="H33" s="7"/>
      <c r="I33" s="495"/>
      <c r="J33" s="11"/>
      <c r="K33" s="218"/>
    </row>
    <row r="34" spans="2:11" ht="18">
      <c r="B34" s="475"/>
      <c r="C34" s="507" t="s">
        <v>555</v>
      </c>
      <c r="D34" s="7"/>
      <c r="E34" s="7"/>
      <c r="F34" s="7"/>
      <c r="G34" s="7"/>
      <c r="H34" s="7"/>
      <c r="I34" s="495"/>
      <c r="J34" s="11"/>
      <c r="K34" s="218"/>
    </row>
    <row r="35" spans="2:11" ht="18">
      <c r="B35" s="475"/>
      <c r="C35" s="505"/>
      <c r="D35" s="7"/>
      <c r="E35" s="7"/>
      <c r="F35" s="496"/>
      <c r="G35" s="7"/>
      <c r="H35" s="496"/>
      <c r="I35" s="495"/>
      <c r="J35" s="11"/>
      <c r="K35" s="218"/>
    </row>
    <row r="36" spans="2:11" ht="25.5">
      <c r="B36" s="475"/>
      <c r="C36" s="508" t="s">
        <v>556</v>
      </c>
      <c r="D36" s="7"/>
      <c r="E36" s="496"/>
      <c r="F36" s="496"/>
      <c r="G36" s="496"/>
      <c r="H36" s="496"/>
      <c r="I36" s="495"/>
      <c r="J36" s="11"/>
      <c r="K36" s="218"/>
    </row>
    <row r="37" spans="2:11" ht="18">
      <c r="B37" s="497"/>
      <c r="C37" s="274"/>
      <c r="D37" s="498"/>
      <c r="E37" s="499"/>
      <c r="F37" s="499"/>
      <c r="G37" s="274"/>
      <c r="H37" s="499"/>
      <c r="I37" s="500"/>
      <c r="J37" s="11"/>
      <c r="K37" s="218"/>
    </row>
    <row r="38" ht="18">
      <c r="C38" s="43"/>
    </row>
    <row r="39" ht="18">
      <c r="K39" s="218"/>
    </row>
    <row r="40" ht="18">
      <c r="K40" s="218"/>
    </row>
    <row r="41" ht="18">
      <c r="K41" s="218"/>
    </row>
    <row r="42" ht="18">
      <c r="K42" s="218"/>
    </row>
    <row r="45" spans="3:4" ht="18">
      <c r="C45" s="43"/>
      <c r="D45" s="343"/>
    </row>
    <row r="54" ht="12.75">
      <c r="K54" s="219"/>
    </row>
    <row r="55" ht="18">
      <c r="K55" s="11"/>
    </row>
    <row r="56" ht="18">
      <c r="K56" s="11"/>
    </row>
    <row r="57" ht="18">
      <c r="K57" s="11"/>
    </row>
    <row r="58" ht="18">
      <c r="K58" s="11"/>
    </row>
    <row r="59" ht="18">
      <c r="K59" s="11"/>
    </row>
    <row r="60" ht="18">
      <c r="K60" s="11"/>
    </row>
    <row r="61" ht="18">
      <c r="K61" s="11"/>
    </row>
    <row r="62" ht="18">
      <c r="K62" s="11"/>
    </row>
    <row r="63" ht="18">
      <c r="K63" s="11"/>
    </row>
    <row r="64" ht="18">
      <c r="K64" s="11"/>
    </row>
    <row r="65" ht="18">
      <c r="K65" s="11"/>
    </row>
    <row r="66" spans="5:11" ht="18">
      <c r="E66" s="43"/>
      <c r="F66" s="11"/>
      <c r="G66" s="11"/>
      <c r="I66" s="11"/>
      <c r="J66" s="11"/>
      <c r="K66" s="11"/>
    </row>
  </sheetData>
  <mergeCells count="3">
    <mergeCell ref="A1:M1"/>
    <mergeCell ref="A3:M3"/>
    <mergeCell ref="A2:M2"/>
  </mergeCells>
  <printOptions horizontalCentered="1"/>
  <pageMargins left="0.48" right="0.75" top="0.7" bottom="0.67" header="0.5" footer="0.5"/>
  <pageSetup fitToHeight="1" fitToWidth="1" horizontalDpi="300" verticalDpi="3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2"/>
  <sheetViews>
    <sheetView zoomScale="75" zoomScaleNormal="75" workbookViewId="0" topLeftCell="A1">
      <pane ySplit="4" topLeftCell="BM29" activePane="bottomLeft" state="frozen"/>
      <selection pane="topLeft" activeCell="A1" sqref="A1"/>
      <selection pane="bottomLeft" activeCell="F63" sqref="F63:J63"/>
    </sheetView>
  </sheetViews>
  <sheetFormatPr defaultColWidth="9.140625" defaultRowHeight="12.75"/>
  <cols>
    <col min="1" max="1" width="19.8515625" style="18" customWidth="1"/>
    <col min="2" max="2" width="10.8515625" style="18" customWidth="1"/>
    <col min="3" max="6" width="10.8515625" style="18" bestFit="1" customWidth="1"/>
    <col min="7" max="7" width="12.00390625" style="18" customWidth="1"/>
    <col min="8" max="8" width="11.28125" style="145" customWidth="1"/>
    <col min="9" max="9" width="8.00390625" style="124" customWidth="1"/>
    <col min="10" max="10" width="11.421875" style="14" bestFit="1" customWidth="1"/>
    <col min="11" max="16384" width="8.8515625" style="14" customWidth="1"/>
  </cols>
  <sheetData>
    <row r="1" spans="1:9" ht="18">
      <c r="A1" s="90" t="s">
        <v>385</v>
      </c>
      <c r="B1" s="174"/>
      <c r="C1" s="92"/>
      <c r="D1" s="173"/>
      <c r="E1" s="338" t="s">
        <v>373</v>
      </c>
      <c r="F1" s="173"/>
      <c r="G1" s="173"/>
      <c r="I1" s="255"/>
    </row>
    <row r="2" spans="1:9" ht="12.75">
      <c r="A2" s="39" t="s">
        <v>153</v>
      </c>
      <c r="I2" s="255"/>
    </row>
    <row r="3" spans="1:10" ht="12.75">
      <c r="A3" s="39"/>
      <c r="I3" s="416" t="s">
        <v>405</v>
      </c>
      <c r="J3" s="6" t="s">
        <v>404</v>
      </c>
    </row>
    <row r="4" spans="2:10" s="33" customFormat="1" ht="12.75">
      <c r="B4" s="203" t="s">
        <v>149</v>
      </c>
      <c r="C4" s="203" t="s">
        <v>172</v>
      </c>
      <c r="D4" s="203" t="s">
        <v>263</v>
      </c>
      <c r="E4" s="203" t="s">
        <v>279</v>
      </c>
      <c r="F4" s="203" t="s">
        <v>291</v>
      </c>
      <c r="G4" s="203" t="s">
        <v>322</v>
      </c>
      <c r="H4" s="204" t="s">
        <v>150</v>
      </c>
      <c r="I4" s="416" t="s">
        <v>406</v>
      </c>
      <c r="J4" s="205" t="s">
        <v>332</v>
      </c>
    </row>
    <row r="5" spans="2:17" ht="12.75">
      <c r="B5" s="381">
        <v>12169.093333333332</v>
      </c>
      <c r="C5" s="381">
        <v>14955.673333333334</v>
      </c>
      <c r="D5" s="381">
        <v>13524.28</v>
      </c>
      <c r="E5" s="381">
        <v>17899.013333333332</v>
      </c>
      <c r="F5" s="381">
        <v>11146.876666666665</v>
      </c>
      <c r="G5" s="284">
        <v>1203.0333333333335</v>
      </c>
      <c r="H5" s="424">
        <v>39639</v>
      </c>
      <c r="I5" s="425">
        <v>1</v>
      </c>
      <c r="J5" s="284">
        <f aca="true" t="shared" si="0" ref="J5:J51">G5</f>
        <v>1203.0333333333335</v>
      </c>
      <c r="L5" s="92"/>
      <c r="M5" s="92"/>
      <c r="N5" s="92"/>
      <c r="O5" s="92"/>
      <c r="P5" s="92"/>
      <c r="Q5" s="92"/>
    </row>
    <row r="6" spans="2:17" ht="12.75">
      <c r="B6" s="381">
        <v>20027.883333333335</v>
      </c>
      <c r="C6" s="381">
        <v>11995.236666666666</v>
      </c>
      <c r="D6" s="381">
        <v>17684.396666666667</v>
      </c>
      <c r="E6" s="381">
        <v>13117.956666666667</v>
      </c>
      <c r="F6" s="381">
        <v>15640.34</v>
      </c>
      <c r="G6" s="284">
        <v>19006.033333333333</v>
      </c>
      <c r="H6" s="424">
        <v>39646</v>
      </c>
      <c r="I6" s="425">
        <v>2</v>
      </c>
      <c r="J6" s="284">
        <f t="shared" si="0"/>
        <v>19006.033333333333</v>
      </c>
      <c r="L6" s="92"/>
      <c r="M6" s="92"/>
      <c r="N6" s="92"/>
      <c r="O6" s="92"/>
      <c r="P6" s="92"/>
      <c r="Q6" s="92"/>
    </row>
    <row r="7" spans="2:17" ht="12.75">
      <c r="B7" s="381">
        <v>18730.926666666666</v>
      </c>
      <c r="C7" s="381">
        <v>9190.66</v>
      </c>
      <c r="D7" s="381">
        <v>17175.04</v>
      </c>
      <c r="E7" s="381">
        <v>15757.026666666667</v>
      </c>
      <c r="F7" s="381">
        <v>12948.986666666666</v>
      </c>
      <c r="G7" s="284">
        <v>12955.666666666666</v>
      </c>
      <c r="H7" s="424">
        <v>39653</v>
      </c>
      <c r="I7" s="425">
        <v>3</v>
      </c>
      <c r="J7" s="284">
        <f t="shared" si="0"/>
        <v>12955.666666666666</v>
      </c>
      <c r="L7" s="92"/>
      <c r="M7" s="92"/>
      <c r="N7" s="92"/>
      <c r="O7" s="92"/>
      <c r="P7" s="92"/>
      <c r="Q7" s="92"/>
    </row>
    <row r="8" spans="2:17" ht="12.75">
      <c r="B8" s="381">
        <v>10251.296666666667</v>
      </c>
      <c r="C8" s="381">
        <v>10743.276666666667</v>
      </c>
      <c r="D8" s="381">
        <v>21048.213333333333</v>
      </c>
      <c r="E8" s="381">
        <v>18375.166666666668</v>
      </c>
      <c r="F8" s="381">
        <v>13108.45</v>
      </c>
      <c r="G8" s="284">
        <v>15789.893333333333</v>
      </c>
      <c r="H8" s="424">
        <v>39660</v>
      </c>
      <c r="I8" s="425">
        <v>4</v>
      </c>
      <c r="J8" s="284">
        <f t="shared" si="0"/>
        <v>15789.893333333333</v>
      </c>
      <c r="L8" s="92"/>
      <c r="M8" s="92"/>
      <c r="N8" s="92"/>
      <c r="O8" s="92"/>
      <c r="P8" s="92"/>
      <c r="Q8" s="92"/>
    </row>
    <row r="9" spans="2:17" ht="12.75">
      <c r="B9" s="381">
        <v>10312.95</v>
      </c>
      <c r="C9" s="381">
        <v>7970.333333333333</v>
      </c>
      <c r="D9" s="381">
        <v>21945.45</v>
      </c>
      <c r="E9" s="381">
        <v>11335.74</v>
      </c>
      <c r="F9" s="381">
        <v>14246.396666666667</v>
      </c>
      <c r="G9" s="284">
        <v>16337.326666666666</v>
      </c>
      <c r="H9" s="424">
        <v>39667</v>
      </c>
      <c r="I9" s="425">
        <v>5</v>
      </c>
      <c r="J9" s="284">
        <f t="shared" si="0"/>
        <v>16337.326666666666</v>
      </c>
      <c r="L9" s="92"/>
      <c r="M9" s="92"/>
      <c r="N9" s="92"/>
      <c r="O9" s="92"/>
      <c r="P9" s="92"/>
      <c r="Q9" s="92"/>
    </row>
    <row r="10" spans="2:17" ht="12.75">
      <c r="B10" s="381">
        <v>10173.033333333333</v>
      </c>
      <c r="C10" s="381">
        <v>12746.433333333334</v>
      </c>
      <c r="D10" s="381">
        <v>23128.063333333335</v>
      </c>
      <c r="E10" s="381">
        <v>19340.54</v>
      </c>
      <c r="F10" s="381">
        <v>15985.89</v>
      </c>
      <c r="G10" s="284">
        <v>16745.45333333333</v>
      </c>
      <c r="H10" s="424">
        <v>39674</v>
      </c>
      <c r="I10" s="425">
        <v>6</v>
      </c>
      <c r="J10" s="284">
        <f t="shared" si="0"/>
        <v>16745.45333333333</v>
      </c>
      <c r="L10" s="92"/>
      <c r="M10" s="92"/>
      <c r="N10" s="92"/>
      <c r="O10" s="92"/>
      <c r="P10" s="92"/>
      <c r="Q10" s="92"/>
    </row>
    <row r="11" spans="2:17" ht="12.75">
      <c r="B11" s="381">
        <v>9931.213333333333</v>
      </c>
      <c r="C11" s="381">
        <v>10445.286666666667</v>
      </c>
      <c r="D11" s="381">
        <v>23720.976666666666</v>
      </c>
      <c r="E11" s="381">
        <v>14471.003333333334</v>
      </c>
      <c r="F11" s="381">
        <v>17938.353333333333</v>
      </c>
      <c r="G11" s="284">
        <v>14949.53</v>
      </c>
      <c r="H11" s="424">
        <v>39681</v>
      </c>
      <c r="I11" s="425">
        <v>7</v>
      </c>
      <c r="J11" s="380">
        <f t="shared" si="0"/>
        <v>14949.53</v>
      </c>
      <c r="L11" s="92"/>
      <c r="M11" s="92"/>
      <c r="N11" s="92"/>
      <c r="O11" s="92"/>
      <c r="P11" s="92"/>
      <c r="Q11" s="92"/>
    </row>
    <row r="12" spans="2:10" ht="12.75">
      <c r="B12" s="381">
        <v>8666.423333333334</v>
      </c>
      <c r="C12" s="381">
        <v>13142.696666666665</v>
      </c>
      <c r="D12" s="381">
        <v>23027.12</v>
      </c>
      <c r="E12" s="381">
        <v>18402.333333333332</v>
      </c>
      <c r="F12" s="381">
        <v>13989.326666666668</v>
      </c>
      <c r="G12" s="284">
        <v>13509.4</v>
      </c>
      <c r="H12" s="424">
        <v>39688</v>
      </c>
      <c r="I12" s="425">
        <v>8</v>
      </c>
      <c r="J12" s="380">
        <f t="shared" si="0"/>
        <v>13509.4</v>
      </c>
    </row>
    <row r="13" spans="2:10" ht="12.75">
      <c r="B13" s="381">
        <v>10391.853333333334</v>
      </c>
      <c r="C13" s="381">
        <v>9708.56</v>
      </c>
      <c r="D13" s="381">
        <v>21456.13</v>
      </c>
      <c r="E13" s="381">
        <v>16118.38</v>
      </c>
      <c r="F13" s="381">
        <v>12388.1</v>
      </c>
      <c r="G13" s="284">
        <v>14800.766666666668</v>
      </c>
      <c r="H13" s="424">
        <v>39695</v>
      </c>
      <c r="I13" s="425">
        <v>9</v>
      </c>
      <c r="J13" s="380">
        <f t="shared" si="0"/>
        <v>14800.766666666668</v>
      </c>
    </row>
    <row r="14" spans="2:10" ht="12.75">
      <c r="B14" s="381">
        <v>7238.303333333333</v>
      </c>
      <c r="C14" s="381">
        <v>10673.693333333335</v>
      </c>
      <c r="D14" s="381">
        <v>19785.12</v>
      </c>
      <c r="E14" s="381">
        <v>13528.91</v>
      </c>
      <c r="F14" s="381">
        <v>17283.336666666666</v>
      </c>
      <c r="G14" s="284">
        <v>14727.883333333333</v>
      </c>
      <c r="H14" s="424">
        <v>39702</v>
      </c>
      <c r="I14" s="425">
        <v>10</v>
      </c>
      <c r="J14" s="380">
        <f t="shared" si="0"/>
        <v>14727.883333333333</v>
      </c>
    </row>
    <row r="15" spans="2:10" ht="12.75">
      <c r="B15" s="381">
        <v>15492.33</v>
      </c>
      <c r="C15" s="381">
        <v>14170.683333333334</v>
      </c>
      <c r="D15" s="381">
        <v>16376.723333333333</v>
      </c>
      <c r="E15" s="381">
        <v>23938.936666666665</v>
      </c>
      <c r="F15" s="381">
        <v>15283.516666666668</v>
      </c>
      <c r="G15" s="284">
        <v>13213.926666666666</v>
      </c>
      <c r="H15" s="424">
        <v>39709</v>
      </c>
      <c r="I15" s="425">
        <v>11</v>
      </c>
      <c r="J15" s="380">
        <f t="shared" si="0"/>
        <v>13213.926666666666</v>
      </c>
    </row>
    <row r="16" spans="2:10" ht="12.75">
      <c r="B16" s="381">
        <v>12359.83</v>
      </c>
      <c r="C16" s="381">
        <v>10597.09</v>
      </c>
      <c r="D16" s="381">
        <v>17760.43</v>
      </c>
      <c r="E16" s="381">
        <v>27156.826666666664</v>
      </c>
      <c r="F16" s="381">
        <v>21137.36</v>
      </c>
      <c r="G16" s="284">
        <v>18890.453333333335</v>
      </c>
      <c r="H16" s="424">
        <v>39716</v>
      </c>
      <c r="I16" s="425">
        <v>12</v>
      </c>
      <c r="J16" s="380">
        <f t="shared" si="0"/>
        <v>18890.453333333335</v>
      </c>
    </row>
    <row r="17" spans="2:10" ht="12.75">
      <c r="B17" s="381">
        <v>7384.073333333334</v>
      </c>
      <c r="C17" s="381">
        <v>12383.393333333333</v>
      </c>
      <c r="D17" s="381">
        <v>20363.856666666667</v>
      </c>
      <c r="E17" s="381">
        <v>18532.05</v>
      </c>
      <c r="F17" s="381">
        <v>15275.873333333335</v>
      </c>
      <c r="G17" s="284">
        <v>14489.493333333334</v>
      </c>
      <c r="H17" s="424">
        <v>39723</v>
      </c>
      <c r="I17" s="425">
        <v>13</v>
      </c>
      <c r="J17" s="380">
        <f t="shared" si="0"/>
        <v>14489.493333333334</v>
      </c>
    </row>
    <row r="18" spans="2:10" ht="12.75">
      <c r="B18" s="381">
        <v>9804.32</v>
      </c>
      <c r="C18" s="381">
        <v>10512.766666666666</v>
      </c>
      <c r="D18" s="381">
        <v>20794.096666666668</v>
      </c>
      <c r="E18" s="381">
        <v>40358.416666666664</v>
      </c>
      <c r="F18" s="381">
        <v>14690.72</v>
      </c>
      <c r="G18" s="284">
        <v>16066.633333333333</v>
      </c>
      <c r="H18" s="424">
        <v>39730</v>
      </c>
      <c r="I18" s="425">
        <v>14</v>
      </c>
      <c r="J18" s="380">
        <f t="shared" si="0"/>
        <v>16066.633333333333</v>
      </c>
    </row>
    <row r="19" spans="2:10" ht="12.75">
      <c r="B19" s="381">
        <v>12427.38</v>
      </c>
      <c r="C19" s="381">
        <v>15307.93</v>
      </c>
      <c r="D19" s="381">
        <v>21417.333333333332</v>
      </c>
      <c r="E19" s="381">
        <v>24604.083333333332</v>
      </c>
      <c r="F19" s="381">
        <v>16515.633333333335</v>
      </c>
      <c r="G19" s="284">
        <v>14423.386666666667</v>
      </c>
      <c r="H19" s="424">
        <v>39737</v>
      </c>
      <c r="I19" s="425">
        <v>15</v>
      </c>
      <c r="J19" s="380">
        <f t="shared" si="0"/>
        <v>14423.386666666667</v>
      </c>
    </row>
    <row r="20" spans="2:10" ht="12.75">
      <c r="B20" s="381">
        <v>11478.693333333335</v>
      </c>
      <c r="C20" s="381">
        <v>16188.173333333334</v>
      </c>
      <c r="D20" s="381">
        <v>15775.81</v>
      </c>
      <c r="E20" s="381">
        <v>21448.86333333333</v>
      </c>
      <c r="F20" s="381">
        <v>21675.176666666666</v>
      </c>
      <c r="G20" s="284">
        <v>13613.706666666665</v>
      </c>
      <c r="H20" s="424">
        <v>39744</v>
      </c>
      <c r="I20" s="425">
        <v>16</v>
      </c>
      <c r="J20" s="380">
        <f t="shared" si="0"/>
        <v>13613.706666666665</v>
      </c>
    </row>
    <row r="21" spans="2:10" ht="12.75">
      <c r="B21" s="381">
        <v>15149.09</v>
      </c>
      <c r="C21" s="381">
        <v>20194.163333333334</v>
      </c>
      <c r="D21" s="381">
        <v>17698.86666666667</v>
      </c>
      <c r="E21" s="381">
        <v>24338.233333333334</v>
      </c>
      <c r="F21" s="381">
        <v>30453.89333333333</v>
      </c>
      <c r="G21" s="284">
        <v>16689.273333333334</v>
      </c>
      <c r="H21" s="424">
        <v>39751</v>
      </c>
      <c r="I21" s="425">
        <v>17</v>
      </c>
      <c r="J21" s="380">
        <f t="shared" si="0"/>
        <v>16689.273333333334</v>
      </c>
    </row>
    <row r="22" spans="2:10" ht="12.75">
      <c r="B22" s="381">
        <v>19350.68</v>
      </c>
      <c r="C22" s="381">
        <v>12274.616666666667</v>
      </c>
      <c r="D22" s="381">
        <v>26795.19</v>
      </c>
      <c r="E22" s="381">
        <v>19253.67</v>
      </c>
      <c r="F22" s="381">
        <v>17485.64</v>
      </c>
      <c r="G22" s="284">
        <v>14097.316666666666</v>
      </c>
      <c r="H22" s="424">
        <v>39758</v>
      </c>
      <c r="I22" s="425">
        <v>18</v>
      </c>
      <c r="J22" s="380">
        <f t="shared" si="0"/>
        <v>14097.316666666666</v>
      </c>
    </row>
    <row r="23" spans="2:10" ht="12.75">
      <c r="B23" s="381">
        <v>12182.91</v>
      </c>
      <c r="C23" s="381">
        <v>10793.27</v>
      </c>
      <c r="D23" s="381">
        <v>15514.923333333334</v>
      </c>
      <c r="E23" s="381">
        <v>14629.716666666667</v>
      </c>
      <c r="F23" s="381">
        <v>10471.8</v>
      </c>
      <c r="G23" s="284">
        <v>18868.38333333333</v>
      </c>
      <c r="H23" s="424">
        <v>39765</v>
      </c>
      <c r="I23" s="425">
        <v>19</v>
      </c>
      <c r="J23" s="380">
        <f t="shared" si="0"/>
        <v>18868.38333333333</v>
      </c>
    </row>
    <row r="24" spans="2:10" ht="12.75">
      <c r="B24" s="381">
        <v>6019.063333333333</v>
      </c>
      <c r="C24" s="381">
        <v>18789.57666666667</v>
      </c>
      <c r="D24" s="381">
        <v>21013.36</v>
      </c>
      <c r="E24" s="381">
        <v>21387.763333333332</v>
      </c>
      <c r="F24" s="381">
        <v>15871.063333333334</v>
      </c>
      <c r="G24" s="284">
        <v>13394.053333333337</v>
      </c>
      <c r="H24" s="424">
        <v>39772</v>
      </c>
      <c r="I24" s="425">
        <v>20</v>
      </c>
      <c r="J24" s="380">
        <f t="shared" si="0"/>
        <v>13394.053333333337</v>
      </c>
    </row>
    <row r="25" spans="2:10" ht="12.75">
      <c r="B25" s="381">
        <v>13613.21</v>
      </c>
      <c r="C25" s="381">
        <v>14000.113333333333</v>
      </c>
      <c r="D25" s="381">
        <v>15843.916666666666</v>
      </c>
      <c r="E25" s="381">
        <v>17444.993333333336</v>
      </c>
      <c r="F25" s="381">
        <v>13063.846666666666</v>
      </c>
      <c r="G25" s="284">
        <v>14137.053333333335</v>
      </c>
      <c r="H25" s="424">
        <v>39779</v>
      </c>
      <c r="I25" s="425">
        <v>21</v>
      </c>
      <c r="J25" s="380">
        <f t="shared" si="0"/>
        <v>14137.053333333335</v>
      </c>
    </row>
    <row r="26" spans="2:10" ht="12.75">
      <c r="B26" s="381">
        <v>6838.846666666667</v>
      </c>
      <c r="C26" s="381">
        <v>19201.67</v>
      </c>
      <c r="D26" s="381">
        <v>13042.16</v>
      </c>
      <c r="E26" s="381">
        <v>18975.983333333334</v>
      </c>
      <c r="F26" s="381">
        <v>15593.116666666667</v>
      </c>
      <c r="G26" s="284">
        <v>7249.54</v>
      </c>
      <c r="H26" s="424">
        <v>39786</v>
      </c>
      <c r="I26" s="425">
        <v>22</v>
      </c>
      <c r="J26" s="380">
        <f t="shared" si="0"/>
        <v>7249.54</v>
      </c>
    </row>
    <row r="27" spans="2:10" ht="12.75">
      <c r="B27" s="381">
        <v>14055.466666666667</v>
      </c>
      <c r="C27" s="381">
        <v>11090.353333333333</v>
      </c>
      <c r="D27" s="381">
        <v>17527.10666666667</v>
      </c>
      <c r="E27" s="381">
        <v>13730.846666666666</v>
      </c>
      <c r="F27" s="381">
        <v>14165.47</v>
      </c>
      <c r="G27" s="284">
        <v>11304.63</v>
      </c>
      <c r="H27" s="424">
        <v>39793</v>
      </c>
      <c r="I27" s="425">
        <v>23</v>
      </c>
      <c r="J27" s="380">
        <f t="shared" si="0"/>
        <v>11304.63</v>
      </c>
    </row>
    <row r="28" spans="2:10" ht="12.75">
      <c r="B28" s="381">
        <v>3755.62</v>
      </c>
      <c r="C28" s="381">
        <v>11959.866666666669</v>
      </c>
      <c r="D28" s="381">
        <v>18439.24</v>
      </c>
      <c r="E28" s="381">
        <v>11002.503333333334</v>
      </c>
      <c r="F28" s="381">
        <v>11536.123333333335</v>
      </c>
      <c r="G28" s="284">
        <v>9043.686666666666</v>
      </c>
      <c r="H28" s="424">
        <v>39800</v>
      </c>
      <c r="I28" s="425">
        <v>24</v>
      </c>
      <c r="J28" s="380">
        <f t="shared" si="0"/>
        <v>9043.686666666666</v>
      </c>
    </row>
    <row r="29" spans="2:10" ht="12.75">
      <c r="B29" s="381">
        <v>10211.076666666666</v>
      </c>
      <c r="C29" s="381">
        <v>9666.26</v>
      </c>
      <c r="D29" s="381">
        <v>19895.243333333336</v>
      </c>
      <c r="E29" s="381">
        <v>10878.863333333333</v>
      </c>
      <c r="F29" s="381">
        <v>13090.996666666666</v>
      </c>
      <c r="G29" s="284">
        <v>6028.01</v>
      </c>
      <c r="H29" s="424">
        <v>39807</v>
      </c>
      <c r="I29" s="425">
        <v>25</v>
      </c>
      <c r="J29" s="380">
        <f t="shared" si="0"/>
        <v>6028.01</v>
      </c>
    </row>
    <row r="30" spans="2:10" ht="12.75">
      <c r="B30" s="381">
        <v>11043.656666666668</v>
      </c>
      <c r="C30" s="381">
        <v>17140.38</v>
      </c>
      <c r="D30" s="381">
        <v>17687.956666666665</v>
      </c>
      <c r="E30" s="381">
        <v>12754.98</v>
      </c>
      <c r="F30" s="381">
        <v>9160.12</v>
      </c>
      <c r="G30" s="284">
        <v>12620.49</v>
      </c>
      <c r="H30" s="424">
        <v>39813</v>
      </c>
      <c r="I30" s="425">
        <v>26</v>
      </c>
      <c r="J30" s="380">
        <f t="shared" si="0"/>
        <v>12620.49</v>
      </c>
    </row>
    <row r="31" spans="2:10" ht="12.75">
      <c r="B31" s="381">
        <v>18738.58</v>
      </c>
      <c r="C31" s="381">
        <v>15555.686666666666</v>
      </c>
      <c r="D31" s="381">
        <v>20459.58</v>
      </c>
      <c r="E31" s="381">
        <v>10000.073333333334</v>
      </c>
      <c r="F31" s="381">
        <v>10615.686666666666</v>
      </c>
      <c r="G31" s="284">
        <v>13855.47</v>
      </c>
      <c r="H31" s="424">
        <v>39821</v>
      </c>
      <c r="I31" s="425">
        <v>27</v>
      </c>
      <c r="J31" s="380">
        <f t="shared" si="0"/>
        <v>13855.47</v>
      </c>
    </row>
    <row r="32" spans="2:10" ht="12.75">
      <c r="B32" s="381">
        <v>20524.353333333333</v>
      </c>
      <c r="C32" s="381">
        <v>6460.85</v>
      </c>
      <c r="D32" s="381">
        <v>16492.14</v>
      </c>
      <c r="E32" s="381">
        <v>10333.046666666667</v>
      </c>
      <c r="F32" s="381">
        <v>9510.076666666666</v>
      </c>
      <c r="G32" s="284">
        <v>14578.15</v>
      </c>
      <c r="H32" s="424">
        <v>39828</v>
      </c>
      <c r="I32" s="425">
        <v>28</v>
      </c>
      <c r="J32" s="380">
        <f t="shared" si="0"/>
        <v>14578.15</v>
      </c>
    </row>
    <row r="33" spans="2:10" ht="12.75">
      <c r="B33" s="381">
        <v>9919.7</v>
      </c>
      <c r="C33" s="381">
        <v>9121.89</v>
      </c>
      <c r="D33" s="381">
        <v>19160.27666666667</v>
      </c>
      <c r="E33" s="381">
        <v>8095.58</v>
      </c>
      <c r="F33" s="381">
        <v>9246.29</v>
      </c>
      <c r="G33" s="284">
        <v>10520.85</v>
      </c>
      <c r="H33" s="424">
        <v>39835</v>
      </c>
      <c r="I33" s="425">
        <v>29</v>
      </c>
      <c r="J33" s="380">
        <f t="shared" si="0"/>
        <v>10520.85</v>
      </c>
    </row>
    <row r="34" spans="2:10" ht="12.75">
      <c r="B34" s="381">
        <v>7891.7266666666665</v>
      </c>
      <c r="C34" s="381">
        <v>11132.203333333331</v>
      </c>
      <c r="D34" s="381">
        <v>21046.716666666667</v>
      </c>
      <c r="E34" s="381">
        <v>8815.256666666666</v>
      </c>
      <c r="F34" s="381">
        <v>12753.43</v>
      </c>
      <c r="G34" s="284">
        <v>9594.926666666666</v>
      </c>
      <c r="H34" s="424">
        <v>39842</v>
      </c>
      <c r="I34" s="425">
        <v>30</v>
      </c>
      <c r="J34" s="380">
        <f t="shared" si="0"/>
        <v>9594.926666666666</v>
      </c>
    </row>
    <row r="35" spans="2:10" ht="12.75">
      <c r="B35" s="381">
        <v>14777.326666666668</v>
      </c>
      <c r="C35" s="381">
        <v>8752.883333333333</v>
      </c>
      <c r="D35" s="381">
        <v>15750.4</v>
      </c>
      <c r="E35" s="381">
        <v>11086.17</v>
      </c>
      <c r="F35" s="381">
        <v>9122.27</v>
      </c>
      <c r="G35" s="284">
        <v>8079.68</v>
      </c>
      <c r="H35" s="424">
        <v>39849</v>
      </c>
      <c r="I35" s="425">
        <v>31</v>
      </c>
      <c r="J35" s="380">
        <f t="shared" si="0"/>
        <v>8079.68</v>
      </c>
    </row>
    <row r="36" spans="2:10" ht="12.75">
      <c r="B36" s="381">
        <v>7648.613333333334</v>
      </c>
      <c r="C36" s="381">
        <v>7580.006666666668</v>
      </c>
      <c r="D36" s="381">
        <v>13930.74</v>
      </c>
      <c r="E36" s="381">
        <v>11328.39</v>
      </c>
      <c r="F36" s="381">
        <v>10224.22</v>
      </c>
      <c r="G36" s="284">
        <v>11609.366666666667</v>
      </c>
      <c r="H36" s="424">
        <v>39856</v>
      </c>
      <c r="I36" s="425">
        <v>32</v>
      </c>
      <c r="J36" s="380">
        <f t="shared" si="0"/>
        <v>11609.366666666667</v>
      </c>
    </row>
    <row r="37" spans="2:10" ht="12.75">
      <c r="B37" s="381">
        <v>6799.903333333333</v>
      </c>
      <c r="C37" s="381">
        <v>12856.81</v>
      </c>
      <c r="D37" s="381">
        <v>19238.27666666667</v>
      </c>
      <c r="E37" s="381">
        <v>12428.333333333334</v>
      </c>
      <c r="F37" s="381">
        <v>13872.016666666668</v>
      </c>
      <c r="G37" s="284">
        <v>8309.896666666666</v>
      </c>
      <c r="H37" s="424">
        <v>39863</v>
      </c>
      <c r="I37" s="425">
        <v>33</v>
      </c>
      <c r="J37" s="380">
        <f t="shared" si="0"/>
        <v>8309.896666666666</v>
      </c>
    </row>
    <row r="38" spans="2:10" ht="12.75">
      <c r="B38" s="381">
        <v>14593.26</v>
      </c>
      <c r="C38" s="381">
        <v>9183.72</v>
      </c>
      <c r="D38" s="381">
        <v>20574.47333333333</v>
      </c>
      <c r="E38" s="381">
        <v>12112</v>
      </c>
      <c r="F38" s="381">
        <v>16010.43</v>
      </c>
      <c r="G38" s="284">
        <v>11388.813333333334</v>
      </c>
      <c r="H38" s="424">
        <v>39870</v>
      </c>
      <c r="I38" s="425">
        <v>34</v>
      </c>
      <c r="J38" s="380">
        <f t="shared" si="0"/>
        <v>11388.813333333334</v>
      </c>
    </row>
    <row r="39" spans="2:10" ht="12.75">
      <c r="B39" s="381">
        <v>14387.506666666666</v>
      </c>
      <c r="C39" s="381">
        <v>9490.14</v>
      </c>
      <c r="D39" s="381">
        <v>24471.463333333333</v>
      </c>
      <c r="E39" s="381">
        <v>8924</v>
      </c>
      <c r="F39" s="381">
        <v>11987.77</v>
      </c>
      <c r="G39" s="284">
        <v>9132.55</v>
      </c>
      <c r="H39" s="424">
        <v>39877</v>
      </c>
      <c r="I39" s="425">
        <v>35</v>
      </c>
      <c r="J39" s="380">
        <f t="shared" si="0"/>
        <v>9132.55</v>
      </c>
    </row>
    <row r="40" spans="2:10" ht="12.75">
      <c r="B40" s="381">
        <v>9218.54</v>
      </c>
      <c r="C40" s="381">
        <v>8585.963333333335</v>
      </c>
      <c r="D40" s="381">
        <v>24991.693333333333</v>
      </c>
      <c r="E40" s="381">
        <v>9904</v>
      </c>
      <c r="F40" s="381">
        <v>15884.37</v>
      </c>
      <c r="G40" s="284">
        <v>9550.253333333332</v>
      </c>
      <c r="H40" s="424">
        <v>39884</v>
      </c>
      <c r="I40" s="425">
        <v>36</v>
      </c>
      <c r="J40" s="380">
        <f t="shared" si="0"/>
        <v>9550.253333333332</v>
      </c>
    </row>
    <row r="41" spans="2:10" ht="12.75">
      <c r="B41" s="381">
        <v>8616.433333333332</v>
      </c>
      <c r="C41" s="381">
        <v>7205.51</v>
      </c>
      <c r="D41" s="381">
        <v>19250.213333333333</v>
      </c>
      <c r="E41" s="381">
        <v>10887.333333333334</v>
      </c>
      <c r="F41" s="381">
        <v>6971.08</v>
      </c>
      <c r="G41" s="284">
        <v>12637.663333333332</v>
      </c>
      <c r="H41" s="424">
        <v>39891</v>
      </c>
      <c r="I41" s="425">
        <v>37</v>
      </c>
      <c r="J41" s="380">
        <f t="shared" si="0"/>
        <v>12637.663333333332</v>
      </c>
    </row>
    <row r="42" spans="2:10" ht="12.75">
      <c r="B42" s="381">
        <v>7229.633333333334</v>
      </c>
      <c r="C42" s="381">
        <v>6894.14</v>
      </c>
      <c r="D42" s="381">
        <v>13998.25</v>
      </c>
      <c r="E42" s="381">
        <v>14897.333333333334</v>
      </c>
      <c r="F42" s="381">
        <v>7636.566666666667</v>
      </c>
      <c r="G42" s="284">
        <v>13865.463333333335</v>
      </c>
      <c r="H42" s="424">
        <v>39898</v>
      </c>
      <c r="I42" s="425">
        <v>38</v>
      </c>
      <c r="J42" s="380">
        <f t="shared" si="0"/>
        <v>13865.463333333335</v>
      </c>
    </row>
    <row r="43" spans="2:10" ht="12.75">
      <c r="B43" s="381">
        <v>12663.003333333334</v>
      </c>
      <c r="C43" s="381">
        <v>17621.346666666668</v>
      </c>
      <c r="D43" s="381">
        <v>12442.253333333334</v>
      </c>
      <c r="E43" s="381">
        <v>12641.09</v>
      </c>
      <c r="F43" s="381">
        <v>8853.776666666667</v>
      </c>
      <c r="G43" s="284">
        <v>10226.32</v>
      </c>
      <c r="H43" s="424">
        <v>39905</v>
      </c>
      <c r="I43" s="425">
        <v>39</v>
      </c>
      <c r="J43" s="380">
        <f t="shared" si="0"/>
        <v>10226.32</v>
      </c>
    </row>
    <row r="44" spans="2:10" ht="12.75">
      <c r="B44" s="381">
        <v>6744.84</v>
      </c>
      <c r="C44" s="381">
        <v>11313.56</v>
      </c>
      <c r="D44" s="381">
        <v>17486.353333333333</v>
      </c>
      <c r="E44" s="381">
        <v>6031.46</v>
      </c>
      <c r="F44" s="381">
        <v>13716.956666666667</v>
      </c>
      <c r="G44" s="284">
        <v>11759.006666666666</v>
      </c>
      <c r="H44" s="424">
        <v>39912</v>
      </c>
      <c r="I44" s="425">
        <v>40</v>
      </c>
      <c r="J44" s="380">
        <f t="shared" si="0"/>
        <v>11759.006666666666</v>
      </c>
    </row>
    <row r="45" spans="2:10" ht="12.75">
      <c r="B45" s="381">
        <v>11800.666666666666</v>
      </c>
      <c r="C45" s="381">
        <v>11408.51</v>
      </c>
      <c r="D45" s="381">
        <v>19601.486666666668</v>
      </c>
      <c r="E45" s="381">
        <v>8707.65</v>
      </c>
      <c r="F45" s="381">
        <v>6581.246666666667</v>
      </c>
      <c r="G45" s="284">
        <v>11634.203333333333</v>
      </c>
      <c r="H45" s="424">
        <v>39919</v>
      </c>
      <c r="I45" s="425">
        <v>41</v>
      </c>
      <c r="J45" s="380">
        <f t="shared" si="0"/>
        <v>11634.203333333333</v>
      </c>
    </row>
    <row r="46" spans="2:10" ht="12.75">
      <c r="B46" s="381">
        <v>21328.54</v>
      </c>
      <c r="C46" s="381">
        <v>14655.866666666667</v>
      </c>
      <c r="D46" s="381">
        <v>13640.016666666668</v>
      </c>
      <c r="E46" s="381">
        <v>10729.08</v>
      </c>
      <c r="F46" s="381">
        <v>9638.44</v>
      </c>
      <c r="G46" s="284">
        <v>17069.216666666664</v>
      </c>
      <c r="H46" s="424">
        <v>39926</v>
      </c>
      <c r="I46" s="425">
        <v>42</v>
      </c>
      <c r="J46" s="380">
        <f t="shared" si="0"/>
        <v>17069.216666666664</v>
      </c>
    </row>
    <row r="47" spans="2:10" ht="12.75">
      <c r="B47" s="381">
        <v>9732.923333333334</v>
      </c>
      <c r="C47" s="381">
        <v>10804.4</v>
      </c>
      <c r="D47" s="381">
        <v>13473.03</v>
      </c>
      <c r="E47" s="381">
        <v>8660.133333333333</v>
      </c>
      <c r="F47" s="381">
        <v>12513.086666666668</v>
      </c>
      <c r="G47" s="284">
        <v>12823.756666666668</v>
      </c>
      <c r="H47" s="424">
        <v>39933</v>
      </c>
      <c r="I47" s="425">
        <v>43</v>
      </c>
      <c r="J47" s="380">
        <f t="shared" si="0"/>
        <v>12823.756666666668</v>
      </c>
    </row>
    <row r="48" spans="2:10" ht="12.75">
      <c r="B48" s="381">
        <v>11154.296666666667</v>
      </c>
      <c r="C48" s="381">
        <v>20352.93</v>
      </c>
      <c r="D48" s="381">
        <v>13940.953333333333</v>
      </c>
      <c r="E48" s="381">
        <v>13737.503333333334</v>
      </c>
      <c r="F48" s="381">
        <v>12638.733333333332</v>
      </c>
      <c r="G48" s="284">
        <v>20414.53</v>
      </c>
      <c r="H48" s="424">
        <v>39940</v>
      </c>
      <c r="I48" s="425">
        <v>44</v>
      </c>
      <c r="J48" s="380">
        <f t="shared" si="0"/>
        <v>20414.53</v>
      </c>
    </row>
    <row r="49" spans="2:10" ht="12.75">
      <c r="B49" s="381">
        <v>10580.476666666667</v>
      </c>
      <c r="C49" s="381">
        <v>10911.116666666667</v>
      </c>
      <c r="D49" s="381">
        <v>17505.596666666668</v>
      </c>
      <c r="E49" s="381">
        <v>13179.886666666667</v>
      </c>
      <c r="F49" s="381">
        <v>10861.426666666666</v>
      </c>
      <c r="G49" s="284">
        <v>16131.426666666666</v>
      </c>
      <c r="H49" s="424">
        <v>39947</v>
      </c>
      <c r="I49" s="425">
        <v>45</v>
      </c>
      <c r="J49" s="380">
        <f t="shared" si="0"/>
        <v>16131.426666666666</v>
      </c>
    </row>
    <row r="50" spans="2:10" ht="12.75">
      <c r="B50" s="381">
        <v>8339.173333333334</v>
      </c>
      <c r="C50" s="381">
        <v>12662.2</v>
      </c>
      <c r="D50" s="381">
        <v>16209.6</v>
      </c>
      <c r="E50" s="381">
        <v>9990.013333333334</v>
      </c>
      <c r="F50" s="381">
        <v>12772.976666666667</v>
      </c>
      <c r="G50" s="284">
        <v>12737.183333333334</v>
      </c>
      <c r="H50" s="424">
        <v>39954</v>
      </c>
      <c r="I50" s="425">
        <v>46</v>
      </c>
      <c r="J50" s="380">
        <f t="shared" si="0"/>
        <v>12737.183333333334</v>
      </c>
    </row>
    <row r="51" spans="2:10" ht="12.75">
      <c r="B51" s="381">
        <v>11941.866666666667</v>
      </c>
      <c r="C51" s="381">
        <v>10583.41</v>
      </c>
      <c r="D51" s="381">
        <v>11736.3</v>
      </c>
      <c r="E51" s="381">
        <v>15592.913333333332</v>
      </c>
      <c r="F51" s="381">
        <v>11962.19</v>
      </c>
      <c r="G51" s="284">
        <v>17387.39333333333</v>
      </c>
      <c r="H51" s="424">
        <v>39961</v>
      </c>
      <c r="I51" s="425">
        <v>47</v>
      </c>
      <c r="J51" s="380">
        <f t="shared" si="0"/>
        <v>17387.39333333333</v>
      </c>
    </row>
    <row r="52" spans="2:10" ht="12.75">
      <c r="B52" s="381">
        <v>11035.713333333333</v>
      </c>
      <c r="C52" s="381">
        <v>10161.12</v>
      </c>
      <c r="D52" s="381">
        <v>15364.35</v>
      </c>
      <c r="E52" s="381">
        <v>27190.963333333333</v>
      </c>
      <c r="F52" s="381">
        <v>20640.38666666667</v>
      </c>
      <c r="G52" s="284">
        <v>0</v>
      </c>
      <c r="H52" s="424">
        <v>39968</v>
      </c>
      <c r="I52" s="425">
        <v>48</v>
      </c>
      <c r="J52" s="284">
        <f>$D$62+1000</f>
        <v>14853.03472222222</v>
      </c>
    </row>
    <row r="53" spans="2:10" ht="12.75">
      <c r="B53" s="381">
        <v>10351.543333333333</v>
      </c>
      <c r="C53" s="381">
        <v>12090.046666666667</v>
      </c>
      <c r="D53" s="381">
        <v>21500.146666666667</v>
      </c>
      <c r="E53" s="381">
        <v>20429.383333333335</v>
      </c>
      <c r="F53" s="381">
        <v>12248.076666666666</v>
      </c>
      <c r="G53" s="284">
        <v>0</v>
      </c>
      <c r="H53" s="424">
        <v>39975</v>
      </c>
      <c r="I53" s="425">
        <v>49</v>
      </c>
      <c r="J53" s="284">
        <f>$D$62+1000</f>
        <v>14853.03472222222</v>
      </c>
    </row>
    <row r="54" spans="2:10" ht="12.75">
      <c r="B54" s="381">
        <v>18649.943333333333</v>
      </c>
      <c r="C54" s="381">
        <v>11572.093333333332</v>
      </c>
      <c r="D54" s="381">
        <v>18525.673333333332</v>
      </c>
      <c r="E54" s="381">
        <v>16481.826666666668</v>
      </c>
      <c r="F54" s="381">
        <v>17616.826666666668</v>
      </c>
      <c r="G54" s="284">
        <v>0</v>
      </c>
      <c r="H54" s="424">
        <v>39982</v>
      </c>
      <c r="I54" s="425">
        <v>50</v>
      </c>
      <c r="J54" s="284">
        <f>$D$62+1000</f>
        <v>14853.03472222222</v>
      </c>
    </row>
    <row r="55" spans="2:10" ht="12.75">
      <c r="B55" s="381">
        <v>9614.49</v>
      </c>
      <c r="C55" s="381">
        <v>13095.61</v>
      </c>
      <c r="D55" s="381">
        <v>14495.78</v>
      </c>
      <c r="E55" s="381">
        <v>14335.666666666666</v>
      </c>
      <c r="F55" s="381">
        <v>4909.243333333333</v>
      </c>
      <c r="G55" s="284">
        <v>0</v>
      </c>
      <c r="H55" s="424">
        <v>39989</v>
      </c>
      <c r="I55" s="425">
        <v>51</v>
      </c>
      <c r="J55" s="284">
        <f>$D$62+1000</f>
        <v>14853.03472222222</v>
      </c>
    </row>
    <row r="56" spans="2:10" ht="12.75">
      <c r="B56" s="381">
        <v>3744.213333333333</v>
      </c>
      <c r="C56" s="381">
        <v>15651.82</v>
      </c>
      <c r="D56" s="381">
        <v>13692.686666666666</v>
      </c>
      <c r="E56" s="381">
        <v>20801.666666666668</v>
      </c>
      <c r="F56" s="381">
        <v>7299.76</v>
      </c>
      <c r="G56" s="284">
        <v>0</v>
      </c>
      <c r="H56" s="287">
        <v>39996</v>
      </c>
      <c r="I56" s="417">
        <v>52</v>
      </c>
      <c r="J56" s="284">
        <f>$D$62+1000</f>
        <v>14853.03472222222</v>
      </c>
    </row>
    <row r="57" spans="1:18" ht="12.75">
      <c r="A57" s="18" t="s">
        <v>292</v>
      </c>
      <c r="B57" s="381">
        <v>9783</v>
      </c>
      <c r="C57" s="372"/>
      <c r="D57" s="372"/>
      <c r="E57" s="372">
        <v>-86333</v>
      </c>
      <c r="F57" s="372">
        <v>-16667</v>
      </c>
      <c r="G57" s="272"/>
      <c r="H57" s="287"/>
      <c r="I57" s="255"/>
      <c r="J57" s="284"/>
      <c r="L57" s="18"/>
      <c r="M57" s="18"/>
      <c r="N57" s="18"/>
      <c r="O57" s="18"/>
      <c r="P57" s="18"/>
      <c r="Q57" s="18"/>
      <c r="R57" s="18"/>
    </row>
    <row r="58" spans="1:18" ht="12.75">
      <c r="A58" s="18" t="s">
        <v>127</v>
      </c>
      <c r="B58" s="377">
        <f aca="true" t="shared" si="1" ref="B58:G58">SUM(B5:B57)</f>
        <v>606869.4900000002</v>
      </c>
      <c r="C58" s="377">
        <f t="shared" si="1"/>
        <v>631545.9899999999</v>
      </c>
      <c r="D58" s="377">
        <f t="shared" si="1"/>
        <v>947419.4533333335</v>
      </c>
      <c r="E58" s="377">
        <f t="shared" si="1"/>
        <v>719770.5533333332</v>
      </c>
      <c r="F58" s="377">
        <f t="shared" si="1"/>
        <v>679566.7399999996</v>
      </c>
      <c r="G58" s="377">
        <f t="shared" si="1"/>
        <v>617461.1433333333</v>
      </c>
      <c r="H58" s="255"/>
      <c r="I58" s="418"/>
      <c r="J58" s="377">
        <f>SUM(J5:J57)</f>
        <v>691726.3169444446</v>
      </c>
      <c r="L58" s="18"/>
      <c r="M58" s="18"/>
      <c r="N58" s="18"/>
      <c r="O58" s="18"/>
      <c r="P58" s="18"/>
      <c r="Q58" s="18"/>
      <c r="R58" s="18"/>
    </row>
    <row r="59" spans="1:20" ht="12.75">
      <c r="A59" s="18" t="s">
        <v>128</v>
      </c>
      <c r="B59" s="381">
        <v>703333</v>
      </c>
      <c r="C59" s="372">
        <v>616640</v>
      </c>
      <c r="D59" s="372">
        <v>616667</v>
      </c>
      <c r="E59" s="372">
        <v>735000</v>
      </c>
      <c r="F59" s="372">
        <v>713333</v>
      </c>
      <c r="G59" s="372">
        <v>713333</v>
      </c>
      <c r="H59" s="418"/>
      <c r="I59" s="255"/>
      <c r="J59" s="381">
        <v>713333</v>
      </c>
      <c r="L59" s="18"/>
      <c r="M59" s="18"/>
      <c r="N59" s="18"/>
      <c r="O59" s="18"/>
      <c r="P59" s="18"/>
      <c r="Q59" s="18"/>
      <c r="R59" s="18"/>
      <c r="S59" s="18"/>
      <c r="T59" s="18"/>
    </row>
    <row r="60" spans="1:18" ht="12.75">
      <c r="A60" s="18" t="s">
        <v>129</v>
      </c>
      <c r="B60" s="380">
        <f>+B59-B58</f>
        <v>96463.50999999978</v>
      </c>
      <c r="C60" s="380">
        <f>+C59-C58</f>
        <v>-14905.989999999874</v>
      </c>
      <c r="D60" s="380">
        <f>+D59-D58</f>
        <v>-330752.4533333335</v>
      </c>
      <c r="E60" s="380">
        <f>+E59-E58</f>
        <v>15229.446666666772</v>
      </c>
      <c r="F60" s="380">
        <f>+F59-F58</f>
        <v>33766.26000000036</v>
      </c>
      <c r="G60" s="120"/>
      <c r="H60" s="255"/>
      <c r="I60" s="418"/>
      <c r="J60" s="380">
        <f>SUM(J58-J59)</f>
        <v>-21606.683055555448</v>
      </c>
      <c r="L60" s="18"/>
      <c r="M60" s="18"/>
      <c r="N60" s="18"/>
      <c r="O60" s="18"/>
      <c r="P60" s="18"/>
      <c r="Q60" s="18"/>
      <c r="R60" s="18"/>
    </row>
    <row r="61" spans="2:16" ht="12.75">
      <c r="B61" s="120"/>
      <c r="C61" s="120"/>
      <c r="D61" s="120"/>
      <c r="E61" s="120"/>
      <c r="F61" s="120"/>
      <c r="G61" s="120"/>
      <c r="H61" s="255"/>
      <c r="I61" s="418"/>
      <c r="J61" s="120"/>
      <c r="P61" s="18"/>
    </row>
    <row r="62" spans="1:10" ht="13.5" thickBot="1">
      <c r="A62" s="90" t="s">
        <v>335</v>
      </c>
      <c r="B62" s="161"/>
      <c r="C62" s="161"/>
      <c r="D62" s="288">
        <f>SUM(G40:G51)/12</f>
        <v>13853.03472222222</v>
      </c>
      <c r="E62" s="120" t="s">
        <v>421</v>
      </c>
      <c r="F62" s="120"/>
      <c r="G62" s="120"/>
      <c r="H62" s="255"/>
      <c r="I62" s="255"/>
      <c r="J62" s="93"/>
    </row>
    <row r="63" spans="1:10" s="1" customFormat="1" ht="25.5" customHeight="1" thickBot="1">
      <c r="A63" s="90" t="s">
        <v>274</v>
      </c>
      <c r="B63" s="161"/>
      <c r="C63" s="161"/>
      <c r="D63" s="288">
        <f>G58/47</f>
        <v>13137.471134751773</v>
      </c>
      <c r="E63" s="420"/>
      <c r="F63" s="534" t="s">
        <v>558</v>
      </c>
      <c r="G63" s="533" t="s">
        <v>553</v>
      </c>
      <c r="H63" s="506" t="s">
        <v>554</v>
      </c>
      <c r="I63" s="507" t="s">
        <v>555</v>
      </c>
      <c r="J63" s="508" t="s">
        <v>556</v>
      </c>
    </row>
    <row r="64" spans="1:10" ht="12.75">
      <c r="A64" s="90" t="s">
        <v>301</v>
      </c>
      <c r="B64" s="120"/>
      <c r="C64" s="120"/>
      <c r="D64" s="419">
        <f>F58/52</f>
        <v>13068.591153846148</v>
      </c>
      <c r="E64" s="120"/>
      <c r="F64" s="120"/>
      <c r="G64" s="505"/>
      <c r="H64" s="255"/>
      <c r="I64" s="79"/>
      <c r="J64" s="93"/>
    </row>
    <row r="65" spans="1:10" ht="12.75">
      <c r="A65" s="90"/>
      <c r="D65" s="39"/>
      <c r="H65" s="175"/>
      <c r="J65" s="93"/>
    </row>
    <row r="66" spans="4:10" ht="12.75">
      <c r="D66" s="14"/>
      <c r="E66" s="14"/>
      <c r="F66" s="92"/>
      <c r="G66" s="14"/>
      <c r="I66" s="14"/>
      <c r="J66" s="93"/>
    </row>
    <row r="67" spans="4:10" ht="12.75">
      <c r="D67" s="14"/>
      <c r="E67" s="14"/>
      <c r="F67" s="92"/>
      <c r="G67" s="14"/>
      <c r="I67" s="14"/>
      <c r="J67" s="93"/>
    </row>
    <row r="68" spans="4:10" ht="12.75">
      <c r="D68" s="14"/>
      <c r="E68" s="14"/>
      <c r="F68" s="14"/>
      <c r="I68" s="14"/>
      <c r="J68" s="93"/>
    </row>
    <row r="69" spans="4:10" ht="12.75">
      <c r="D69" s="14"/>
      <c r="E69" s="14"/>
      <c r="F69" s="14"/>
      <c r="G69" s="14"/>
      <c r="I69" s="14"/>
      <c r="J69" s="93"/>
    </row>
    <row r="70" spans="4:10" ht="12.75">
      <c r="D70" s="14"/>
      <c r="E70" s="14"/>
      <c r="F70" s="14"/>
      <c r="G70" s="14"/>
      <c r="I70" s="14"/>
      <c r="J70" s="93"/>
    </row>
    <row r="71" spans="4:10" ht="12.75">
      <c r="D71" s="14"/>
      <c r="E71" s="14"/>
      <c r="F71" s="14"/>
      <c r="G71" s="14"/>
      <c r="I71" s="14"/>
      <c r="J71" s="93"/>
    </row>
    <row r="72" spans="4:10" ht="12.75">
      <c r="D72" s="14"/>
      <c r="F72" s="14"/>
      <c r="G72" s="14"/>
      <c r="I72" s="14"/>
      <c r="J72" s="93"/>
    </row>
    <row r="73" spans="4:10" ht="12.75">
      <c r="D73" s="14"/>
      <c r="E73" s="14"/>
      <c r="F73" s="14"/>
      <c r="G73" s="14"/>
      <c r="I73" s="14"/>
      <c r="J73" s="93"/>
    </row>
    <row r="74" spans="4:10" ht="12.75">
      <c r="D74" s="14"/>
      <c r="E74" s="14"/>
      <c r="F74" s="14"/>
      <c r="G74" s="14"/>
      <c r="I74" s="14"/>
      <c r="J74" s="93"/>
    </row>
    <row r="75" spans="4:10" ht="12.75">
      <c r="D75" s="14"/>
      <c r="E75" s="14"/>
      <c r="F75" s="14"/>
      <c r="G75" s="14"/>
      <c r="I75" s="14"/>
      <c r="J75" s="93"/>
    </row>
    <row r="76" spans="4:10" ht="12.75">
      <c r="D76" s="14"/>
      <c r="E76" s="14"/>
      <c r="F76" s="14"/>
      <c r="G76" s="14"/>
      <c r="I76" s="14"/>
      <c r="J76" s="93"/>
    </row>
    <row r="77" spans="4:10" ht="12.75">
      <c r="D77" s="14"/>
      <c r="E77" s="14"/>
      <c r="F77" s="14"/>
      <c r="G77" s="14"/>
      <c r="I77" s="14"/>
      <c r="J77" s="93"/>
    </row>
    <row r="78" spans="4:10" ht="12.75">
      <c r="D78" s="14"/>
      <c r="E78" s="14"/>
      <c r="F78" s="14"/>
      <c r="G78" s="14"/>
      <c r="I78" s="14"/>
      <c r="J78" s="93"/>
    </row>
    <row r="79" spans="4:10" ht="12.75">
      <c r="D79" s="14"/>
      <c r="E79" s="14"/>
      <c r="F79" s="14"/>
      <c r="G79" s="14"/>
      <c r="I79" s="14"/>
      <c r="J79" s="93"/>
    </row>
    <row r="80" ht="12.75">
      <c r="J80" s="93"/>
    </row>
    <row r="81" ht="12.75">
      <c r="J81" s="93"/>
    </row>
    <row r="82" ht="12.75">
      <c r="J82" s="93"/>
    </row>
    <row r="83" ht="12.75">
      <c r="J83" s="93"/>
    </row>
    <row r="84" ht="12.75">
      <c r="J84" s="93"/>
    </row>
    <row r="85" ht="12.75">
      <c r="J85" s="93"/>
    </row>
    <row r="86" ht="12.75">
      <c r="J86" s="93"/>
    </row>
    <row r="87" ht="12.75">
      <c r="J87" s="93"/>
    </row>
    <row r="88" ht="12.75">
      <c r="J88" s="93"/>
    </row>
    <row r="89" ht="12.75">
      <c r="J89" s="93"/>
    </row>
    <row r="90" ht="12.75">
      <c r="J90" s="93"/>
    </row>
    <row r="91" ht="12.75">
      <c r="J91" s="93"/>
    </row>
    <row r="92" ht="12.75">
      <c r="J92" s="93"/>
    </row>
    <row r="93" ht="12.75">
      <c r="J93" s="93"/>
    </row>
    <row r="94" ht="12.75">
      <c r="J94" s="93"/>
    </row>
    <row r="95" ht="12.75">
      <c r="J95" s="93"/>
    </row>
    <row r="96" ht="12.75">
      <c r="J96" s="93"/>
    </row>
    <row r="97" ht="12.75">
      <c r="J97" s="93"/>
    </row>
    <row r="98" ht="12.75">
      <c r="J98" s="93"/>
    </row>
    <row r="99" ht="12.75">
      <c r="J99" s="93"/>
    </row>
    <row r="100" ht="12.75">
      <c r="J100" s="93"/>
    </row>
    <row r="101" ht="12.75">
      <c r="J101" s="93"/>
    </row>
    <row r="102" ht="12.75">
      <c r="J102" s="93"/>
    </row>
    <row r="103" ht="12.75">
      <c r="J103" s="93"/>
    </row>
    <row r="104" ht="12.75">
      <c r="J104" s="93"/>
    </row>
    <row r="105" ht="12.75">
      <c r="J105" s="93"/>
    </row>
    <row r="106" ht="12.75">
      <c r="J106" s="93"/>
    </row>
    <row r="107" ht="12.75">
      <c r="J107" s="93"/>
    </row>
    <row r="108" ht="12.75">
      <c r="J108" s="93"/>
    </row>
    <row r="109" ht="12.75">
      <c r="J109" s="93"/>
    </row>
    <row r="110" ht="12.75">
      <c r="J110" s="93"/>
    </row>
    <row r="111" ht="12.75">
      <c r="J111" s="93"/>
    </row>
    <row r="112" ht="12.75">
      <c r="J112" s="93"/>
    </row>
    <row r="113" ht="12.75">
      <c r="J113" s="93"/>
    </row>
    <row r="114" ht="12.75">
      <c r="J114" s="93"/>
    </row>
    <row r="115" ht="12.75">
      <c r="J115" s="93"/>
    </row>
    <row r="116" ht="12.75">
      <c r="J116" s="93"/>
    </row>
    <row r="117" ht="12.75">
      <c r="J117" s="93"/>
    </row>
    <row r="118" ht="12.75">
      <c r="J118" s="93"/>
    </row>
    <row r="119" ht="12.75">
      <c r="J119" s="93"/>
    </row>
    <row r="120" ht="12.75">
      <c r="J120" s="93"/>
    </row>
    <row r="121" ht="12.75">
      <c r="J121" s="93"/>
    </row>
    <row r="122" ht="12.75">
      <c r="J122" s="93"/>
    </row>
    <row r="123" ht="12.75">
      <c r="J123" s="93"/>
    </row>
    <row r="124" ht="12.75">
      <c r="J124" s="93"/>
    </row>
    <row r="125" ht="12.75">
      <c r="J125" s="93"/>
    </row>
    <row r="126" ht="12.75">
      <c r="J126" s="93"/>
    </row>
    <row r="127" ht="12.75">
      <c r="J127" s="93"/>
    </row>
    <row r="128" ht="12.75">
      <c r="J128" s="93"/>
    </row>
    <row r="129" ht="12.75">
      <c r="J129" s="93"/>
    </row>
    <row r="130" ht="12.75">
      <c r="J130" s="93"/>
    </row>
    <row r="131" ht="12.75">
      <c r="J131" s="93"/>
    </row>
    <row r="132" ht="12.75">
      <c r="J132" s="93"/>
    </row>
    <row r="133" ht="12.75">
      <c r="J133" s="93"/>
    </row>
    <row r="134" ht="12.75">
      <c r="J134" s="93"/>
    </row>
    <row r="135" ht="12.75">
      <c r="J135" s="93"/>
    </row>
    <row r="136" ht="12.75">
      <c r="J136" s="93"/>
    </row>
    <row r="137" ht="12.75">
      <c r="J137" s="93"/>
    </row>
    <row r="138" ht="12.75">
      <c r="J138" s="93"/>
    </row>
    <row r="139" ht="12.75">
      <c r="J139" s="93"/>
    </row>
    <row r="140" ht="12.75">
      <c r="J140" s="93"/>
    </row>
    <row r="141" ht="12.75">
      <c r="J141" s="93"/>
    </row>
    <row r="142" ht="12.75">
      <c r="J142" s="93"/>
    </row>
    <row r="143" ht="12.75">
      <c r="J143" s="93"/>
    </row>
    <row r="144" ht="12.75">
      <c r="J144" s="93"/>
    </row>
    <row r="145" ht="12.75">
      <c r="J145" s="93"/>
    </row>
    <row r="146" ht="12.75">
      <c r="J146" s="93"/>
    </row>
    <row r="147" ht="12.75">
      <c r="J147" s="93"/>
    </row>
    <row r="148" ht="12.75">
      <c r="J148" s="93"/>
    </row>
    <row r="149" ht="12.75">
      <c r="J149" s="93"/>
    </row>
    <row r="150" ht="12.75">
      <c r="J150" s="93"/>
    </row>
    <row r="151" ht="12.75">
      <c r="J151" s="93"/>
    </row>
    <row r="152" ht="12.75">
      <c r="J152" s="93"/>
    </row>
    <row r="153" ht="12.75">
      <c r="J153" s="93"/>
    </row>
    <row r="154" ht="12.75">
      <c r="J154" s="93"/>
    </row>
    <row r="155" ht="12.75">
      <c r="J155" s="93"/>
    </row>
    <row r="156" ht="12.75">
      <c r="J156" s="93"/>
    </row>
    <row r="157" ht="12.75">
      <c r="J157" s="93"/>
    </row>
    <row r="158" ht="12.75">
      <c r="J158" s="93"/>
    </row>
    <row r="159" ht="12.75">
      <c r="J159" s="93"/>
    </row>
    <row r="160" ht="12.75">
      <c r="J160" s="93"/>
    </row>
    <row r="161" ht="12.75">
      <c r="J161" s="93"/>
    </row>
    <row r="162" ht="12.75">
      <c r="J162" s="93"/>
    </row>
    <row r="163" ht="12.75">
      <c r="J163" s="93"/>
    </row>
    <row r="164" ht="12.75">
      <c r="J164" s="93"/>
    </row>
    <row r="165" ht="12.75">
      <c r="J165" s="93"/>
    </row>
    <row r="166" ht="12.75">
      <c r="J166" s="93"/>
    </row>
    <row r="167" ht="12.75">
      <c r="J167" s="93"/>
    </row>
    <row r="168" ht="12.75">
      <c r="J168" s="93"/>
    </row>
    <row r="169" ht="12.75">
      <c r="J169" s="93"/>
    </row>
    <row r="170" ht="12.75">
      <c r="J170" s="93"/>
    </row>
    <row r="171" ht="12.75">
      <c r="J171" s="93"/>
    </row>
    <row r="172" ht="12.75">
      <c r="J172" s="93"/>
    </row>
    <row r="173" ht="12.75">
      <c r="J173" s="93"/>
    </row>
    <row r="174" ht="12.75">
      <c r="J174" s="93"/>
    </row>
    <row r="175" ht="12.75">
      <c r="J175" s="93"/>
    </row>
    <row r="176" ht="12.75">
      <c r="J176" s="93"/>
    </row>
    <row r="177" ht="12.75">
      <c r="J177" s="93"/>
    </row>
    <row r="178" ht="12.75">
      <c r="J178" s="93"/>
    </row>
    <row r="179" ht="12.75">
      <c r="J179" s="93"/>
    </row>
    <row r="180" ht="12.75">
      <c r="J180" s="93"/>
    </row>
    <row r="181" ht="12.75">
      <c r="J181" s="93"/>
    </row>
    <row r="182" ht="12.75">
      <c r="J182" s="93"/>
    </row>
    <row r="183" ht="12.75">
      <c r="J183" s="93"/>
    </row>
    <row r="184" ht="12.75">
      <c r="J184" s="93"/>
    </row>
    <row r="185" ht="12.75">
      <c r="J185" s="93"/>
    </row>
    <row r="186" ht="12.75">
      <c r="J186" s="93"/>
    </row>
    <row r="187" ht="12.75">
      <c r="J187" s="93"/>
    </row>
    <row r="188" ht="12.75">
      <c r="J188" s="93"/>
    </row>
    <row r="189" ht="12.75">
      <c r="J189" s="93"/>
    </row>
    <row r="190" ht="12.75">
      <c r="J190" s="93"/>
    </row>
    <row r="191" ht="12.75">
      <c r="J191" s="93"/>
    </row>
    <row r="192" ht="12.75">
      <c r="J192" s="93"/>
    </row>
    <row r="193" ht="12.75">
      <c r="J193" s="93"/>
    </row>
    <row r="194" ht="12.75">
      <c r="J194" s="93"/>
    </row>
    <row r="195" ht="12.75">
      <c r="J195" s="93"/>
    </row>
    <row r="196" ht="12.75">
      <c r="J196" s="93"/>
    </row>
    <row r="197" ht="12.75">
      <c r="J197" s="93"/>
    </row>
    <row r="198" ht="12.75">
      <c r="J198" s="93"/>
    </row>
    <row r="199" ht="12.75">
      <c r="J199" s="93"/>
    </row>
    <row r="200" ht="12.75">
      <c r="J200" s="93"/>
    </row>
    <row r="201" ht="12.75">
      <c r="J201" s="93"/>
    </row>
    <row r="202" ht="12.75">
      <c r="J202" s="93"/>
    </row>
    <row r="203" ht="12.75">
      <c r="J203" s="93"/>
    </row>
    <row r="204" ht="12.75">
      <c r="J204" s="93"/>
    </row>
    <row r="205" ht="12.75">
      <c r="J205" s="93"/>
    </row>
    <row r="206" ht="12.75">
      <c r="J206" s="93"/>
    </row>
    <row r="207" ht="12.75">
      <c r="J207" s="93"/>
    </row>
    <row r="208" ht="12.75">
      <c r="J208" s="93"/>
    </row>
    <row r="209" ht="12.75">
      <c r="J209" s="93"/>
    </row>
    <row r="210" ht="12.75">
      <c r="J210" s="93"/>
    </row>
    <row r="211" ht="12.75">
      <c r="J211" s="93"/>
    </row>
    <row r="212" ht="12.75">
      <c r="J212" s="93"/>
    </row>
    <row r="213" ht="12.75">
      <c r="J213" s="93"/>
    </row>
    <row r="214" ht="12.75">
      <c r="J214" s="93"/>
    </row>
    <row r="215" ht="12.75">
      <c r="J215" s="93"/>
    </row>
    <row r="216" ht="12.75">
      <c r="J216" s="93"/>
    </row>
    <row r="217" ht="12.75">
      <c r="J217" s="93"/>
    </row>
    <row r="218" ht="12.75">
      <c r="J218" s="93"/>
    </row>
    <row r="219" ht="12.75">
      <c r="J219" s="93"/>
    </row>
    <row r="220" ht="12.75">
      <c r="J220" s="93"/>
    </row>
    <row r="221" ht="12.75">
      <c r="J221" s="93"/>
    </row>
    <row r="222" ht="12.75">
      <c r="J222" s="93"/>
    </row>
    <row r="223" ht="12.75">
      <c r="J223" s="93"/>
    </row>
    <row r="224" ht="12.75">
      <c r="J224" s="93"/>
    </row>
    <row r="225" ht="12.75">
      <c r="J225" s="93"/>
    </row>
    <row r="226" ht="12.75">
      <c r="J226" s="93"/>
    </row>
    <row r="227" ht="12.75">
      <c r="J227" s="93"/>
    </row>
    <row r="228" ht="12.75">
      <c r="J228" s="93"/>
    </row>
    <row r="229" ht="12.75">
      <c r="J229" s="93"/>
    </row>
    <row r="230" ht="12.75">
      <c r="J230" s="93"/>
    </row>
    <row r="231" ht="12.75">
      <c r="J231" s="93"/>
    </row>
    <row r="232" ht="12.75">
      <c r="J232" s="93"/>
    </row>
    <row r="233" ht="12.75">
      <c r="J233" s="93"/>
    </row>
    <row r="234" ht="12.75">
      <c r="J234" s="93"/>
    </row>
    <row r="235" ht="12.75">
      <c r="J235" s="93"/>
    </row>
    <row r="236" ht="12.75">
      <c r="J236" s="93"/>
    </row>
    <row r="237" ht="12.75">
      <c r="J237" s="93"/>
    </row>
    <row r="238" ht="12.75">
      <c r="J238" s="93"/>
    </row>
    <row r="239" ht="12.75">
      <c r="J239" s="93"/>
    </row>
    <row r="240" ht="12.75">
      <c r="J240" s="93"/>
    </row>
    <row r="241" ht="12.75">
      <c r="J241" s="93"/>
    </row>
    <row r="242" ht="12.75">
      <c r="J242" s="93"/>
    </row>
    <row r="243" ht="12.75">
      <c r="J243" s="93"/>
    </row>
    <row r="244" ht="12.75">
      <c r="J244" s="93"/>
    </row>
    <row r="245" ht="12.75">
      <c r="J245" s="93"/>
    </row>
    <row r="246" ht="12.75">
      <c r="J246" s="93"/>
    </row>
    <row r="247" ht="12.75">
      <c r="J247" s="93"/>
    </row>
    <row r="248" ht="12.75">
      <c r="J248" s="93"/>
    </row>
    <row r="249" ht="12.75">
      <c r="J249" s="93"/>
    </row>
    <row r="250" ht="12.75">
      <c r="J250" s="93"/>
    </row>
    <row r="251" ht="12.75">
      <c r="J251" s="93"/>
    </row>
    <row r="252" ht="12.75">
      <c r="J252" s="93"/>
    </row>
    <row r="253" ht="12.75">
      <c r="J253" s="93"/>
    </row>
    <row r="254" ht="12.75">
      <c r="J254" s="93"/>
    </row>
    <row r="255" ht="12.75">
      <c r="J255" s="93"/>
    </row>
    <row r="256" ht="12.75">
      <c r="J256" s="93"/>
    </row>
    <row r="257" ht="12.75">
      <c r="J257" s="93"/>
    </row>
    <row r="258" ht="12.75">
      <c r="J258" s="93"/>
    </row>
    <row r="259" ht="12.75">
      <c r="J259" s="93"/>
    </row>
    <row r="260" ht="12.75">
      <c r="J260" s="93"/>
    </row>
    <row r="261" ht="12.75">
      <c r="J261" s="93"/>
    </row>
    <row r="262" ht="12.75">
      <c r="J262" s="93"/>
    </row>
    <row r="263" ht="12.75">
      <c r="J263" s="93"/>
    </row>
    <row r="264" ht="12.75">
      <c r="J264" s="93"/>
    </row>
    <row r="265" ht="12.75">
      <c r="J265" s="93"/>
    </row>
    <row r="266" ht="12.75">
      <c r="J266" s="93"/>
    </row>
    <row r="267" ht="12.75">
      <c r="J267" s="93"/>
    </row>
    <row r="268" ht="12.75">
      <c r="J268" s="93"/>
    </row>
    <row r="269" ht="12.75">
      <c r="J269" s="93"/>
    </row>
    <row r="270" ht="12.75">
      <c r="J270" s="93"/>
    </row>
    <row r="271" ht="12.75">
      <c r="J271" s="93"/>
    </row>
    <row r="272" ht="12.75">
      <c r="J272" s="93"/>
    </row>
    <row r="273" ht="12.75">
      <c r="J273" s="93"/>
    </row>
    <row r="274" ht="12.75">
      <c r="J274" s="93"/>
    </row>
    <row r="275" ht="12.75">
      <c r="J275" s="93"/>
    </row>
    <row r="276" ht="12.75">
      <c r="J276" s="93"/>
    </row>
    <row r="277" ht="12.75">
      <c r="J277" s="93"/>
    </row>
    <row r="278" ht="12.75">
      <c r="J278" s="93"/>
    </row>
    <row r="279" ht="12.75">
      <c r="J279" s="93"/>
    </row>
    <row r="280" ht="12.75">
      <c r="J280" s="93"/>
    </row>
    <row r="281" ht="12.75">
      <c r="J281" s="93"/>
    </row>
    <row r="282" ht="12.75">
      <c r="J282" s="93"/>
    </row>
    <row r="283" ht="12.75">
      <c r="J283" s="93"/>
    </row>
    <row r="284" ht="12.75">
      <c r="J284" s="93"/>
    </row>
    <row r="285" ht="12.75">
      <c r="J285" s="93"/>
    </row>
    <row r="286" ht="12.75">
      <c r="J286" s="93"/>
    </row>
    <row r="287" ht="12.75">
      <c r="J287" s="93"/>
    </row>
    <row r="288" ht="12.75">
      <c r="J288" s="93"/>
    </row>
    <row r="289" ht="12.75">
      <c r="J289" s="93"/>
    </row>
    <row r="290" ht="12.75">
      <c r="J290" s="93"/>
    </row>
    <row r="291" ht="12.75">
      <c r="J291" s="93"/>
    </row>
    <row r="292" ht="12.75">
      <c r="J292" s="93"/>
    </row>
    <row r="293" ht="12.75">
      <c r="J293" s="93"/>
    </row>
    <row r="294" ht="12.75">
      <c r="J294" s="93"/>
    </row>
    <row r="295" ht="12.75">
      <c r="J295" s="93"/>
    </row>
    <row r="296" ht="12.75">
      <c r="J296" s="93"/>
    </row>
    <row r="297" ht="12.75">
      <c r="J297" s="93"/>
    </row>
    <row r="298" ht="12.75">
      <c r="J298" s="93"/>
    </row>
    <row r="299" ht="12.75">
      <c r="J299" s="93"/>
    </row>
    <row r="300" ht="12.75">
      <c r="J300" s="93"/>
    </row>
    <row r="301" ht="12.75">
      <c r="J301" s="93"/>
    </row>
    <row r="302" ht="12.75">
      <c r="J302" s="93"/>
    </row>
    <row r="303" ht="12.75">
      <c r="J303" s="93"/>
    </row>
    <row r="304" ht="12.75">
      <c r="J304" s="93"/>
    </row>
    <row r="305" ht="12.75">
      <c r="J305" s="93"/>
    </row>
    <row r="306" ht="12.75">
      <c r="J306" s="93"/>
    </row>
    <row r="307" ht="12.75">
      <c r="J307" s="93"/>
    </row>
    <row r="308" ht="12.75">
      <c r="J308" s="93"/>
    </row>
    <row r="309" ht="12.75">
      <c r="J309" s="93"/>
    </row>
    <row r="310" ht="12.75">
      <c r="J310" s="93"/>
    </row>
    <row r="311" ht="12.75">
      <c r="J311" s="93"/>
    </row>
    <row r="312" ht="12.75">
      <c r="J312" s="93"/>
    </row>
    <row r="313" ht="12.75">
      <c r="J313" s="93"/>
    </row>
    <row r="314" ht="12.75">
      <c r="J314" s="93"/>
    </row>
    <row r="315" ht="12.75">
      <c r="J315" s="93"/>
    </row>
    <row r="316" ht="12.75">
      <c r="J316" s="93"/>
    </row>
    <row r="317" ht="12.75">
      <c r="J317" s="93"/>
    </row>
    <row r="318" ht="12.75">
      <c r="J318" s="93"/>
    </row>
    <row r="319" ht="12.75">
      <c r="J319" s="93"/>
    </row>
    <row r="320" ht="12.75">
      <c r="J320" s="93"/>
    </row>
    <row r="321" ht="12.75">
      <c r="J321" s="93"/>
    </row>
    <row r="322" ht="12.75">
      <c r="J322" s="93"/>
    </row>
    <row r="323" ht="12.75">
      <c r="J323" s="93"/>
    </row>
    <row r="324" ht="12.75">
      <c r="J324" s="93"/>
    </row>
    <row r="325" ht="12.75">
      <c r="J325" s="93"/>
    </row>
    <row r="326" ht="12.75">
      <c r="J326" s="93"/>
    </row>
    <row r="327" ht="12.75">
      <c r="J327" s="93"/>
    </row>
    <row r="328" ht="12.75">
      <c r="J328" s="93"/>
    </row>
    <row r="329" ht="12.75">
      <c r="J329" s="93"/>
    </row>
    <row r="330" ht="12.75">
      <c r="J330" s="93"/>
    </row>
    <row r="331" ht="12.75">
      <c r="J331" s="93"/>
    </row>
    <row r="332" ht="12.75">
      <c r="J332" s="93"/>
    </row>
    <row r="333" ht="12.75">
      <c r="J333" s="93"/>
    </row>
    <row r="334" ht="12.75">
      <c r="J334" s="93"/>
    </row>
    <row r="335" ht="12.75">
      <c r="J335" s="93"/>
    </row>
    <row r="336" ht="12.75">
      <c r="J336" s="93"/>
    </row>
    <row r="337" ht="12.75">
      <c r="J337" s="93"/>
    </row>
    <row r="338" ht="12.75">
      <c r="J338" s="93"/>
    </row>
    <row r="339" ht="12.75">
      <c r="J339" s="93"/>
    </row>
    <row r="340" ht="12.75">
      <c r="J340" s="93"/>
    </row>
    <row r="341" ht="12.75">
      <c r="J341" s="93"/>
    </row>
    <row r="342" ht="12.75">
      <c r="J342" s="93"/>
    </row>
    <row r="343" ht="12.75">
      <c r="J343" s="93"/>
    </row>
    <row r="344" ht="12.75">
      <c r="J344" s="93"/>
    </row>
    <row r="345" ht="12.75">
      <c r="J345" s="93"/>
    </row>
    <row r="346" ht="12.75">
      <c r="J346" s="93"/>
    </row>
    <row r="347" ht="12.75">
      <c r="J347" s="93"/>
    </row>
    <row r="348" ht="12.75">
      <c r="J348" s="93"/>
    </row>
    <row r="349" ht="12.75">
      <c r="J349" s="93"/>
    </row>
    <row r="350" ht="12.75">
      <c r="J350" s="93"/>
    </row>
    <row r="351" ht="12.75">
      <c r="J351" s="93"/>
    </row>
    <row r="352" ht="12.75">
      <c r="J352" s="93"/>
    </row>
    <row r="353" ht="12.75">
      <c r="J353" s="93"/>
    </row>
    <row r="354" ht="12.75">
      <c r="J354" s="93"/>
    </row>
    <row r="355" ht="12.75">
      <c r="J355" s="93"/>
    </row>
    <row r="356" ht="12.75">
      <c r="J356" s="93"/>
    </row>
    <row r="357" ht="12.75">
      <c r="J357" s="93"/>
    </row>
    <row r="358" ht="12.75">
      <c r="J358" s="93"/>
    </row>
    <row r="359" ht="12.75">
      <c r="J359" s="93"/>
    </row>
    <row r="360" ht="12.75">
      <c r="J360" s="93"/>
    </row>
    <row r="361" ht="12.75">
      <c r="J361" s="93"/>
    </row>
    <row r="362" ht="12.75">
      <c r="J362" s="93"/>
    </row>
    <row r="363" ht="12.75">
      <c r="J363" s="93"/>
    </row>
    <row r="364" ht="12.75">
      <c r="J364" s="93"/>
    </row>
    <row r="365" ht="12.75">
      <c r="J365" s="93"/>
    </row>
    <row r="366" ht="12.75">
      <c r="J366" s="93"/>
    </row>
    <row r="367" ht="12.75">
      <c r="J367" s="93"/>
    </row>
    <row r="368" ht="12.75">
      <c r="J368" s="93"/>
    </row>
    <row r="369" ht="12.75">
      <c r="J369" s="93"/>
    </row>
    <row r="370" ht="12.75">
      <c r="J370" s="93"/>
    </row>
    <row r="371" ht="12.75">
      <c r="J371" s="93"/>
    </row>
    <row r="372" ht="12.75">
      <c r="J372" s="93"/>
    </row>
    <row r="373" ht="12.75">
      <c r="J373" s="93"/>
    </row>
    <row r="374" ht="12.75">
      <c r="J374" s="93"/>
    </row>
    <row r="375" ht="12.75">
      <c r="J375" s="93"/>
    </row>
    <row r="376" ht="12.75">
      <c r="J376" s="93"/>
    </row>
    <row r="377" ht="12.75">
      <c r="J377" s="93"/>
    </row>
    <row r="378" ht="12.75">
      <c r="J378" s="93"/>
    </row>
    <row r="379" ht="12.75">
      <c r="J379" s="93"/>
    </row>
    <row r="380" ht="12.75">
      <c r="J380" s="93"/>
    </row>
    <row r="381" ht="12.75">
      <c r="J381" s="93"/>
    </row>
    <row r="382" ht="12.75">
      <c r="J382" s="93"/>
    </row>
    <row r="383" ht="12.75">
      <c r="J383" s="93"/>
    </row>
    <row r="384" ht="12.75">
      <c r="J384" s="93"/>
    </row>
    <row r="385" ht="12.75">
      <c r="J385" s="93"/>
    </row>
    <row r="386" ht="12.75">
      <c r="J386" s="93"/>
    </row>
    <row r="387" ht="12.75">
      <c r="J387" s="93"/>
    </row>
    <row r="388" ht="12.75">
      <c r="J388" s="93"/>
    </row>
    <row r="389" ht="12.75">
      <c r="J389" s="93"/>
    </row>
    <row r="390" ht="12.75">
      <c r="J390" s="93"/>
    </row>
    <row r="391" ht="12.75">
      <c r="J391" s="93"/>
    </row>
    <row r="392" ht="12.75">
      <c r="J392" s="93"/>
    </row>
    <row r="393" ht="12.75">
      <c r="J393" s="93"/>
    </row>
    <row r="394" ht="12.75">
      <c r="J394" s="93"/>
    </row>
    <row r="395" ht="12.75">
      <c r="J395" s="93"/>
    </row>
    <row r="396" ht="12.75">
      <c r="J396" s="93"/>
    </row>
    <row r="397" ht="12.75">
      <c r="J397" s="93"/>
    </row>
    <row r="398" ht="12.75">
      <c r="J398" s="93"/>
    </row>
    <row r="399" ht="12.75">
      <c r="J399" s="93"/>
    </row>
    <row r="400" ht="12.75">
      <c r="J400" s="93"/>
    </row>
    <row r="401" ht="12.75">
      <c r="J401" s="93"/>
    </row>
    <row r="402" ht="12.75">
      <c r="J402" s="93"/>
    </row>
    <row r="403" ht="12.75">
      <c r="J403" s="93"/>
    </row>
    <row r="404" ht="12.75">
      <c r="J404" s="93"/>
    </row>
    <row r="405" ht="12.75">
      <c r="J405" s="93"/>
    </row>
    <row r="406" ht="12.75">
      <c r="J406" s="93"/>
    </row>
    <row r="407" ht="12.75">
      <c r="J407" s="93"/>
    </row>
    <row r="408" ht="12.75">
      <c r="J408" s="93"/>
    </row>
    <row r="409" ht="12.75">
      <c r="J409" s="93"/>
    </row>
    <row r="410" ht="12.75">
      <c r="J410" s="93"/>
    </row>
    <row r="411" ht="12.75">
      <c r="J411" s="93"/>
    </row>
    <row r="412" ht="12.75">
      <c r="J412" s="93"/>
    </row>
    <row r="413" ht="12.75">
      <c r="J413" s="93"/>
    </row>
    <row r="414" ht="12.75">
      <c r="J414" s="93"/>
    </row>
    <row r="415" ht="12.75">
      <c r="J415" s="93"/>
    </row>
    <row r="416" ht="12.75">
      <c r="J416" s="93"/>
    </row>
    <row r="417" ht="12.75">
      <c r="J417" s="93"/>
    </row>
    <row r="418" ht="12.75">
      <c r="J418" s="93"/>
    </row>
    <row r="419" ht="12.75">
      <c r="J419" s="93"/>
    </row>
    <row r="420" ht="12.75">
      <c r="J420" s="93"/>
    </row>
    <row r="421" ht="12.75">
      <c r="J421" s="93"/>
    </row>
    <row r="422" ht="12.75">
      <c r="J422" s="93"/>
    </row>
    <row r="423" ht="12.75">
      <c r="J423" s="93"/>
    </row>
    <row r="424" ht="12.75">
      <c r="J424" s="93"/>
    </row>
    <row r="425" ht="12.75">
      <c r="J425" s="93"/>
    </row>
    <row r="426" ht="12.75">
      <c r="J426" s="93"/>
    </row>
    <row r="427" ht="12.75">
      <c r="J427" s="93"/>
    </row>
    <row r="428" ht="12.75">
      <c r="J428" s="93"/>
    </row>
    <row r="429" ht="12.75">
      <c r="J429" s="93"/>
    </row>
    <row r="430" ht="12.75">
      <c r="J430" s="93"/>
    </row>
    <row r="431" ht="12.75">
      <c r="J431" s="93"/>
    </row>
    <row r="432" ht="12.75">
      <c r="J432" s="93"/>
    </row>
    <row r="433" ht="12.75">
      <c r="J433" s="93"/>
    </row>
    <row r="434" ht="12.75">
      <c r="J434" s="93"/>
    </row>
    <row r="435" ht="12.75">
      <c r="J435" s="93"/>
    </row>
    <row r="436" ht="12.75">
      <c r="J436" s="93"/>
    </row>
    <row r="437" ht="12.75">
      <c r="J437" s="93"/>
    </row>
    <row r="438" ht="12.75">
      <c r="J438" s="93"/>
    </row>
    <row r="439" ht="12.75">
      <c r="J439" s="93"/>
    </row>
    <row r="440" ht="12.75">
      <c r="J440" s="93"/>
    </row>
    <row r="441" ht="12.75">
      <c r="J441" s="93"/>
    </row>
    <row r="442" ht="12.75">
      <c r="J442" s="93"/>
    </row>
    <row r="443" ht="12.75">
      <c r="J443" s="93"/>
    </row>
    <row r="444" ht="12.75">
      <c r="J444" s="93"/>
    </row>
    <row r="445" ht="12.75">
      <c r="J445" s="93"/>
    </row>
    <row r="446" ht="12.75">
      <c r="J446" s="93"/>
    </row>
    <row r="447" ht="12.75">
      <c r="J447" s="93"/>
    </row>
    <row r="448" ht="12.75">
      <c r="J448" s="93"/>
    </row>
    <row r="449" ht="12.75">
      <c r="J449" s="93"/>
    </row>
    <row r="450" ht="12.75">
      <c r="J450" s="93"/>
    </row>
    <row r="451" ht="12.75">
      <c r="J451" s="93"/>
    </row>
    <row r="452" ht="12.75">
      <c r="J452" s="93"/>
    </row>
    <row r="453" ht="12.75">
      <c r="J453" s="93"/>
    </row>
    <row r="454" ht="12.75">
      <c r="J454" s="93"/>
    </row>
    <row r="455" ht="12.75">
      <c r="J455" s="93"/>
    </row>
    <row r="456" ht="12.75">
      <c r="J456" s="93"/>
    </row>
    <row r="457" ht="12.75">
      <c r="J457" s="93"/>
    </row>
    <row r="458" ht="12.75">
      <c r="J458" s="93"/>
    </row>
    <row r="459" ht="12.75">
      <c r="J459" s="93"/>
    </row>
    <row r="460" ht="12.75">
      <c r="J460" s="93"/>
    </row>
    <row r="461" ht="12.75">
      <c r="J461" s="93"/>
    </row>
    <row r="462" ht="12.75">
      <c r="J462" s="93"/>
    </row>
    <row r="463" ht="12.75">
      <c r="J463" s="93"/>
    </row>
    <row r="464" ht="12.75">
      <c r="J464" s="93"/>
    </row>
    <row r="465" ht="12.75">
      <c r="J465" s="93"/>
    </row>
    <row r="466" ht="12.75">
      <c r="J466" s="93"/>
    </row>
    <row r="467" ht="12.75">
      <c r="J467" s="93"/>
    </row>
    <row r="468" ht="12.75">
      <c r="J468" s="93"/>
    </row>
    <row r="469" ht="12.75">
      <c r="J469" s="93"/>
    </row>
    <row r="470" ht="12.75">
      <c r="J470" s="93"/>
    </row>
    <row r="471" ht="12.75">
      <c r="J471" s="93"/>
    </row>
    <row r="472" ht="12.75">
      <c r="J472" s="93"/>
    </row>
    <row r="473" ht="12.75">
      <c r="J473" s="93"/>
    </row>
    <row r="474" ht="12.75">
      <c r="J474" s="93"/>
    </row>
    <row r="475" ht="12.75">
      <c r="J475" s="93"/>
    </row>
    <row r="476" ht="12.75">
      <c r="J476" s="93"/>
    </row>
    <row r="477" ht="12.75">
      <c r="J477" s="93"/>
    </row>
    <row r="478" ht="12.75">
      <c r="J478" s="93"/>
    </row>
    <row r="479" ht="12.75">
      <c r="J479" s="93"/>
    </row>
    <row r="480" ht="12.75">
      <c r="J480" s="93"/>
    </row>
    <row r="481" ht="12.75">
      <c r="J481" s="93"/>
    </row>
    <row r="482" ht="12.75">
      <c r="J482" s="93"/>
    </row>
    <row r="483" ht="12.75">
      <c r="J483" s="93"/>
    </row>
    <row r="484" ht="12.75">
      <c r="J484" s="93"/>
    </row>
    <row r="485" ht="12.75">
      <c r="J485" s="93"/>
    </row>
    <row r="486" ht="12.75">
      <c r="J486" s="93"/>
    </row>
    <row r="487" ht="12.75">
      <c r="J487" s="93"/>
    </row>
    <row r="488" ht="12.75">
      <c r="J488" s="93"/>
    </row>
    <row r="489" ht="12.75">
      <c r="J489" s="93"/>
    </row>
    <row r="490" ht="12.75">
      <c r="J490" s="93"/>
    </row>
    <row r="491" ht="12.75">
      <c r="J491" s="93"/>
    </row>
    <row r="492" ht="12.75">
      <c r="J492" s="93"/>
    </row>
    <row r="493" ht="12.75">
      <c r="J493" s="93"/>
    </row>
    <row r="494" ht="12.75">
      <c r="J494" s="93"/>
    </row>
    <row r="495" ht="12.75">
      <c r="J495" s="93"/>
    </row>
    <row r="496" ht="12.75">
      <c r="J496" s="93"/>
    </row>
    <row r="497" ht="12.75">
      <c r="J497" s="93"/>
    </row>
    <row r="498" ht="12.75">
      <c r="J498" s="93"/>
    </row>
    <row r="499" ht="12.75">
      <c r="J499" s="93"/>
    </row>
    <row r="500" ht="12.75">
      <c r="J500" s="93"/>
    </row>
    <row r="501" ht="12.75">
      <c r="J501" s="93"/>
    </row>
    <row r="502" ht="12.75">
      <c r="J502" s="93"/>
    </row>
    <row r="503" ht="12.75">
      <c r="J503" s="93"/>
    </row>
    <row r="504" ht="12.75">
      <c r="J504" s="93"/>
    </row>
    <row r="505" ht="12.75">
      <c r="J505" s="93"/>
    </row>
    <row r="506" ht="12.75">
      <c r="J506" s="93"/>
    </row>
    <row r="507" ht="12.75">
      <c r="J507" s="93"/>
    </row>
    <row r="508" ht="12.75">
      <c r="J508" s="93"/>
    </row>
    <row r="509" ht="12.75">
      <c r="J509" s="93"/>
    </row>
    <row r="510" ht="12.75">
      <c r="J510" s="93"/>
    </row>
    <row r="511" ht="12.75">
      <c r="J511" s="93"/>
    </row>
    <row r="512" ht="12.75">
      <c r="J512" s="93"/>
    </row>
    <row r="513" ht="12.75">
      <c r="J513" s="93"/>
    </row>
    <row r="514" ht="12.75">
      <c r="J514" s="93"/>
    </row>
    <row r="515" ht="12.75">
      <c r="J515" s="93"/>
    </row>
    <row r="516" ht="12.75">
      <c r="J516" s="93"/>
    </row>
    <row r="517" ht="12.75">
      <c r="J517" s="93"/>
    </row>
    <row r="518" ht="12.75">
      <c r="J518" s="93"/>
    </row>
    <row r="519" ht="12.75">
      <c r="J519" s="93"/>
    </row>
    <row r="520" ht="12.75">
      <c r="J520" s="93"/>
    </row>
    <row r="521" ht="12.75">
      <c r="J521" s="93"/>
    </row>
    <row r="522" ht="12.75">
      <c r="J522" s="93"/>
    </row>
    <row r="523" ht="12.75">
      <c r="J523" s="93"/>
    </row>
    <row r="524" ht="12.75">
      <c r="J524" s="93"/>
    </row>
    <row r="525" ht="12.75">
      <c r="J525" s="93"/>
    </row>
    <row r="526" ht="12.75">
      <c r="J526" s="93"/>
    </row>
    <row r="527" ht="12.75">
      <c r="J527" s="93"/>
    </row>
    <row r="528" ht="12.75">
      <c r="J528" s="93"/>
    </row>
    <row r="529" ht="12.75">
      <c r="J529" s="93"/>
    </row>
    <row r="530" ht="12.75">
      <c r="J530" s="93"/>
    </row>
    <row r="531" ht="12.75">
      <c r="J531" s="93"/>
    </row>
    <row r="532" ht="12.75">
      <c r="J532" s="93"/>
    </row>
    <row r="533" ht="12.75">
      <c r="J533" s="93"/>
    </row>
    <row r="534" ht="12.75">
      <c r="J534" s="93"/>
    </row>
    <row r="535" ht="12.75">
      <c r="J535" s="93"/>
    </row>
    <row r="536" ht="12.75">
      <c r="J536" s="93"/>
    </row>
    <row r="537" ht="12.75">
      <c r="J537" s="93"/>
    </row>
    <row r="538" ht="12.75">
      <c r="J538" s="93"/>
    </row>
    <row r="539" ht="12.75">
      <c r="J539" s="93"/>
    </row>
    <row r="540" ht="12.75">
      <c r="J540" s="93"/>
    </row>
    <row r="541" ht="12.75">
      <c r="J541" s="93"/>
    </row>
    <row r="542" ht="12.75">
      <c r="J542" s="93"/>
    </row>
    <row r="543" ht="12.75">
      <c r="J543" s="93"/>
    </row>
    <row r="544" ht="12.75">
      <c r="J544" s="93"/>
    </row>
    <row r="545" ht="12.75">
      <c r="J545" s="93"/>
    </row>
    <row r="546" ht="12.75">
      <c r="J546" s="93"/>
    </row>
    <row r="547" ht="12.75">
      <c r="J547" s="93"/>
    </row>
    <row r="548" ht="12.75">
      <c r="J548" s="93"/>
    </row>
    <row r="549" ht="12.75">
      <c r="J549" s="93"/>
    </row>
    <row r="550" ht="12.75">
      <c r="J550" s="93"/>
    </row>
    <row r="551" ht="12.75">
      <c r="J551" s="93"/>
    </row>
    <row r="552" ht="12.75">
      <c r="J552" s="93"/>
    </row>
    <row r="553" ht="12.75">
      <c r="J553" s="93"/>
    </row>
    <row r="554" ht="12.75">
      <c r="J554" s="93"/>
    </row>
    <row r="555" ht="12.75">
      <c r="J555" s="93"/>
    </row>
    <row r="556" ht="12.75">
      <c r="J556" s="93"/>
    </row>
    <row r="557" ht="12.75">
      <c r="J557" s="93"/>
    </row>
    <row r="558" ht="12.75">
      <c r="J558" s="93"/>
    </row>
    <row r="559" ht="12.75">
      <c r="J559" s="93"/>
    </row>
    <row r="560" ht="12.75">
      <c r="J560" s="93"/>
    </row>
    <row r="561" ht="12.75">
      <c r="J561" s="93"/>
    </row>
    <row r="562" ht="12.75">
      <c r="J562" s="93"/>
    </row>
    <row r="563" ht="12.75">
      <c r="J563" s="93"/>
    </row>
    <row r="564" ht="12.75">
      <c r="J564" s="93"/>
    </row>
    <row r="565" ht="12.75">
      <c r="J565" s="93"/>
    </row>
    <row r="566" ht="12.75">
      <c r="J566" s="93"/>
    </row>
    <row r="567" ht="12.75">
      <c r="J567" s="93"/>
    </row>
    <row r="568" ht="12.75">
      <c r="J568" s="93"/>
    </row>
    <row r="569" ht="12.75">
      <c r="J569" s="93"/>
    </row>
    <row r="570" ht="12.75">
      <c r="J570" s="93"/>
    </row>
    <row r="571" ht="12.75">
      <c r="J571" s="93"/>
    </row>
    <row r="572" ht="12.75">
      <c r="J572" s="93"/>
    </row>
    <row r="573" ht="12.75">
      <c r="J573" s="93"/>
    </row>
    <row r="574" ht="12.75">
      <c r="J574" s="93"/>
    </row>
    <row r="575" ht="12.75">
      <c r="J575" s="93"/>
    </row>
    <row r="576" ht="12.75">
      <c r="J576" s="93"/>
    </row>
    <row r="577" ht="12.75">
      <c r="J577" s="93"/>
    </row>
    <row r="578" ht="12.75">
      <c r="J578" s="93"/>
    </row>
    <row r="579" ht="12.75">
      <c r="J579" s="93"/>
    </row>
    <row r="580" ht="12.75">
      <c r="J580" s="93"/>
    </row>
    <row r="581" ht="12.75">
      <c r="J581" s="93"/>
    </row>
    <row r="582" ht="12.75">
      <c r="J582" s="93"/>
    </row>
    <row r="583" ht="12.75">
      <c r="J583" s="93"/>
    </row>
    <row r="584" ht="12.75">
      <c r="J584" s="93"/>
    </row>
    <row r="585" ht="12.75">
      <c r="J585" s="93"/>
    </row>
    <row r="586" ht="12.75">
      <c r="J586" s="93"/>
    </row>
    <row r="587" ht="12.75">
      <c r="J587" s="93"/>
    </row>
    <row r="588" ht="12.75">
      <c r="J588" s="93"/>
    </row>
    <row r="589" ht="12.75">
      <c r="J589" s="93"/>
    </row>
    <row r="590" ht="12.75">
      <c r="J590" s="93"/>
    </row>
    <row r="591" ht="12.75">
      <c r="J591" s="93"/>
    </row>
    <row r="592" ht="12.75">
      <c r="J592" s="93"/>
    </row>
    <row r="593" ht="12.75">
      <c r="J593" s="93"/>
    </row>
    <row r="594" ht="12.75">
      <c r="J594" s="93"/>
    </row>
    <row r="595" ht="12.75">
      <c r="J595" s="93"/>
    </row>
    <row r="596" ht="12.75">
      <c r="J596" s="93"/>
    </row>
    <row r="597" ht="12.75">
      <c r="J597" s="93"/>
    </row>
    <row r="598" ht="12.75">
      <c r="J598" s="93"/>
    </row>
    <row r="599" ht="12.75">
      <c r="J599" s="93"/>
    </row>
    <row r="600" ht="12.75">
      <c r="J600" s="93"/>
    </row>
    <row r="601" ht="12.75">
      <c r="J601" s="93"/>
    </row>
    <row r="602" ht="12.75">
      <c r="J602" s="93"/>
    </row>
    <row r="603" ht="12.75">
      <c r="J603" s="93"/>
    </row>
    <row r="604" ht="12.75">
      <c r="J604" s="93"/>
    </row>
    <row r="605" ht="12.75">
      <c r="J605" s="93"/>
    </row>
    <row r="606" ht="12.75">
      <c r="J606" s="93"/>
    </row>
    <row r="607" ht="12.75">
      <c r="J607" s="93"/>
    </row>
    <row r="608" ht="12.75">
      <c r="J608" s="93"/>
    </row>
    <row r="609" ht="12.75">
      <c r="J609" s="93"/>
    </row>
    <row r="610" ht="12.75">
      <c r="J610" s="93"/>
    </row>
    <row r="611" ht="12.75">
      <c r="J611" s="93"/>
    </row>
    <row r="612" ht="12.75">
      <c r="J612" s="93"/>
    </row>
    <row r="613" ht="12.75">
      <c r="J613" s="93"/>
    </row>
    <row r="614" ht="12.75">
      <c r="J614" s="93"/>
    </row>
    <row r="615" ht="12.75">
      <c r="J615" s="93"/>
    </row>
    <row r="616" ht="12.75">
      <c r="J616" s="93"/>
    </row>
    <row r="617" ht="12.75">
      <c r="J617" s="93"/>
    </row>
    <row r="618" ht="12.75">
      <c r="J618" s="93"/>
    </row>
    <row r="619" ht="12.75">
      <c r="J619" s="93"/>
    </row>
    <row r="620" ht="12.75">
      <c r="J620" s="93"/>
    </row>
    <row r="621" ht="12.75">
      <c r="J621" s="93"/>
    </row>
    <row r="622" ht="12.75">
      <c r="J622" s="93"/>
    </row>
    <row r="623" ht="12.75">
      <c r="J623" s="93"/>
    </row>
    <row r="624" ht="12.75">
      <c r="J624" s="93"/>
    </row>
    <row r="625" ht="12.75">
      <c r="J625" s="93"/>
    </row>
    <row r="626" ht="12.75">
      <c r="J626" s="93"/>
    </row>
    <row r="627" ht="12.75">
      <c r="J627" s="93"/>
    </row>
    <row r="628" ht="12.75">
      <c r="J628" s="93"/>
    </row>
    <row r="629" ht="12.75">
      <c r="J629" s="93"/>
    </row>
    <row r="630" ht="12.75">
      <c r="J630" s="93"/>
    </row>
    <row r="631" ht="12.75">
      <c r="J631" s="93"/>
    </row>
    <row r="632" ht="12.75">
      <c r="J632" s="93"/>
    </row>
    <row r="633" ht="12.75">
      <c r="J633" s="93"/>
    </row>
    <row r="634" ht="12.75">
      <c r="J634" s="93"/>
    </row>
    <row r="635" ht="12.75">
      <c r="J635" s="93"/>
    </row>
    <row r="636" ht="12.75">
      <c r="J636" s="93"/>
    </row>
    <row r="637" ht="12.75">
      <c r="J637" s="93"/>
    </row>
    <row r="638" ht="12.75">
      <c r="J638" s="93"/>
    </row>
    <row r="639" ht="12.75">
      <c r="J639" s="93"/>
    </row>
    <row r="640" ht="12.75">
      <c r="J640" s="93"/>
    </row>
    <row r="641" ht="12.75">
      <c r="J641" s="93"/>
    </row>
    <row r="642" ht="12.75">
      <c r="J642" s="93"/>
    </row>
    <row r="643" ht="12.75">
      <c r="J643" s="93"/>
    </row>
    <row r="644" ht="12.75">
      <c r="J644" s="93"/>
    </row>
    <row r="645" ht="12.75">
      <c r="J645" s="93"/>
    </row>
    <row r="646" ht="12.75">
      <c r="J646" s="93"/>
    </row>
    <row r="647" ht="12.75">
      <c r="J647" s="93"/>
    </row>
    <row r="648" ht="12.75">
      <c r="J648" s="93"/>
    </row>
    <row r="649" ht="12.75">
      <c r="J649" s="93"/>
    </row>
    <row r="650" ht="12.75">
      <c r="J650" s="93"/>
    </row>
    <row r="651" ht="12.75">
      <c r="J651" s="93"/>
    </row>
    <row r="652" ht="12.75">
      <c r="J652" s="93"/>
    </row>
    <row r="653" ht="12.75">
      <c r="J653" s="93"/>
    </row>
    <row r="654" ht="12.75">
      <c r="J654" s="93"/>
    </row>
    <row r="655" ht="12.75">
      <c r="J655" s="93"/>
    </row>
    <row r="656" ht="12.75">
      <c r="J656" s="93"/>
    </row>
    <row r="657" ht="12.75">
      <c r="J657" s="93"/>
    </row>
    <row r="658" ht="12.75">
      <c r="J658" s="93"/>
    </row>
    <row r="659" ht="12.75">
      <c r="J659" s="93"/>
    </row>
    <row r="660" ht="12.75">
      <c r="J660" s="93"/>
    </row>
    <row r="661" ht="12.75">
      <c r="J661" s="93"/>
    </row>
    <row r="662" ht="12.75">
      <c r="J662" s="93"/>
    </row>
    <row r="663" ht="12.75">
      <c r="J663" s="93"/>
    </row>
    <row r="664" ht="12.75">
      <c r="J664" s="93"/>
    </row>
    <row r="665" ht="12.75">
      <c r="J665" s="93"/>
    </row>
    <row r="666" ht="12.75">
      <c r="J666" s="93"/>
    </row>
    <row r="667" ht="12.75">
      <c r="J667" s="93"/>
    </row>
    <row r="668" ht="12.75">
      <c r="J668" s="93"/>
    </row>
    <row r="669" ht="12.75">
      <c r="J669" s="93"/>
    </row>
    <row r="670" ht="12.75">
      <c r="J670" s="93"/>
    </row>
    <row r="671" ht="12.75">
      <c r="J671" s="93"/>
    </row>
    <row r="672" ht="12.75">
      <c r="J672" s="93"/>
    </row>
    <row r="673" ht="12.75">
      <c r="J673" s="93"/>
    </row>
    <row r="674" ht="12.75">
      <c r="J674" s="93"/>
    </row>
    <row r="675" ht="12.75">
      <c r="J675" s="93"/>
    </row>
    <row r="676" ht="12.75">
      <c r="J676" s="93"/>
    </row>
    <row r="677" ht="12.75">
      <c r="J677" s="93"/>
    </row>
    <row r="678" ht="12.75">
      <c r="J678" s="93"/>
    </row>
    <row r="679" ht="12.75">
      <c r="J679" s="93"/>
    </row>
    <row r="680" ht="12.75">
      <c r="J680" s="93"/>
    </row>
    <row r="681" ht="12.75">
      <c r="J681" s="93"/>
    </row>
    <row r="682" ht="12.75">
      <c r="J682" s="93"/>
    </row>
    <row r="683" ht="12.75">
      <c r="J683" s="93"/>
    </row>
    <row r="684" ht="12.75">
      <c r="J684" s="93"/>
    </row>
    <row r="685" ht="12.75">
      <c r="J685" s="93"/>
    </row>
    <row r="686" ht="12.75">
      <c r="J686" s="93"/>
    </row>
    <row r="687" ht="12.75">
      <c r="J687" s="93"/>
    </row>
    <row r="688" ht="12.75">
      <c r="J688" s="93"/>
    </row>
    <row r="689" ht="12.75">
      <c r="J689" s="93"/>
    </row>
    <row r="690" ht="12.75">
      <c r="J690" s="93"/>
    </row>
    <row r="691" ht="12.75">
      <c r="J691" s="93"/>
    </row>
    <row r="692" ht="12.75">
      <c r="J692" s="93"/>
    </row>
    <row r="693" ht="12.75">
      <c r="J693" s="93"/>
    </row>
    <row r="694" ht="12.75">
      <c r="J694" s="93"/>
    </row>
    <row r="695" ht="12.75">
      <c r="J695" s="93"/>
    </row>
    <row r="696" ht="12.75">
      <c r="J696" s="93"/>
    </row>
    <row r="697" ht="12.75">
      <c r="J697" s="93"/>
    </row>
    <row r="698" ht="12.75">
      <c r="J698" s="93"/>
    </row>
    <row r="699" ht="12.75">
      <c r="J699" s="93"/>
    </row>
    <row r="700" ht="12.75">
      <c r="J700" s="93"/>
    </row>
    <row r="701" ht="12.75">
      <c r="J701" s="93"/>
    </row>
    <row r="702" ht="12.75">
      <c r="J702" s="93"/>
    </row>
    <row r="703" ht="12.75">
      <c r="J703" s="93"/>
    </row>
    <row r="704" ht="12.75">
      <c r="J704" s="93"/>
    </row>
    <row r="705" ht="12.75">
      <c r="J705" s="93"/>
    </row>
    <row r="706" ht="12.75">
      <c r="J706" s="93"/>
    </row>
    <row r="707" ht="12.75">
      <c r="J707" s="93"/>
    </row>
    <row r="708" ht="12.75">
      <c r="J708" s="93"/>
    </row>
    <row r="709" ht="12.75">
      <c r="J709" s="93"/>
    </row>
    <row r="710" ht="12.75">
      <c r="J710" s="93"/>
    </row>
    <row r="711" ht="12.75">
      <c r="J711" s="93"/>
    </row>
    <row r="712" ht="12.75">
      <c r="J712" s="93"/>
    </row>
    <row r="713" ht="12.75">
      <c r="J713" s="93"/>
    </row>
    <row r="714" ht="12.75">
      <c r="J714" s="93"/>
    </row>
    <row r="715" ht="12.75">
      <c r="J715" s="93"/>
    </row>
    <row r="716" ht="12.75">
      <c r="J716" s="93"/>
    </row>
    <row r="717" ht="12.75">
      <c r="J717" s="93"/>
    </row>
    <row r="718" ht="12.75">
      <c r="J718" s="93"/>
    </row>
    <row r="719" ht="12.75">
      <c r="J719" s="93"/>
    </row>
    <row r="720" ht="12.75">
      <c r="J720" s="93"/>
    </row>
    <row r="721" ht="12.75">
      <c r="J721" s="93"/>
    </row>
    <row r="722" ht="12.75">
      <c r="J722" s="93"/>
    </row>
    <row r="723" ht="12.75">
      <c r="J723" s="93"/>
    </row>
    <row r="724" ht="12.75">
      <c r="J724" s="93"/>
    </row>
    <row r="725" ht="12.75">
      <c r="J725" s="93"/>
    </row>
    <row r="726" ht="12.75">
      <c r="J726" s="93"/>
    </row>
    <row r="727" ht="12.75">
      <c r="J727" s="93"/>
    </row>
    <row r="728" ht="12.75">
      <c r="J728" s="93"/>
    </row>
    <row r="729" ht="12.75">
      <c r="J729" s="93"/>
    </row>
    <row r="730" ht="12.75">
      <c r="J730" s="93"/>
    </row>
    <row r="731" ht="12.75">
      <c r="J731" s="93"/>
    </row>
    <row r="732" ht="12.75">
      <c r="J732" s="93"/>
    </row>
    <row r="733" ht="12.75">
      <c r="J733" s="93"/>
    </row>
    <row r="734" ht="12.75">
      <c r="J734" s="93"/>
    </row>
    <row r="735" ht="12.75">
      <c r="J735" s="93"/>
    </row>
    <row r="736" ht="12.75">
      <c r="J736" s="93"/>
    </row>
    <row r="737" ht="12.75">
      <c r="J737" s="93"/>
    </row>
    <row r="738" ht="12.75">
      <c r="J738" s="93"/>
    </row>
    <row r="739" ht="12.75">
      <c r="J739" s="93"/>
    </row>
    <row r="740" ht="12.75">
      <c r="J740" s="93"/>
    </row>
    <row r="741" ht="12.75">
      <c r="J741" s="93"/>
    </row>
    <row r="742" ht="12.75">
      <c r="J742" s="93"/>
    </row>
    <row r="743" ht="12.75">
      <c r="J743" s="93"/>
    </row>
    <row r="744" ht="12.75">
      <c r="J744" s="93"/>
    </row>
    <row r="745" ht="12.75">
      <c r="J745" s="93"/>
    </row>
    <row r="746" ht="12.75">
      <c r="J746" s="93"/>
    </row>
    <row r="747" ht="12.75">
      <c r="J747" s="93"/>
    </row>
    <row r="748" ht="12.75">
      <c r="J748" s="93"/>
    </row>
    <row r="749" ht="12.75">
      <c r="J749" s="93"/>
    </row>
    <row r="750" ht="12.75">
      <c r="J750" s="93"/>
    </row>
    <row r="751" ht="12.75">
      <c r="J751" s="93"/>
    </row>
    <row r="752" ht="12.75">
      <c r="J752" s="93"/>
    </row>
    <row r="753" ht="12.75">
      <c r="J753" s="93"/>
    </row>
    <row r="754" ht="12.75">
      <c r="J754" s="93"/>
    </row>
    <row r="755" ht="12.75">
      <c r="J755" s="93"/>
    </row>
    <row r="756" ht="12.75">
      <c r="J756" s="93"/>
    </row>
    <row r="757" ht="12.75">
      <c r="J757" s="93"/>
    </row>
    <row r="758" ht="12.75">
      <c r="J758" s="93"/>
    </row>
    <row r="759" ht="12.75">
      <c r="J759" s="93"/>
    </row>
    <row r="760" ht="12.75">
      <c r="J760" s="93"/>
    </row>
    <row r="761" ht="12.75">
      <c r="J761" s="93"/>
    </row>
    <row r="762" ht="12.75">
      <c r="J762" s="93"/>
    </row>
    <row r="763" ht="12.75">
      <c r="J763" s="93"/>
    </row>
    <row r="764" ht="12.75">
      <c r="J764" s="93"/>
    </row>
    <row r="765" ht="12.75">
      <c r="J765" s="93"/>
    </row>
    <row r="766" ht="12.75">
      <c r="J766" s="93"/>
    </row>
    <row r="767" ht="12.75">
      <c r="J767" s="93"/>
    </row>
    <row r="768" ht="12.75">
      <c r="J768" s="93"/>
    </row>
    <row r="769" ht="12.75">
      <c r="J769" s="93"/>
    </row>
    <row r="770" ht="12.75">
      <c r="J770" s="93"/>
    </row>
    <row r="771" ht="12.75">
      <c r="J771" s="93"/>
    </row>
    <row r="772" ht="12.75">
      <c r="J772" s="93"/>
    </row>
    <row r="773" ht="12.75">
      <c r="J773" s="93"/>
    </row>
    <row r="774" ht="12.75">
      <c r="J774" s="93"/>
    </row>
    <row r="775" ht="12.75">
      <c r="J775" s="93"/>
    </row>
    <row r="776" ht="12.75">
      <c r="J776" s="93"/>
    </row>
    <row r="777" ht="12.75">
      <c r="J777" s="93"/>
    </row>
    <row r="778" ht="12.75">
      <c r="J778" s="93"/>
    </row>
    <row r="779" ht="12.75">
      <c r="J779" s="93"/>
    </row>
    <row r="780" ht="12.75">
      <c r="J780" s="93"/>
    </row>
    <row r="781" ht="12.75">
      <c r="J781" s="93"/>
    </row>
    <row r="782" ht="12.75">
      <c r="J782" s="93"/>
    </row>
    <row r="783" ht="12.75">
      <c r="J783" s="93"/>
    </row>
    <row r="784" ht="12.75">
      <c r="J784" s="93"/>
    </row>
    <row r="785" ht="12.75">
      <c r="J785" s="93"/>
    </row>
    <row r="786" ht="12.75">
      <c r="J786" s="93"/>
    </row>
    <row r="787" ht="12.75">
      <c r="J787" s="93"/>
    </row>
    <row r="788" ht="12.75">
      <c r="J788" s="93"/>
    </row>
    <row r="789" ht="12.75">
      <c r="J789" s="93"/>
    </row>
    <row r="790" ht="12.75">
      <c r="J790" s="93"/>
    </row>
    <row r="791" ht="12.75">
      <c r="J791" s="93"/>
    </row>
    <row r="792" ht="12.75">
      <c r="J792" s="93"/>
    </row>
    <row r="793" ht="12.75">
      <c r="J793" s="93"/>
    </row>
    <row r="794" ht="12.75">
      <c r="J794" s="93"/>
    </row>
    <row r="795" ht="12.75">
      <c r="J795" s="93"/>
    </row>
    <row r="796" ht="12.75">
      <c r="J796" s="93"/>
    </row>
    <row r="797" ht="12.75">
      <c r="J797" s="93"/>
    </row>
    <row r="798" ht="12.75">
      <c r="J798" s="93"/>
    </row>
    <row r="799" ht="12.75">
      <c r="J799" s="93"/>
    </row>
    <row r="800" ht="12.75">
      <c r="J800" s="93"/>
    </row>
    <row r="801" ht="12.75">
      <c r="J801" s="93"/>
    </row>
    <row r="802" ht="12.75">
      <c r="J802" s="93"/>
    </row>
    <row r="803" ht="12.75">
      <c r="J803" s="93"/>
    </row>
    <row r="804" ht="12.75">
      <c r="J804" s="93"/>
    </row>
    <row r="805" ht="12.75">
      <c r="J805" s="93"/>
    </row>
    <row r="806" ht="12.75">
      <c r="J806" s="93"/>
    </row>
    <row r="807" ht="12.75">
      <c r="J807" s="93"/>
    </row>
    <row r="808" ht="12.75">
      <c r="J808" s="93"/>
    </row>
    <row r="809" ht="12.75">
      <c r="J809" s="93"/>
    </row>
    <row r="810" ht="12.75">
      <c r="J810" s="93"/>
    </row>
    <row r="811" ht="12.75">
      <c r="J811" s="93"/>
    </row>
    <row r="812" ht="12.75">
      <c r="J812" s="93"/>
    </row>
    <row r="813" ht="12.75">
      <c r="J813" s="93"/>
    </row>
    <row r="814" ht="12.75">
      <c r="J814" s="93"/>
    </row>
    <row r="815" ht="12.75">
      <c r="J815" s="93"/>
    </row>
    <row r="816" ht="12.75">
      <c r="J816" s="93"/>
    </row>
    <row r="817" ht="12.75">
      <c r="J817" s="93"/>
    </row>
    <row r="818" ht="12.75">
      <c r="J818" s="93"/>
    </row>
    <row r="819" ht="12.75">
      <c r="J819" s="93"/>
    </row>
    <row r="820" ht="12.75">
      <c r="J820" s="93"/>
    </row>
    <row r="821" ht="12.75">
      <c r="J821" s="93"/>
    </row>
    <row r="822" ht="12.75">
      <c r="J822" s="93"/>
    </row>
    <row r="823" ht="12.75">
      <c r="J823" s="93"/>
    </row>
    <row r="824" ht="12.75">
      <c r="J824" s="93"/>
    </row>
    <row r="825" ht="12.75">
      <c r="J825" s="93"/>
    </row>
    <row r="826" ht="12.75">
      <c r="J826" s="93"/>
    </row>
    <row r="827" ht="12.75">
      <c r="J827" s="93"/>
    </row>
    <row r="828" ht="12.75">
      <c r="J828" s="93"/>
    </row>
    <row r="829" ht="12.75">
      <c r="J829" s="93"/>
    </row>
    <row r="830" ht="12.75">
      <c r="J830" s="93"/>
    </row>
    <row r="831" ht="12.75">
      <c r="J831" s="93"/>
    </row>
    <row r="832" ht="12.75">
      <c r="J832" s="93"/>
    </row>
    <row r="833" ht="12.75">
      <c r="J833" s="93"/>
    </row>
    <row r="834" ht="12.75">
      <c r="J834" s="93"/>
    </row>
    <row r="835" ht="12.75">
      <c r="J835" s="93"/>
    </row>
    <row r="836" ht="12.75">
      <c r="J836" s="93"/>
    </row>
    <row r="837" ht="12.75">
      <c r="J837" s="93"/>
    </row>
    <row r="838" ht="12.75">
      <c r="J838" s="93"/>
    </row>
    <row r="839" ht="12.75">
      <c r="J839" s="93"/>
    </row>
    <row r="840" ht="12.75">
      <c r="J840" s="93"/>
    </row>
    <row r="841" ht="12.75">
      <c r="J841" s="93"/>
    </row>
    <row r="842" ht="12.75">
      <c r="J842" s="93"/>
    </row>
    <row r="843" ht="12.75">
      <c r="J843" s="93"/>
    </row>
    <row r="844" ht="12.75">
      <c r="J844" s="93"/>
    </row>
    <row r="845" ht="12.75">
      <c r="J845" s="93"/>
    </row>
    <row r="846" ht="12.75">
      <c r="J846" s="93"/>
    </row>
    <row r="847" ht="12.75">
      <c r="J847" s="93"/>
    </row>
    <row r="848" ht="12.75">
      <c r="J848" s="93"/>
    </row>
    <row r="849" ht="12.75">
      <c r="J849" s="93"/>
    </row>
    <row r="850" ht="12.75">
      <c r="J850" s="93"/>
    </row>
    <row r="851" ht="12.75">
      <c r="J851" s="93"/>
    </row>
    <row r="852" ht="12.75">
      <c r="J852" s="93"/>
    </row>
    <row r="853" ht="12.75">
      <c r="J853" s="93"/>
    </row>
    <row r="854" ht="12.75">
      <c r="J854" s="93"/>
    </row>
    <row r="855" ht="12.75">
      <c r="J855" s="93"/>
    </row>
    <row r="856" ht="12.75">
      <c r="J856" s="93"/>
    </row>
    <row r="857" ht="12.75">
      <c r="J857" s="93"/>
    </row>
    <row r="858" ht="12.75">
      <c r="J858" s="93"/>
    </row>
    <row r="859" ht="12.75">
      <c r="J859" s="93"/>
    </row>
    <row r="860" ht="12.75">
      <c r="J860" s="93"/>
    </row>
    <row r="861" ht="12.75">
      <c r="J861" s="93"/>
    </row>
    <row r="862" ht="12.75">
      <c r="J862" s="93"/>
    </row>
    <row r="863" ht="12.75">
      <c r="J863" s="93"/>
    </row>
    <row r="864" ht="12.75">
      <c r="J864" s="93"/>
    </row>
    <row r="865" ht="12.75">
      <c r="J865" s="93"/>
    </row>
    <row r="866" ht="12.75">
      <c r="J866" s="93"/>
    </row>
    <row r="867" ht="12.75">
      <c r="J867" s="93"/>
    </row>
    <row r="868" ht="12.75">
      <c r="J868" s="93"/>
    </row>
    <row r="869" ht="12.75">
      <c r="J869" s="93"/>
    </row>
    <row r="870" ht="12.75">
      <c r="J870" s="93"/>
    </row>
    <row r="871" ht="12.75">
      <c r="J871" s="93"/>
    </row>
    <row r="872" ht="12.75">
      <c r="J872" s="93"/>
    </row>
    <row r="873" ht="12.75">
      <c r="J873" s="93"/>
    </row>
    <row r="874" ht="12.75">
      <c r="J874" s="93"/>
    </row>
    <row r="875" ht="12.75">
      <c r="J875" s="93"/>
    </row>
    <row r="876" ht="12.75">
      <c r="J876" s="93"/>
    </row>
    <row r="877" ht="12.75">
      <c r="J877" s="93"/>
    </row>
    <row r="878" ht="12.75">
      <c r="J878" s="93"/>
    </row>
    <row r="879" ht="12.75">
      <c r="J879" s="93"/>
    </row>
    <row r="880" ht="12.75">
      <c r="J880" s="93"/>
    </row>
    <row r="881" ht="12.75">
      <c r="J881" s="93"/>
    </row>
    <row r="882" ht="12.75">
      <c r="J882" s="93"/>
    </row>
    <row r="883" ht="12.75">
      <c r="J883" s="93"/>
    </row>
    <row r="884" ht="12.75">
      <c r="J884" s="93"/>
    </row>
    <row r="885" ht="12.75">
      <c r="J885" s="93"/>
    </row>
    <row r="886" ht="12.75">
      <c r="J886" s="93"/>
    </row>
    <row r="887" ht="12.75">
      <c r="J887" s="93"/>
    </row>
    <row r="888" ht="12.75">
      <c r="J888" s="93"/>
    </row>
    <row r="889" ht="12.75">
      <c r="J889" s="93"/>
    </row>
    <row r="890" ht="12.75">
      <c r="J890" s="93"/>
    </row>
    <row r="891" ht="12.75">
      <c r="J891" s="93"/>
    </row>
    <row r="892" ht="12.75">
      <c r="J892" s="93"/>
    </row>
    <row r="893" ht="12.75">
      <c r="J893" s="93"/>
    </row>
    <row r="894" ht="12.75">
      <c r="J894" s="93"/>
    </row>
    <row r="895" ht="12.75">
      <c r="J895" s="93"/>
    </row>
    <row r="896" ht="12.75">
      <c r="J896" s="93"/>
    </row>
    <row r="897" ht="12.75">
      <c r="J897" s="93"/>
    </row>
    <row r="898" ht="12.75">
      <c r="J898" s="93"/>
    </row>
    <row r="899" ht="12.75">
      <c r="J899" s="93"/>
    </row>
    <row r="900" ht="12.75">
      <c r="J900" s="93"/>
    </row>
    <row r="901" ht="12.75">
      <c r="J901" s="93"/>
    </row>
    <row r="902" ht="12.75">
      <c r="J902" s="93"/>
    </row>
    <row r="903" ht="12.75">
      <c r="J903" s="93"/>
    </row>
    <row r="904" ht="12.75">
      <c r="J904" s="93"/>
    </row>
    <row r="905" ht="12.75">
      <c r="J905" s="93"/>
    </row>
    <row r="906" ht="12.75">
      <c r="J906" s="93"/>
    </row>
    <row r="907" ht="12.75">
      <c r="J907" s="93"/>
    </row>
    <row r="908" ht="12.75">
      <c r="J908" s="93"/>
    </row>
    <row r="909" ht="12.75">
      <c r="J909" s="93"/>
    </row>
    <row r="910" ht="12.75">
      <c r="J910" s="93"/>
    </row>
    <row r="911" ht="12.75">
      <c r="J911" s="93"/>
    </row>
    <row r="912" ht="12.75">
      <c r="J912" s="93"/>
    </row>
    <row r="913" ht="12.75">
      <c r="J913" s="93"/>
    </row>
    <row r="914" ht="12.75">
      <c r="J914" s="93"/>
    </row>
    <row r="915" ht="12.75">
      <c r="J915" s="93"/>
    </row>
    <row r="916" ht="12.75">
      <c r="J916" s="93"/>
    </row>
    <row r="917" ht="12.75">
      <c r="J917" s="93"/>
    </row>
    <row r="918" ht="12.75">
      <c r="J918" s="93"/>
    </row>
    <row r="919" ht="12.75">
      <c r="J919" s="93"/>
    </row>
    <row r="920" ht="12.75">
      <c r="J920" s="93"/>
    </row>
    <row r="921" ht="12.75">
      <c r="J921" s="93"/>
    </row>
    <row r="922" ht="12.75">
      <c r="J922" s="93"/>
    </row>
    <row r="923" ht="12.75">
      <c r="J923" s="93"/>
    </row>
    <row r="924" ht="12.75">
      <c r="J924" s="93"/>
    </row>
    <row r="925" ht="12.75">
      <c r="J925" s="93"/>
    </row>
    <row r="926" ht="12.75">
      <c r="J926" s="93"/>
    </row>
    <row r="927" ht="12.75">
      <c r="J927" s="93"/>
    </row>
    <row r="928" ht="12.75">
      <c r="J928" s="93"/>
    </row>
    <row r="929" ht="12.75">
      <c r="J929" s="93"/>
    </row>
    <row r="930" ht="12.75">
      <c r="J930" s="93"/>
    </row>
    <row r="931" ht="12.75">
      <c r="J931" s="93"/>
    </row>
    <row r="932" ht="12.75">
      <c r="J932" s="93"/>
    </row>
    <row r="933" ht="12.75">
      <c r="J933" s="93"/>
    </row>
    <row r="934" ht="12.75">
      <c r="J934" s="93"/>
    </row>
    <row r="935" ht="12.75">
      <c r="J935" s="93"/>
    </row>
    <row r="936" ht="12.75">
      <c r="J936" s="93"/>
    </row>
    <row r="937" ht="12.75">
      <c r="J937" s="93"/>
    </row>
    <row r="938" ht="12.75">
      <c r="J938" s="93"/>
    </row>
    <row r="939" ht="12.75">
      <c r="J939" s="93"/>
    </row>
    <row r="940" ht="12.75">
      <c r="J940" s="93"/>
    </row>
    <row r="941" ht="12.75">
      <c r="J941" s="93"/>
    </row>
    <row r="942" ht="12.75">
      <c r="J942" s="93"/>
    </row>
    <row r="943" ht="12.75">
      <c r="J943" s="93"/>
    </row>
    <row r="944" ht="12.75">
      <c r="J944" s="93"/>
    </row>
    <row r="945" ht="12.75">
      <c r="J945" s="93"/>
    </row>
    <row r="946" ht="12.75">
      <c r="J946" s="93"/>
    </row>
    <row r="947" ht="12.75">
      <c r="J947" s="93"/>
    </row>
    <row r="948" ht="12.75">
      <c r="J948" s="93"/>
    </row>
    <row r="949" ht="12.75">
      <c r="J949" s="93"/>
    </row>
    <row r="950" ht="12.75">
      <c r="J950" s="93"/>
    </row>
    <row r="951" ht="12.75">
      <c r="J951" s="93"/>
    </row>
    <row r="952" ht="12.75">
      <c r="J952" s="93"/>
    </row>
    <row r="953" ht="12.75">
      <c r="J953" s="93"/>
    </row>
    <row r="954" ht="12.75">
      <c r="J954" s="93"/>
    </row>
    <row r="955" ht="12.75">
      <c r="J955" s="93"/>
    </row>
    <row r="956" ht="12.75">
      <c r="J956" s="93"/>
    </row>
    <row r="957" ht="12.75">
      <c r="J957" s="93"/>
    </row>
    <row r="958" ht="12.75">
      <c r="J958" s="93"/>
    </row>
    <row r="959" ht="12.75">
      <c r="J959" s="93"/>
    </row>
    <row r="960" ht="12.75">
      <c r="J960" s="93"/>
    </row>
    <row r="961" ht="12.75">
      <c r="J961" s="93"/>
    </row>
    <row r="962" ht="12.75">
      <c r="J962" s="93"/>
    </row>
    <row r="963" ht="12.75">
      <c r="J963" s="93"/>
    </row>
    <row r="964" ht="12.75">
      <c r="J964" s="93"/>
    </row>
    <row r="965" ht="12.75">
      <c r="J965" s="93"/>
    </row>
    <row r="966" ht="12.75">
      <c r="J966" s="93"/>
    </row>
    <row r="967" ht="12.75">
      <c r="J967" s="93"/>
    </row>
    <row r="968" ht="12.75">
      <c r="J968" s="93"/>
    </row>
    <row r="969" ht="12.75">
      <c r="J969" s="93"/>
    </row>
    <row r="970" ht="12.75">
      <c r="J970" s="93"/>
    </row>
    <row r="971" ht="12.75">
      <c r="J971" s="93"/>
    </row>
    <row r="972" ht="12.75">
      <c r="J972" s="93"/>
    </row>
    <row r="973" ht="12.75">
      <c r="J973" s="93"/>
    </row>
    <row r="974" ht="12.75">
      <c r="J974" s="93"/>
    </row>
    <row r="975" ht="12.75">
      <c r="J975" s="93"/>
    </row>
    <row r="976" ht="12.75">
      <c r="J976" s="93"/>
    </row>
    <row r="977" ht="12.75">
      <c r="J977" s="93"/>
    </row>
    <row r="978" ht="12.75">
      <c r="J978" s="93"/>
    </row>
    <row r="979" ht="12.75">
      <c r="J979" s="93"/>
    </row>
    <row r="980" ht="12.75">
      <c r="J980" s="93"/>
    </row>
    <row r="981" ht="12.75">
      <c r="J981" s="93"/>
    </row>
    <row r="982" ht="12.75">
      <c r="J982" s="93"/>
    </row>
    <row r="983" ht="12.75">
      <c r="J983" s="93"/>
    </row>
    <row r="984" ht="12.75">
      <c r="J984" s="93"/>
    </row>
    <row r="985" ht="12.75">
      <c r="J985" s="93"/>
    </row>
    <row r="986" ht="12.75">
      <c r="J986" s="93"/>
    </row>
    <row r="987" ht="12.75">
      <c r="J987" s="93"/>
    </row>
    <row r="988" ht="12.75">
      <c r="J988" s="93"/>
    </row>
    <row r="989" ht="12.75">
      <c r="J989" s="93"/>
    </row>
    <row r="990" ht="12.75">
      <c r="J990" s="93"/>
    </row>
    <row r="991" ht="12.75">
      <c r="J991" s="93"/>
    </row>
    <row r="992" ht="12.75">
      <c r="J992" s="93"/>
    </row>
    <row r="993" ht="12.75">
      <c r="J993" s="93"/>
    </row>
    <row r="994" ht="12.75">
      <c r="J994" s="93"/>
    </row>
    <row r="995" ht="12.75">
      <c r="J995" s="93"/>
    </row>
    <row r="996" ht="12.75">
      <c r="J996" s="93"/>
    </row>
    <row r="997" ht="12.75">
      <c r="J997" s="93"/>
    </row>
    <row r="998" ht="12.75">
      <c r="J998" s="93"/>
    </row>
    <row r="999" ht="12.75">
      <c r="J999" s="93"/>
    </row>
    <row r="1000" ht="12.75">
      <c r="J1000" s="93"/>
    </row>
    <row r="1001" ht="12.75">
      <c r="J1001" s="93"/>
    </row>
    <row r="1002" ht="12.75">
      <c r="J1002" s="93"/>
    </row>
    <row r="1003" ht="12.75">
      <c r="J1003" s="93"/>
    </row>
    <row r="1004" ht="12.75">
      <c r="J1004" s="93"/>
    </row>
    <row r="1005" ht="12.75">
      <c r="J1005" s="93"/>
    </row>
    <row r="1006" ht="12.75">
      <c r="J1006" s="93"/>
    </row>
    <row r="1007" ht="12.75">
      <c r="J1007" s="93"/>
    </row>
    <row r="1008" ht="12.75">
      <c r="J1008" s="93"/>
    </row>
    <row r="1009" ht="12.75">
      <c r="J1009" s="93"/>
    </row>
    <row r="1010" ht="12.75">
      <c r="J1010" s="93"/>
    </row>
    <row r="1011" ht="12.75">
      <c r="J1011" s="93"/>
    </row>
    <row r="1012" ht="12.75">
      <c r="J1012" s="93"/>
    </row>
    <row r="1013" ht="12.75">
      <c r="J1013" s="93"/>
    </row>
    <row r="1014" ht="12.75">
      <c r="J1014" s="93"/>
    </row>
    <row r="1015" ht="12.75">
      <c r="J1015" s="93"/>
    </row>
    <row r="1016" ht="12.75">
      <c r="J1016" s="93"/>
    </row>
    <row r="1017" ht="12.75">
      <c r="J1017" s="93"/>
    </row>
    <row r="1018" ht="12.75">
      <c r="J1018" s="93"/>
    </row>
    <row r="1019" ht="12.75">
      <c r="J1019" s="93"/>
    </row>
    <row r="1020" ht="12.75">
      <c r="J1020" s="93"/>
    </row>
    <row r="1021" ht="12.75">
      <c r="J1021" s="93"/>
    </row>
    <row r="1022" ht="12.75">
      <c r="J1022" s="93"/>
    </row>
    <row r="1023" ht="12.75">
      <c r="J1023" s="93"/>
    </row>
    <row r="1024" ht="12.75">
      <c r="J1024" s="93"/>
    </row>
    <row r="1025" ht="12.75">
      <c r="J1025" s="93"/>
    </row>
    <row r="1026" ht="12.75">
      <c r="J1026" s="93"/>
    </row>
    <row r="1027" ht="12.75">
      <c r="J1027" s="93"/>
    </row>
    <row r="1028" ht="12.75">
      <c r="J1028" s="93"/>
    </row>
    <row r="1029" ht="12.75">
      <c r="J1029" s="93"/>
    </row>
    <row r="1030" ht="12.75">
      <c r="J1030" s="93"/>
    </row>
    <row r="1031" ht="12.75">
      <c r="J1031" s="93"/>
    </row>
    <row r="1032" ht="12.75">
      <c r="J1032" s="93"/>
    </row>
    <row r="1033" ht="12.75">
      <c r="J1033" s="93"/>
    </row>
    <row r="1034" ht="12.75">
      <c r="J1034" s="93"/>
    </row>
    <row r="1035" ht="12.75">
      <c r="J1035" s="93"/>
    </row>
    <row r="1036" ht="12.75">
      <c r="J1036" s="93"/>
    </row>
    <row r="1037" ht="12.75">
      <c r="J1037" s="93"/>
    </row>
    <row r="1038" ht="12.75">
      <c r="J1038" s="93"/>
    </row>
    <row r="1039" ht="12.75">
      <c r="J1039" s="93"/>
    </row>
    <row r="1040" ht="12.75">
      <c r="J1040" s="93"/>
    </row>
    <row r="1041" ht="12.75">
      <c r="J1041" s="93"/>
    </row>
    <row r="1042" ht="12.75">
      <c r="J1042" s="93"/>
    </row>
    <row r="1043" ht="12.75">
      <c r="J1043" s="93"/>
    </row>
    <row r="1044" ht="12.75">
      <c r="J1044" s="93"/>
    </row>
    <row r="1045" ht="12.75">
      <c r="J1045" s="93"/>
    </row>
    <row r="1046" ht="12.75">
      <c r="J1046" s="93"/>
    </row>
    <row r="1047" ht="12.75">
      <c r="J1047" s="93"/>
    </row>
    <row r="1048" ht="12.75">
      <c r="J1048" s="93"/>
    </row>
    <row r="1049" ht="12.75">
      <c r="J1049" s="93"/>
    </row>
    <row r="1050" ht="12.75">
      <c r="J1050" s="93"/>
    </row>
    <row r="1051" ht="12.75">
      <c r="J1051" s="93"/>
    </row>
    <row r="1052" ht="12.75">
      <c r="J1052" s="93"/>
    </row>
    <row r="1053" ht="12.75">
      <c r="J1053" s="93"/>
    </row>
    <row r="1054" ht="12.75">
      <c r="J1054" s="93"/>
    </row>
    <row r="1055" ht="12.75">
      <c r="J1055" s="93"/>
    </row>
    <row r="1056" ht="12.75">
      <c r="J1056" s="93"/>
    </row>
    <row r="1057" ht="12.75">
      <c r="J1057" s="93"/>
    </row>
    <row r="1058" ht="12.75">
      <c r="J1058" s="93"/>
    </row>
    <row r="1059" ht="12.75">
      <c r="J1059" s="93"/>
    </row>
    <row r="1060" ht="12.75">
      <c r="J1060" s="93"/>
    </row>
    <row r="1061" ht="12.75">
      <c r="J1061" s="93"/>
    </row>
    <row r="1062" ht="12.75">
      <c r="J1062" s="93"/>
    </row>
    <row r="1063" ht="12.75">
      <c r="J1063" s="93"/>
    </row>
    <row r="1064" ht="12.75">
      <c r="J1064" s="93"/>
    </row>
    <row r="1065" ht="12.75">
      <c r="J1065" s="93"/>
    </row>
    <row r="1066" ht="12.75">
      <c r="J1066" s="93"/>
    </row>
    <row r="1067" ht="12.75">
      <c r="J1067" s="93"/>
    </row>
    <row r="1068" ht="12.75">
      <c r="J1068" s="93"/>
    </row>
    <row r="1069" ht="12.75">
      <c r="J1069" s="93"/>
    </row>
    <row r="1070" ht="12.75">
      <c r="J1070" s="93"/>
    </row>
    <row r="1071" ht="12.75">
      <c r="J1071" s="93"/>
    </row>
    <row r="1072" ht="12.75">
      <c r="J1072" s="93"/>
    </row>
    <row r="1073" ht="12.75">
      <c r="J1073" s="93"/>
    </row>
    <row r="1074" ht="12.75">
      <c r="J1074" s="93"/>
    </row>
    <row r="1075" ht="12.75">
      <c r="J1075" s="93"/>
    </row>
    <row r="1076" ht="12.75">
      <c r="J1076" s="93"/>
    </row>
    <row r="1077" ht="12.75">
      <c r="J1077" s="93"/>
    </row>
    <row r="1078" ht="12.75">
      <c r="J1078" s="93"/>
    </row>
    <row r="1079" ht="12.75">
      <c r="J1079" s="93"/>
    </row>
    <row r="1080" ht="12.75">
      <c r="J1080" s="93"/>
    </row>
    <row r="1081" ht="12.75">
      <c r="J1081" s="93"/>
    </row>
    <row r="1082" ht="12.75">
      <c r="J1082" s="93"/>
    </row>
    <row r="1083" ht="12.75">
      <c r="J1083" s="93"/>
    </row>
    <row r="1084" ht="12.75">
      <c r="J1084" s="93"/>
    </row>
    <row r="1085" ht="12.75">
      <c r="J1085" s="93"/>
    </row>
    <row r="1086" ht="12.75">
      <c r="J1086" s="93"/>
    </row>
    <row r="1087" ht="12.75">
      <c r="J1087" s="93"/>
    </row>
    <row r="1088" ht="12.75">
      <c r="J1088" s="93"/>
    </row>
    <row r="1089" ht="12.75">
      <c r="J1089" s="93"/>
    </row>
    <row r="1090" ht="12.75">
      <c r="J1090" s="93"/>
    </row>
    <row r="1091" ht="12.75">
      <c r="J1091" s="93"/>
    </row>
    <row r="1092" ht="12.75">
      <c r="J1092" s="93"/>
    </row>
    <row r="1093" ht="12.75">
      <c r="J1093" s="93"/>
    </row>
    <row r="1094" ht="12.75">
      <c r="J1094" s="93"/>
    </row>
    <row r="1095" ht="12.75">
      <c r="J1095" s="93"/>
    </row>
    <row r="1096" ht="12.75">
      <c r="J1096" s="93"/>
    </row>
    <row r="1097" ht="12.75">
      <c r="J1097" s="93"/>
    </row>
    <row r="1098" ht="12.75">
      <c r="J1098" s="93"/>
    </row>
    <row r="1099" ht="12.75">
      <c r="J1099" s="93"/>
    </row>
    <row r="1100" ht="12.75">
      <c r="J1100" s="93"/>
    </row>
    <row r="1101" ht="12.75">
      <c r="J1101" s="93"/>
    </row>
    <row r="1102" ht="12.75">
      <c r="J1102" s="93"/>
    </row>
    <row r="1103" ht="12.75">
      <c r="J1103" s="93"/>
    </row>
    <row r="1104" ht="12.75">
      <c r="J1104" s="93"/>
    </row>
    <row r="1105" ht="12.75">
      <c r="J1105" s="93"/>
    </row>
    <row r="1106" ht="12.75">
      <c r="J1106" s="93"/>
    </row>
    <row r="1107" ht="12.75">
      <c r="J1107" s="93"/>
    </row>
    <row r="1108" ht="12.75">
      <c r="J1108" s="93"/>
    </row>
    <row r="1109" ht="12.75">
      <c r="J1109" s="93"/>
    </row>
    <row r="1110" ht="12.75">
      <c r="J1110" s="93"/>
    </row>
    <row r="1111" ht="12.75">
      <c r="J1111" s="93"/>
    </row>
    <row r="1112" ht="12.75">
      <c r="J1112" s="93"/>
    </row>
    <row r="1113" ht="12.75">
      <c r="J1113" s="93"/>
    </row>
    <row r="1114" ht="12.75">
      <c r="J1114" s="93"/>
    </row>
    <row r="1115" ht="12.75">
      <c r="J1115" s="93"/>
    </row>
    <row r="1116" ht="12.75">
      <c r="J1116" s="93"/>
    </row>
    <row r="1117" ht="12.75">
      <c r="J1117" s="93"/>
    </row>
    <row r="1118" ht="12.75">
      <c r="J1118" s="93"/>
    </row>
    <row r="1119" ht="12.75">
      <c r="J1119" s="93"/>
    </row>
    <row r="1120" ht="12.75">
      <c r="J1120" s="93"/>
    </row>
    <row r="1121" ht="12.75">
      <c r="J1121" s="93"/>
    </row>
    <row r="1122" ht="12.75">
      <c r="J1122" s="93"/>
    </row>
    <row r="1123" ht="12.75">
      <c r="J1123" s="93"/>
    </row>
    <row r="1124" ht="12.75">
      <c r="J1124" s="93"/>
    </row>
    <row r="1125" ht="12.75">
      <c r="J1125" s="93"/>
    </row>
    <row r="1126" ht="12.75">
      <c r="J1126" s="93"/>
    </row>
    <row r="1127" ht="12.75">
      <c r="J1127" s="93"/>
    </row>
    <row r="1128" ht="12.75">
      <c r="J1128" s="93"/>
    </row>
    <row r="1129" ht="12.75">
      <c r="J1129" s="93"/>
    </row>
    <row r="1130" ht="12.75">
      <c r="J1130" s="93"/>
    </row>
    <row r="1131" ht="12.75">
      <c r="J1131" s="93"/>
    </row>
    <row r="1132" ht="12.75">
      <c r="J1132" s="93"/>
    </row>
    <row r="1133" ht="12.75">
      <c r="J1133" s="93"/>
    </row>
    <row r="1134" ht="12.75">
      <c r="J1134" s="93"/>
    </row>
    <row r="1135" ht="12.75">
      <c r="J1135" s="93"/>
    </row>
    <row r="1136" ht="12.75">
      <c r="J1136" s="93"/>
    </row>
    <row r="1137" ht="12.75">
      <c r="J1137" s="93"/>
    </row>
    <row r="1138" ht="12.75">
      <c r="J1138" s="93"/>
    </row>
    <row r="1139" ht="12.75">
      <c r="J1139" s="93"/>
    </row>
    <row r="1140" ht="12.75">
      <c r="J1140" s="93"/>
    </row>
    <row r="1141" ht="12.75">
      <c r="J1141" s="93"/>
    </row>
    <row r="1142" ht="12.75">
      <c r="J1142" s="93"/>
    </row>
    <row r="1143" ht="12.75">
      <c r="J1143" s="93"/>
    </row>
    <row r="1144" ht="12.75">
      <c r="J1144" s="93"/>
    </row>
    <row r="1145" ht="12.75">
      <c r="J1145" s="93"/>
    </row>
    <row r="1146" ht="12.75">
      <c r="J1146" s="93"/>
    </row>
    <row r="1147" ht="12.75">
      <c r="J1147" s="93"/>
    </row>
    <row r="1148" ht="12.75">
      <c r="J1148" s="93"/>
    </row>
    <row r="1149" ht="12.75">
      <c r="J1149" s="93"/>
    </row>
    <row r="1150" ht="12.75">
      <c r="J1150" s="93"/>
    </row>
    <row r="1151" ht="12.75">
      <c r="J1151" s="93"/>
    </row>
    <row r="1152" ht="12.75">
      <c r="J1152" s="93"/>
    </row>
    <row r="1153" ht="12.75">
      <c r="J1153" s="93"/>
    </row>
    <row r="1154" ht="12.75">
      <c r="J1154" s="93"/>
    </row>
    <row r="1155" ht="12.75">
      <c r="J1155" s="93"/>
    </row>
    <row r="1156" ht="12.75">
      <c r="J1156" s="93"/>
    </row>
    <row r="1157" ht="12.75">
      <c r="J1157" s="93"/>
    </row>
    <row r="1158" ht="12.75">
      <c r="J1158" s="93"/>
    </row>
    <row r="1159" ht="12.75">
      <c r="J1159" s="93"/>
    </row>
    <row r="1160" ht="12.75">
      <c r="J1160" s="93"/>
    </row>
    <row r="1161" ht="12.75">
      <c r="J1161" s="93"/>
    </row>
    <row r="1162" ht="12.75">
      <c r="J1162" s="93"/>
    </row>
    <row r="1163" ht="12.75">
      <c r="J1163" s="93"/>
    </row>
    <row r="1164" ht="12.75">
      <c r="J1164" s="93"/>
    </row>
    <row r="1165" ht="12.75">
      <c r="J1165" s="93"/>
    </row>
    <row r="1166" ht="12.75">
      <c r="J1166" s="93"/>
    </row>
    <row r="1167" ht="12.75">
      <c r="J1167" s="93"/>
    </row>
    <row r="1168" ht="12.75">
      <c r="J1168" s="93"/>
    </row>
    <row r="1169" ht="12.75">
      <c r="J1169" s="93"/>
    </row>
    <row r="1170" ht="12.75">
      <c r="J1170" s="93"/>
    </row>
    <row r="1171" ht="12.75">
      <c r="J1171" s="93"/>
    </row>
    <row r="1172" ht="12.75">
      <c r="J1172" s="93"/>
    </row>
    <row r="1173" ht="12.75">
      <c r="J1173" s="93"/>
    </row>
    <row r="1174" ht="12.75">
      <c r="J1174" s="93"/>
    </row>
    <row r="1175" ht="12.75">
      <c r="J1175" s="93"/>
    </row>
    <row r="1176" ht="12.75">
      <c r="J1176" s="93"/>
    </row>
    <row r="1177" ht="12.75">
      <c r="J1177" s="93"/>
    </row>
    <row r="1178" ht="12.75">
      <c r="J1178" s="93"/>
    </row>
    <row r="1179" ht="12.75">
      <c r="J1179" s="93"/>
    </row>
    <row r="1180" ht="12.75">
      <c r="J1180" s="93"/>
    </row>
    <row r="1181" ht="12.75">
      <c r="J1181" s="93"/>
    </row>
    <row r="1182" ht="12.75">
      <c r="J1182" s="93"/>
    </row>
    <row r="1183" ht="12.75">
      <c r="J1183" s="93"/>
    </row>
    <row r="1184" ht="12.75">
      <c r="J1184" s="93"/>
    </row>
    <row r="1185" ht="12.75">
      <c r="J1185" s="93"/>
    </row>
    <row r="1186" ht="12.75">
      <c r="J1186" s="93"/>
    </row>
    <row r="1187" ht="12.75">
      <c r="J1187" s="93"/>
    </row>
    <row r="1188" ht="12.75">
      <c r="J1188" s="93"/>
    </row>
    <row r="1189" ht="12.75">
      <c r="J1189" s="93"/>
    </row>
    <row r="1190" ht="12.75">
      <c r="J1190" s="93"/>
    </row>
    <row r="1191" ht="12.75">
      <c r="J1191" s="93"/>
    </row>
    <row r="1192" ht="12.75">
      <c r="J1192" s="93"/>
    </row>
    <row r="1193" ht="12.75">
      <c r="J1193" s="93"/>
    </row>
    <row r="1194" ht="12.75">
      <c r="J1194" s="93"/>
    </row>
    <row r="1195" ht="12.75">
      <c r="J1195" s="93"/>
    </row>
    <row r="1196" ht="12.75">
      <c r="J1196" s="93"/>
    </row>
    <row r="1197" ht="12.75">
      <c r="J1197" s="93"/>
    </row>
    <row r="1198" ht="12.75">
      <c r="J1198" s="93"/>
    </row>
    <row r="1199" ht="12.75">
      <c r="J1199" s="93"/>
    </row>
    <row r="1200" ht="12.75">
      <c r="J1200" s="93"/>
    </row>
    <row r="1201" ht="12.75">
      <c r="J1201" s="93"/>
    </row>
    <row r="1202" ht="12.75">
      <c r="J1202" s="93"/>
    </row>
    <row r="1203" ht="12.75">
      <c r="J1203" s="93"/>
    </row>
    <row r="1204" ht="12.75">
      <c r="J1204" s="93"/>
    </row>
    <row r="1205" ht="12.75">
      <c r="J1205" s="93"/>
    </row>
    <row r="1206" ht="12.75">
      <c r="J1206" s="93"/>
    </row>
    <row r="1207" ht="12.75">
      <c r="J1207" s="93"/>
    </row>
    <row r="1208" ht="12.75">
      <c r="J1208" s="93"/>
    </row>
    <row r="1209" ht="12.75">
      <c r="J1209" s="93"/>
    </row>
    <row r="1210" ht="12.75">
      <c r="J1210" s="93"/>
    </row>
    <row r="1211" ht="12.75">
      <c r="J1211" s="93"/>
    </row>
    <row r="1212" ht="12.75">
      <c r="J1212" s="93"/>
    </row>
    <row r="1213" ht="12.75">
      <c r="J1213" s="93"/>
    </row>
    <row r="1214" ht="12.75">
      <c r="J1214" s="93"/>
    </row>
    <row r="1215" ht="12.75">
      <c r="J1215" s="93"/>
    </row>
    <row r="1216" ht="12.75">
      <c r="J1216" s="93"/>
    </row>
    <row r="1217" ht="12.75">
      <c r="J1217" s="93"/>
    </row>
    <row r="1218" ht="12.75">
      <c r="J1218" s="93"/>
    </row>
    <row r="1219" ht="12.75">
      <c r="J1219" s="93"/>
    </row>
    <row r="1220" ht="12.75">
      <c r="J1220" s="93"/>
    </row>
    <row r="1221" ht="12.75">
      <c r="J1221" s="93"/>
    </row>
    <row r="1222" ht="12.75">
      <c r="J1222" s="93"/>
    </row>
  </sheetData>
  <printOptions horizontalCentered="1"/>
  <pageMargins left="0.17" right="0.16" top="0.4" bottom="0.55" header="0.3" footer="0.31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6"/>
  <sheetViews>
    <sheetView zoomScale="75" zoomScaleNormal="75" workbookViewId="0" topLeftCell="A1">
      <pane ySplit="4" topLeftCell="BM22" activePane="bottomLeft" state="frozen"/>
      <selection pane="topLeft" activeCell="A1" sqref="A1"/>
      <selection pane="bottomLeft" activeCell="F63" sqref="F63:J63"/>
    </sheetView>
  </sheetViews>
  <sheetFormatPr defaultColWidth="9.140625" defaultRowHeight="12.75"/>
  <cols>
    <col min="1" max="1" width="16.00390625" style="18" bestFit="1" customWidth="1"/>
    <col min="2" max="2" width="10.8515625" style="18" customWidth="1"/>
    <col min="3" max="3" width="10.7109375" style="18" bestFit="1" customWidth="1"/>
    <col min="4" max="6" width="10.7109375" style="18" customWidth="1"/>
    <col min="7" max="7" width="11.8515625" style="18" bestFit="1" customWidth="1"/>
    <col min="8" max="8" width="11.421875" style="145" customWidth="1"/>
    <col min="9" max="9" width="8.8515625" style="255" customWidth="1"/>
    <col min="10" max="10" width="12.140625" style="14" bestFit="1" customWidth="1"/>
    <col min="11" max="11" width="8.8515625" style="14" customWidth="1"/>
    <col min="12" max="12" width="11.57421875" style="14" customWidth="1"/>
    <col min="13" max="16384" width="8.8515625" style="14" customWidth="1"/>
  </cols>
  <sheetData>
    <row r="1" spans="1:5" ht="20.25">
      <c r="A1" s="90" t="s">
        <v>386</v>
      </c>
      <c r="C1" s="92"/>
      <c r="E1" s="270" t="s">
        <v>468</v>
      </c>
    </row>
    <row r="2" spans="1:10" ht="12.75">
      <c r="A2" s="39" t="s">
        <v>153</v>
      </c>
      <c r="J2" s="9"/>
    </row>
    <row r="3" spans="1:10" ht="12.75">
      <c r="A3" s="39"/>
      <c r="I3" s="228" t="s">
        <v>405</v>
      </c>
      <c r="J3" s="6" t="s">
        <v>318</v>
      </c>
    </row>
    <row r="4" spans="1:10" s="33" customFormat="1" ht="12.75">
      <c r="A4" s="202"/>
      <c r="B4" s="203" t="s">
        <v>149</v>
      </c>
      <c r="C4" s="203" t="s">
        <v>172</v>
      </c>
      <c r="D4" s="203" t="s">
        <v>263</v>
      </c>
      <c r="E4" s="203" t="s">
        <v>279</v>
      </c>
      <c r="F4" s="203" t="s">
        <v>291</v>
      </c>
      <c r="G4" s="203" t="s">
        <v>322</v>
      </c>
      <c r="H4" s="204" t="s">
        <v>150</v>
      </c>
      <c r="I4" s="256" t="s">
        <v>406</v>
      </c>
      <c r="J4" s="227" t="s">
        <v>332</v>
      </c>
    </row>
    <row r="5" spans="1:10" s="74" customFormat="1" ht="12.75">
      <c r="A5" s="121"/>
      <c r="B5" s="122"/>
      <c r="C5" s="122"/>
      <c r="D5" s="122"/>
      <c r="E5" s="122"/>
      <c r="F5" s="122"/>
      <c r="G5" s="122"/>
      <c r="H5" s="146"/>
      <c r="I5" s="257"/>
      <c r="J5" s="123"/>
    </row>
    <row r="6" spans="2:17" ht="12.75">
      <c r="B6" s="381">
        <v>15906.666666666666</v>
      </c>
      <c r="C6" s="381">
        <v>29006.416666666668</v>
      </c>
      <c r="D6" s="381">
        <v>4367.406666666667</v>
      </c>
      <c r="E6" s="381">
        <v>4689.71</v>
      </c>
      <c r="F6" s="381">
        <v>5251.45</v>
      </c>
      <c r="G6" s="284">
        <v>0</v>
      </c>
      <c r="H6" s="424">
        <f>'Appendix 2 Police Overtime'!H5</f>
        <v>39639</v>
      </c>
      <c r="I6" s="425">
        <v>1</v>
      </c>
      <c r="J6" s="380">
        <f aca="true" t="shared" si="0" ref="J6:J52">G6</f>
        <v>0</v>
      </c>
      <c r="L6" s="92"/>
      <c r="M6" s="92"/>
      <c r="N6" s="92"/>
      <c r="O6" s="92"/>
      <c r="P6" s="92"/>
      <c r="Q6" s="92"/>
    </row>
    <row r="7" spans="2:17" ht="12.75">
      <c r="B7" s="381">
        <v>25831</v>
      </c>
      <c r="C7" s="381">
        <v>21728.72</v>
      </c>
      <c r="D7" s="381">
        <v>3208.76</v>
      </c>
      <c r="E7" s="381">
        <v>5766.06</v>
      </c>
      <c r="F7" s="381">
        <v>16965.22</v>
      </c>
      <c r="G7" s="284">
        <v>12685.79</v>
      </c>
      <c r="H7" s="424">
        <f>'Appendix 2 Police Overtime'!H6</f>
        <v>39646</v>
      </c>
      <c r="I7" s="425">
        <v>2</v>
      </c>
      <c r="J7" s="380">
        <f t="shared" si="0"/>
        <v>12685.79</v>
      </c>
      <c r="L7" s="92"/>
      <c r="M7" s="92"/>
      <c r="N7" s="92"/>
      <c r="O7" s="92"/>
      <c r="P7" s="92"/>
      <c r="Q7" s="92"/>
    </row>
    <row r="8" spans="2:17" ht="12.75">
      <c r="B8" s="381">
        <v>15959.333333333334</v>
      </c>
      <c r="C8" s="381">
        <v>22428.57666666667</v>
      </c>
      <c r="D8" s="381">
        <v>3040.4966666666664</v>
      </c>
      <c r="E8" s="381">
        <v>5830.906666666667</v>
      </c>
      <c r="F8" s="381">
        <v>13790.74</v>
      </c>
      <c r="G8" s="284">
        <v>10535.88</v>
      </c>
      <c r="H8" s="424">
        <f>'Appendix 2 Police Overtime'!H7</f>
        <v>39653</v>
      </c>
      <c r="I8" s="425">
        <v>3</v>
      </c>
      <c r="J8" s="380">
        <f t="shared" si="0"/>
        <v>10535.88</v>
      </c>
      <c r="L8" s="92"/>
      <c r="M8" s="92"/>
      <c r="N8" s="92"/>
      <c r="O8" s="92"/>
      <c r="P8" s="92"/>
      <c r="Q8" s="92"/>
    </row>
    <row r="9" spans="2:17" ht="12.75">
      <c r="B9" s="381">
        <v>18884.333333333332</v>
      </c>
      <c r="C9" s="381">
        <v>31387.47</v>
      </c>
      <c r="D9" s="381">
        <v>3896.146666666666</v>
      </c>
      <c r="E9" s="381">
        <v>7308.64</v>
      </c>
      <c r="F9" s="381">
        <v>11484.966666666667</v>
      </c>
      <c r="G9" s="284">
        <v>14881.173333333332</v>
      </c>
      <c r="H9" s="424">
        <f>'Appendix 2 Police Overtime'!H8</f>
        <v>39660</v>
      </c>
      <c r="I9" s="425">
        <v>4</v>
      </c>
      <c r="J9" s="380">
        <f t="shared" si="0"/>
        <v>14881.173333333332</v>
      </c>
      <c r="L9" s="92"/>
      <c r="M9" s="92"/>
      <c r="N9" s="92"/>
      <c r="O9" s="92"/>
      <c r="P9" s="92"/>
      <c r="Q9" s="92"/>
    </row>
    <row r="10" spans="2:17" ht="12.75">
      <c r="B10" s="381">
        <v>16100.333333333334</v>
      </c>
      <c r="C10" s="381">
        <v>24357.22</v>
      </c>
      <c r="D10" s="381">
        <v>4553.033333333334</v>
      </c>
      <c r="E10" s="381">
        <v>5577.04</v>
      </c>
      <c r="F10" s="381">
        <v>11090</v>
      </c>
      <c r="G10" s="284">
        <v>9183.093333333332</v>
      </c>
      <c r="H10" s="424">
        <f>'Appendix 2 Police Overtime'!H9</f>
        <v>39667</v>
      </c>
      <c r="I10" s="425">
        <v>5</v>
      </c>
      <c r="J10" s="380">
        <f t="shared" si="0"/>
        <v>9183.093333333332</v>
      </c>
      <c r="L10" s="92"/>
      <c r="M10" s="92"/>
      <c r="N10" s="92"/>
      <c r="O10" s="92"/>
      <c r="P10" s="92"/>
      <c r="Q10" s="92"/>
    </row>
    <row r="11" spans="2:17" ht="12.75">
      <c r="B11" s="381">
        <v>21323</v>
      </c>
      <c r="C11" s="381">
        <v>21102.406666666666</v>
      </c>
      <c r="D11" s="381">
        <v>3449.7433333333333</v>
      </c>
      <c r="E11" s="381">
        <v>4432.0633333333335</v>
      </c>
      <c r="F11" s="381">
        <v>10894.163333333332</v>
      </c>
      <c r="G11" s="284">
        <v>12588.48</v>
      </c>
      <c r="H11" s="424">
        <f>'Appendix 2 Police Overtime'!H10</f>
        <v>39674</v>
      </c>
      <c r="I11" s="425">
        <v>6</v>
      </c>
      <c r="J11" s="380">
        <f t="shared" si="0"/>
        <v>12588.48</v>
      </c>
      <c r="L11" s="92"/>
      <c r="M11" s="92"/>
      <c r="N11" s="92"/>
      <c r="O11" s="92"/>
      <c r="P11" s="92"/>
      <c r="Q11" s="92"/>
    </row>
    <row r="12" spans="2:17" ht="12.75">
      <c r="B12" s="381">
        <v>15780.666666666666</v>
      </c>
      <c r="C12" s="381">
        <v>18578.416666666668</v>
      </c>
      <c r="D12" s="381">
        <v>3710.046666666667</v>
      </c>
      <c r="E12" s="381">
        <v>7365.246666666667</v>
      </c>
      <c r="F12" s="381">
        <v>19222.993333333336</v>
      </c>
      <c r="G12" s="284">
        <v>15548.256666666668</v>
      </c>
      <c r="H12" s="424">
        <f>'Appendix 2 Police Overtime'!H11</f>
        <v>39681</v>
      </c>
      <c r="I12" s="425">
        <v>7</v>
      </c>
      <c r="J12" s="380">
        <f t="shared" si="0"/>
        <v>15548.256666666668</v>
      </c>
      <c r="L12" s="92"/>
      <c r="M12" s="92"/>
      <c r="N12" s="92"/>
      <c r="O12" s="92"/>
      <c r="P12" s="92"/>
      <c r="Q12" s="92"/>
    </row>
    <row r="13" spans="2:17" ht="12.75">
      <c r="B13" s="381">
        <v>17507.333333333332</v>
      </c>
      <c r="C13" s="381">
        <v>28855.396666666667</v>
      </c>
      <c r="D13" s="381">
        <v>5318.633333333333</v>
      </c>
      <c r="E13" s="381">
        <v>4799.526666666667</v>
      </c>
      <c r="F13" s="381">
        <v>11445.29</v>
      </c>
      <c r="G13" s="284">
        <v>9614.936666666666</v>
      </c>
      <c r="H13" s="424">
        <f>'Appendix 2 Police Overtime'!H12</f>
        <v>39688</v>
      </c>
      <c r="I13" s="425">
        <v>8</v>
      </c>
      <c r="J13" s="380">
        <f t="shared" si="0"/>
        <v>9614.936666666666</v>
      </c>
      <c r="L13" s="92"/>
      <c r="M13" s="92"/>
      <c r="N13" s="92"/>
      <c r="O13" s="92"/>
      <c r="P13" s="92"/>
      <c r="Q13" s="92"/>
    </row>
    <row r="14" spans="2:17" ht="12.75">
      <c r="B14" s="381">
        <v>24491.666666666668</v>
      </c>
      <c r="C14" s="381">
        <v>25696.45666666667</v>
      </c>
      <c r="D14" s="381">
        <v>5347.283333333334</v>
      </c>
      <c r="E14" s="381">
        <v>3640.4833333333336</v>
      </c>
      <c r="F14" s="381">
        <v>18279.22</v>
      </c>
      <c r="G14" s="284">
        <v>7631.943333333333</v>
      </c>
      <c r="H14" s="424">
        <f>'Appendix 2 Police Overtime'!H13</f>
        <v>39695</v>
      </c>
      <c r="I14" s="425">
        <v>9</v>
      </c>
      <c r="J14" s="380">
        <f t="shared" si="0"/>
        <v>7631.943333333333</v>
      </c>
      <c r="L14" s="92"/>
      <c r="M14" s="92"/>
      <c r="N14" s="92"/>
      <c r="O14" s="92"/>
      <c r="P14" s="92"/>
      <c r="Q14" s="92"/>
    </row>
    <row r="15" spans="2:17" ht="12.75">
      <c r="B15" s="381">
        <v>13305.666666666666</v>
      </c>
      <c r="C15" s="381">
        <v>22999.303333333333</v>
      </c>
      <c r="D15" s="381">
        <v>2976.04</v>
      </c>
      <c r="E15" s="381">
        <v>2289.1266666666666</v>
      </c>
      <c r="F15" s="381">
        <v>8729.736666666666</v>
      </c>
      <c r="G15" s="284">
        <v>6530.106666666667</v>
      </c>
      <c r="H15" s="424">
        <f>'Appendix 2 Police Overtime'!H14</f>
        <v>39702</v>
      </c>
      <c r="I15" s="425">
        <v>10</v>
      </c>
      <c r="J15" s="380">
        <f t="shared" si="0"/>
        <v>6530.106666666667</v>
      </c>
      <c r="L15" s="92"/>
      <c r="M15" s="92"/>
      <c r="N15" s="92"/>
      <c r="O15" s="92"/>
      <c r="P15" s="92"/>
      <c r="Q15" s="92"/>
    </row>
    <row r="16" spans="2:17" ht="12.75">
      <c r="B16" s="381">
        <v>11736.666666666666</v>
      </c>
      <c r="C16" s="381">
        <v>23529.83</v>
      </c>
      <c r="D16" s="381">
        <v>4081.2033333333334</v>
      </c>
      <c r="E16" s="381">
        <v>7671.6033333333335</v>
      </c>
      <c r="F16" s="381">
        <v>9817.696666666667</v>
      </c>
      <c r="G16" s="284">
        <v>9942.81</v>
      </c>
      <c r="H16" s="424">
        <f>'Appendix 2 Police Overtime'!H15</f>
        <v>39709</v>
      </c>
      <c r="I16" s="425">
        <v>11</v>
      </c>
      <c r="J16" s="380">
        <f t="shared" si="0"/>
        <v>9942.81</v>
      </c>
      <c r="L16" s="92"/>
      <c r="M16" s="92"/>
      <c r="N16" s="92"/>
      <c r="O16" s="92"/>
      <c r="P16" s="92"/>
      <c r="Q16" s="92"/>
    </row>
    <row r="17" spans="2:17" ht="12.75">
      <c r="B17" s="381">
        <v>9219</v>
      </c>
      <c r="C17" s="381">
        <v>13469.163333333332</v>
      </c>
      <c r="D17" s="381">
        <v>2558.0766666666673</v>
      </c>
      <c r="E17" s="381">
        <v>4096.37</v>
      </c>
      <c r="F17" s="381">
        <v>7012.816666666667</v>
      </c>
      <c r="G17" s="284">
        <v>6682.09</v>
      </c>
      <c r="H17" s="424">
        <f>'Appendix 2 Police Overtime'!H16</f>
        <v>39716</v>
      </c>
      <c r="I17" s="425">
        <v>12</v>
      </c>
      <c r="J17" s="380">
        <f t="shared" si="0"/>
        <v>6682.09</v>
      </c>
      <c r="L17" s="92"/>
      <c r="M17" s="92"/>
      <c r="N17" s="92"/>
      <c r="O17" s="92"/>
      <c r="P17" s="92"/>
      <c r="Q17" s="92"/>
    </row>
    <row r="18" spans="2:17" ht="12.75">
      <c r="B18" s="381">
        <v>12985.333333333334</v>
      </c>
      <c r="C18" s="381">
        <v>3513.1633333333334</v>
      </c>
      <c r="D18" s="381">
        <v>4892.79</v>
      </c>
      <c r="E18" s="381">
        <v>2190.976666666667</v>
      </c>
      <c r="F18" s="381">
        <v>13634.743333333334</v>
      </c>
      <c r="G18" s="284">
        <v>6823.506666666668</v>
      </c>
      <c r="H18" s="424">
        <f>'Appendix 2 Police Overtime'!H17</f>
        <v>39723</v>
      </c>
      <c r="I18" s="425">
        <v>13</v>
      </c>
      <c r="J18" s="380">
        <f t="shared" si="0"/>
        <v>6823.506666666668</v>
      </c>
      <c r="L18" s="92"/>
      <c r="M18" s="92"/>
      <c r="N18" s="92"/>
      <c r="O18" s="92"/>
      <c r="P18" s="92"/>
      <c r="Q18" s="92"/>
    </row>
    <row r="19" spans="2:17" ht="12.75">
      <c r="B19" s="381">
        <v>10200</v>
      </c>
      <c r="C19" s="381">
        <v>4460.01</v>
      </c>
      <c r="D19" s="381">
        <v>2677.9566666666674</v>
      </c>
      <c r="E19" s="381">
        <v>2157.1766666666667</v>
      </c>
      <c r="F19" s="381">
        <v>8175.68</v>
      </c>
      <c r="G19" s="284">
        <v>7999.196666666667</v>
      </c>
      <c r="H19" s="424">
        <f>'Appendix 2 Police Overtime'!H18</f>
        <v>39730</v>
      </c>
      <c r="I19" s="425">
        <v>14</v>
      </c>
      <c r="J19" s="380">
        <f t="shared" si="0"/>
        <v>7999.196666666667</v>
      </c>
      <c r="L19" s="92"/>
      <c r="M19" s="92"/>
      <c r="N19" s="92"/>
      <c r="O19" s="92"/>
      <c r="P19" s="92"/>
      <c r="Q19" s="92"/>
    </row>
    <row r="20" spans="2:17" ht="12.75">
      <c r="B20" s="381">
        <v>10179.666666666666</v>
      </c>
      <c r="C20" s="381">
        <v>3766.29</v>
      </c>
      <c r="D20" s="381">
        <v>3577.313333333333</v>
      </c>
      <c r="E20" s="381">
        <v>5856.743333333333</v>
      </c>
      <c r="F20" s="381">
        <v>8077.486666666667</v>
      </c>
      <c r="G20" s="284">
        <v>10526.723333333333</v>
      </c>
      <c r="H20" s="424">
        <f>'Appendix 2 Police Overtime'!H19</f>
        <v>39737</v>
      </c>
      <c r="I20" s="425">
        <v>15</v>
      </c>
      <c r="J20" s="380">
        <f t="shared" si="0"/>
        <v>10526.723333333333</v>
      </c>
      <c r="L20" s="92"/>
      <c r="M20" s="92"/>
      <c r="N20" s="92"/>
      <c r="O20" s="92"/>
      <c r="P20" s="92"/>
      <c r="Q20" s="92"/>
    </row>
    <row r="21" spans="2:17" ht="12.75">
      <c r="B21" s="381">
        <v>14164.333333333334</v>
      </c>
      <c r="C21" s="381">
        <v>5219.756666666667</v>
      </c>
      <c r="D21" s="381">
        <v>2519.0266666666666</v>
      </c>
      <c r="E21" s="381">
        <v>5863.953333333334</v>
      </c>
      <c r="F21" s="381">
        <v>10219.823333333334</v>
      </c>
      <c r="G21" s="284">
        <v>7128.906666666667</v>
      </c>
      <c r="H21" s="424">
        <f>'Appendix 2 Police Overtime'!H20</f>
        <v>39744</v>
      </c>
      <c r="I21" s="425">
        <v>16</v>
      </c>
      <c r="J21" s="380">
        <f t="shared" si="0"/>
        <v>7128.906666666667</v>
      </c>
      <c r="L21" s="92"/>
      <c r="M21" s="92"/>
      <c r="N21" s="92"/>
      <c r="O21" s="92"/>
      <c r="P21" s="92"/>
      <c r="Q21" s="92"/>
    </row>
    <row r="22" spans="2:17" ht="12.75">
      <c r="B22" s="381">
        <v>12123.333333333334</v>
      </c>
      <c r="C22" s="381">
        <v>4892.76</v>
      </c>
      <c r="D22" s="381">
        <v>7439.826666666667</v>
      </c>
      <c r="E22" s="381">
        <v>3070.3566666666666</v>
      </c>
      <c r="F22" s="381">
        <v>14583.69</v>
      </c>
      <c r="G22" s="284">
        <v>7643.15</v>
      </c>
      <c r="H22" s="424">
        <f>'Appendix 2 Police Overtime'!H21</f>
        <v>39751</v>
      </c>
      <c r="I22" s="425">
        <v>17</v>
      </c>
      <c r="J22" s="380">
        <f t="shared" si="0"/>
        <v>7643.15</v>
      </c>
      <c r="L22" s="92"/>
      <c r="M22" s="92"/>
      <c r="N22" s="92"/>
      <c r="O22" s="92"/>
      <c r="P22" s="92"/>
      <c r="Q22" s="92"/>
    </row>
    <row r="23" spans="2:17" ht="12.75">
      <c r="B23" s="381">
        <v>11243.333333333334</v>
      </c>
      <c r="C23" s="381">
        <v>4048.67</v>
      </c>
      <c r="D23" s="381">
        <v>4547.373333333334</v>
      </c>
      <c r="E23" s="381">
        <v>3853.023333333333</v>
      </c>
      <c r="F23" s="381">
        <v>9736.98</v>
      </c>
      <c r="G23" s="284">
        <v>5027.846666666666</v>
      </c>
      <c r="H23" s="424">
        <f>'Appendix 2 Police Overtime'!H22</f>
        <v>39758</v>
      </c>
      <c r="I23" s="425">
        <v>18</v>
      </c>
      <c r="J23" s="380">
        <f t="shared" si="0"/>
        <v>5027.846666666666</v>
      </c>
      <c r="L23" s="92"/>
      <c r="M23" s="92"/>
      <c r="N23" s="92"/>
      <c r="O23" s="92"/>
      <c r="P23" s="92"/>
      <c r="Q23" s="92"/>
    </row>
    <row r="24" spans="2:17" ht="12.75">
      <c r="B24" s="381">
        <v>11784.666666666666</v>
      </c>
      <c r="C24" s="381">
        <v>2295.18</v>
      </c>
      <c r="D24" s="381">
        <v>3765.66</v>
      </c>
      <c r="E24" s="381">
        <v>5791.13</v>
      </c>
      <c r="F24" s="381">
        <v>8612.976666666667</v>
      </c>
      <c r="G24" s="284">
        <v>9953.133333333333</v>
      </c>
      <c r="H24" s="424">
        <f>'Appendix 2 Police Overtime'!H23</f>
        <v>39765</v>
      </c>
      <c r="I24" s="425">
        <v>19</v>
      </c>
      <c r="J24" s="380">
        <f t="shared" si="0"/>
        <v>9953.133333333333</v>
      </c>
      <c r="L24" s="92"/>
      <c r="M24" s="92"/>
      <c r="N24" s="92"/>
      <c r="O24" s="92"/>
      <c r="P24" s="92"/>
      <c r="Q24" s="92"/>
    </row>
    <row r="25" spans="2:17" ht="12.75">
      <c r="B25" s="381">
        <v>10780</v>
      </c>
      <c r="C25" s="381">
        <v>4841.003333333333</v>
      </c>
      <c r="D25" s="381">
        <v>3950.9466666666667</v>
      </c>
      <c r="E25" s="381">
        <v>5812.82</v>
      </c>
      <c r="F25" s="381">
        <v>9105.453333333333</v>
      </c>
      <c r="G25" s="284">
        <v>3511.8766666666666</v>
      </c>
      <c r="H25" s="424">
        <f>'Appendix 2 Police Overtime'!H24</f>
        <v>39772</v>
      </c>
      <c r="I25" s="425">
        <v>20</v>
      </c>
      <c r="J25" s="380">
        <f t="shared" si="0"/>
        <v>3511.8766666666666</v>
      </c>
      <c r="L25" s="92"/>
      <c r="M25" s="92"/>
      <c r="N25" s="92"/>
      <c r="O25" s="92"/>
      <c r="P25" s="92"/>
      <c r="Q25" s="92"/>
    </row>
    <row r="26" spans="2:17" ht="12.75">
      <c r="B26" s="381">
        <v>9470.716666666667</v>
      </c>
      <c r="C26" s="381">
        <v>4272.22</v>
      </c>
      <c r="D26" s="381">
        <v>6871.566666666667</v>
      </c>
      <c r="E26" s="381">
        <v>4137.583333333333</v>
      </c>
      <c r="F26" s="381">
        <v>8006.686666666667</v>
      </c>
      <c r="G26" s="284">
        <v>3832.5533333333337</v>
      </c>
      <c r="H26" s="424">
        <f>'Appendix 2 Police Overtime'!H25</f>
        <v>39779</v>
      </c>
      <c r="I26" s="425">
        <v>21</v>
      </c>
      <c r="J26" s="380">
        <f t="shared" si="0"/>
        <v>3832.5533333333337</v>
      </c>
      <c r="L26" s="92"/>
      <c r="M26" s="92"/>
      <c r="N26" s="92"/>
      <c r="O26" s="92"/>
      <c r="P26" s="92"/>
      <c r="Q26" s="92"/>
    </row>
    <row r="27" spans="2:17" ht="12.75">
      <c r="B27" s="381">
        <v>9355.81</v>
      </c>
      <c r="C27" s="381">
        <v>4044.33</v>
      </c>
      <c r="D27" s="381">
        <v>5043.156666666667</v>
      </c>
      <c r="E27" s="381">
        <v>5007.9366666666665</v>
      </c>
      <c r="F27" s="381">
        <v>20216.77666666667</v>
      </c>
      <c r="G27" s="284">
        <v>6423.84</v>
      </c>
      <c r="H27" s="424">
        <f>'Appendix 2 Police Overtime'!H26</f>
        <v>39786</v>
      </c>
      <c r="I27" s="425">
        <v>22</v>
      </c>
      <c r="J27" s="380">
        <f t="shared" si="0"/>
        <v>6423.84</v>
      </c>
      <c r="L27" s="92"/>
      <c r="M27" s="92"/>
      <c r="N27" s="92"/>
      <c r="O27" s="92"/>
      <c r="P27" s="92"/>
      <c r="Q27" s="92"/>
    </row>
    <row r="28" spans="2:17" ht="12.75">
      <c r="B28" s="381">
        <v>19491.99666666667</v>
      </c>
      <c r="C28" s="381">
        <v>2197.6433333333334</v>
      </c>
      <c r="D28" s="381">
        <v>4206.026666666666</v>
      </c>
      <c r="E28" s="381">
        <v>8204.486666666666</v>
      </c>
      <c r="F28" s="381">
        <v>7328.47</v>
      </c>
      <c r="G28" s="284">
        <v>16813.526666666665</v>
      </c>
      <c r="H28" s="424">
        <f>'Appendix 2 Police Overtime'!H27</f>
        <v>39793</v>
      </c>
      <c r="I28" s="425">
        <v>23</v>
      </c>
      <c r="J28" s="380">
        <f t="shared" si="0"/>
        <v>16813.526666666665</v>
      </c>
      <c r="L28" s="92"/>
      <c r="M28" s="92"/>
      <c r="N28" s="92"/>
      <c r="O28" s="92"/>
      <c r="P28" s="92"/>
      <c r="Q28" s="92"/>
    </row>
    <row r="29" spans="2:17" ht="12.75">
      <c r="B29" s="381">
        <v>10958.496666666666</v>
      </c>
      <c r="C29" s="381">
        <v>3139.83</v>
      </c>
      <c r="D29" s="381">
        <v>3917.536666666667</v>
      </c>
      <c r="E29" s="381">
        <v>4748.88</v>
      </c>
      <c r="F29" s="381">
        <v>7182.946666666667</v>
      </c>
      <c r="G29" s="284">
        <v>6592.68</v>
      </c>
      <c r="H29" s="424">
        <f>'Appendix 2 Police Overtime'!H28</f>
        <v>39800</v>
      </c>
      <c r="I29" s="425">
        <v>24</v>
      </c>
      <c r="J29" s="380">
        <f t="shared" si="0"/>
        <v>6592.68</v>
      </c>
      <c r="L29" s="92"/>
      <c r="M29" s="92"/>
      <c r="N29" s="92"/>
      <c r="O29" s="92"/>
      <c r="P29" s="92"/>
      <c r="Q29" s="92"/>
    </row>
    <row r="30" spans="2:17" ht="12.75">
      <c r="B30" s="381">
        <v>12374.436666666666</v>
      </c>
      <c r="C30" s="381">
        <v>3494.36</v>
      </c>
      <c r="D30" s="381">
        <v>8114.626666666667</v>
      </c>
      <c r="E30" s="381">
        <v>5470.696666666667</v>
      </c>
      <c r="F30" s="381">
        <v>14022.45</v>
      </c>
      <c r="G30" s="284">
        <v>10500.776666666667</v>
      </c>
      <c r="H30" s="424">
        <f>'Appendix 2 Police Overtime'!H29</f>
        <v>39807</v>
      </c>
      <c r="I30" s="425">
        <v>25</v>
      </c>
      <c r="J30" s="380">
        <f t="shared" si="0"/>
        <v>10500.776666666667</v>
      </c>
      <c r="L30" s="92"/>
      <c r="M30" s="92"/>
      <c r="N30" s="92"/>
      <c r="O30" s="92"/>
      <c r="P30" s="92"/>
      <c r="Q30" s="92"/>
    </row>
    <row r="31" spans="2:17" ht="12.75">
      <c r="B31" s="381">
        <v>21907.25333333333</v>
      </c>
      <c r="C31" s="381">
        <v>8199.29</v>
      </c>
      <c r="D31" s="381">
        <v>8142.033333333333</v>
      </c>
      <c r="E31" s="381">
        <v>9053.306666666665</v>
      </c>
      <c r="F31" s="381">
        <v>12451.32</v>
      </c>
      <c r="G31" s="284">
        <v>13203.836666666668</v>
      </c>
      <c r="H31" s="424">
        <f>'Appendix 2 Police Overtime'!H30</f>
        <v>39813</v>
      </c>
      <c r="I31" s="425">
        <v>26</v>
      </c>
      <c r="J31" s="380">
        <f t="shared" si="0"/>
        <v>13203.836666666668</v>
      </c>
      <c r="L31" s="92"/>
      <c r="M31" s="92"/>
      <c r="N31" s="92"/>
      <c r="O31" s="92"/>
      <c r="P31" s="92"/>
      <c r="Q31" s="92"/>
    </row>
    <row r="32" spans="2:17" ht="12.75">
      <c r="B32" s="381">
        <v>21007.81</v>
      </c>
      <c r="C32" s="381">
        <v>4045.03</v>
      </c>
      <c r="D32" s="381">
        <v>8960.476666666667</v>
      </c>
      <c r="E32" s="381">
        <v>11694.093333333332</v>
      </c>
      <c r="F32" s="381">
        <v>21019.536666666667</v>
      </c>
      <c r="G32" s="284">
        <v>24741.07333333333</v>
      </c>
      <c r="H32" s="424">
        <f>'Appendix 2 Police Overtime'!H31</f>
        <v>39821</v>
      </c>
      <c r="I32" s="425">
        <v>27</v>
      </c>
      <c r="J32" s="380">
        <f t="shared" si="0"/>
        <v>24741.07333333333</v>
      </c>
      <c r="L32" s="92"/>
      <c r="M32" s="92"/>
      <c r="N32" s="92"/>
      <c r="O32" s="92"/>
      <c r="P32" s="92"/>
      <c r="Q32" s="92"/>
    </row>
    <row r="33" spans="2:17" ht="12.75">
      <c r="B33" s="381">
        <v>15579.76</v>
      </c>
      <c r="C33" s="381">
        <v>2027.2066666666667</v>
      </c>
      <c r="D33" s="381">
        <v>5284.496666666667</v>
      </c>
      <c r="E33" s="381">
        <v>5597.05</v>
      </c>
      <c r="F33" s="381">
        <v>8040.036666666667</v>
      </c>
      <c r="G33" s="284">
        <v>9460.29</v>
      </c>
      <c r="H33" s="424">
        <f>'Appendix 2 Police Overtime'!H32</f>
        <v>39828</v>
      </c>
      <c r="I33" s="425">
        <v>28</v>
      </c>
      <c r="J33" s="380">
        <f t="shared" si="0"/>
        <v>9460.29</v>
      </c>
      <c r="L33" s="92"/>
      <c r="M33" s="92"/>
      <c r="N33" s="92"/>
      <c r="O33" s="92"/>
      <c r="P33" s="92"/>
      <c r="Q33" s="92"/>
    </row>
    <row r="34" spans="2:17" ht="12.75">
      <c r="B34" s="381">
        <v>5773.903333333333</v>
      </c>
      <c r="C34" s="381">
        <v>1040.93</v>
      </c>
      <c r="D34" s="381">
        <v>1812.39</v>
      </c>
      <c r="E34" s="381">
        <v>1972.46</v>
      </c>
      <c r="F34" s="381">
        <v>12577.036666666667</v>
      </c>
      <c r="G34" s="284">
        <v>3923.8933333333334</v>
      </c>
      <c r="H34" s="424">
        <f>'Appendix 2 Police Overtime'!H33</f>
        <v>39835</v>
      </c>
      <c r="I34" s="425">
        <v>29</v>
      </c>
      <c r="J34" s="380">
        <f t="shared" si="0"/>
        <v>3923.8933333333334</v>
      </c>
      <c r="L34" s="92"/>
      <c r="M34" s="92"/>
      <c r="N34" s="92"/>
      <c r="O34" s="92"/>
      <c r="P34" s="92"/>
      <c r="Q34" s="92"/>
    </row>
    <row r="35" spans="2:17" ht="12.75">
      <c r="B35" s="381">
        <v>14094.363333333333</v>
      </c>
      <c r="C35" s="381">
        <v>6255.243333333333</v>
      </c>
      <c r="D35" s="381">
        <v>3495.75</v>
      </c>
      <c r="E35" s="381">
        <v>5138.74</v>
      </c>
      <c r="F35" s="381">
        <v>5775.306666666666</v>
      </c>
      <c r="G35" s="284">
        <v>3388.273333333333</v>
      </c>
      <c r="H35" s="424">
        <f>'Appendix 2 Police Overtime'!H34</f>
        <v>39842</v>
      </c>
      <c r="I35" s="425">
        <v>30</v>
      </c>
      <c r="J35" s="380">
        <f t="shared" si="0"/>
        <v>3388.273333333333</v>
      </c>
      <c r="L35" s="92"/>
      <c r="M35" s="92"/>
      <c r="N35" s="92"/>
      <c r="O35" s="92"/>
      <c r="P35" s="92"/>
      <c r="Q35" s="92"/>
    </row>
    <row r="36" spans="2:17" ht="12.75">
      <c r="B36" s="381">
        <v>8296.29</v>
      </c>
      <c r="C36" s="381">
        <v>1815.4166666666667</v>
      </c>
      <c r="D36" s="381">
        <v>2633.346666666667</v>
      </c>
      <c r="E36" s="381">
        <v>2076.5366666666664</v>
      </c>
      <c r="F36" s="381">
        <v>7136.416666666667</v>
      </c>
      <c r="G36" s="284">
        <v>11443.423333333332</v>
      </c>
      <c r="H36" s="424">
        <f>'Appendix 2 Police Overtime'!H35</f>
        <v>39849</v>
      </c>
      <c r="I36" s="425">
        <v>31</v>
      </c>
      <c r="J36" s="380">
        <f t="shared" si="0"/>
        <v>11443.423333333332</v>
      </c>
      <c r="L36" s="92"/>
      <c r="M36" s="92"/>
      <c r="N36" s="92"/>
      <c r="O36" s="92"/>
      <c r="P36" s="92"/>
      <c r="Q36" s="92"/>
    </row>
    <row r="37" spans="2:17" ht="12.75">
      <c r="B37" s="381">
        <v>10557.47</v>
      </c>
      <c r="C37" s="381">
        <v>3297.0633333333335</v>
      </c>
      <c r="D37" s="381">
        <v>3051.98</v>
      </c>
      <c r="E37" s="381">
        <v>2426.96</v>
      </c>
      <c r="F37" s="381">
        <v>6227.6</v>
      </c>
      <c r="G37" s="284">
        <v>7635.903333333335</v>
      </c>
      <c r="H37" s="424">
        <f>'Appendix 2 Police Overtime'!H36</f>
        <v>39856</v>
      </c>
      <c r="I37" s="425">
        <v>32</v>
      </c>
      <c r="J37" s="380">
        <f t="shared" si="0"/>
        <v>7635.903333333335</v>
      </c>
      <c r="L37" s="92"/>
      <c r="M37" s="92"/>
      <c r="N37" s="92"/>
      <c r="O37" s="92"/>
      <c r="P37" s="92"/>
      <c r="Q37" s="92"/>
    </row>
    <row r="38" spans="2:17" ht="12.75">
      <c r="B38" s="381">
        <v>12815.87</v>
      </c>
      <c r="C38" s="381">
        <v>2574.5533333333333</v>
      </c>
      <c r="D38" s="381">
        <v>2834.9466666666667</v>
      </c>
      <c r="E38" s="381">
        <v>3129.3333333333335</v>
      </c>
      <c r="F38" s="381">
        <v>7832.3966666666665</v>
      </c>
      <c r="G38" s="284">
        <v>7752.683333333334</v>
      </c>
      <c r="H38" s="424">
        <f>'Appendix 2 Police Overtime'!H37</f>
        <v>39863</v>
      </c>
      <c r="I38" s="425">
        <v>33</v>
      </c>
      <c r="J38" s="380">
        <f t="shared" si="0"/>
        <v>7752.683333333334</v>
      </c>
      <c r="L38" s="92"/>
      <c r="M38" s="92"/>
      <c r="N38" s="92"/>
      <c r="O38" s="92"/>
      <c r="P38" s="92"/>
      <c r="Q38" s="92"/>
    </row>
    <row r="39" spans="2:17" ht="12.75">
      <c r="B39" s="381">
        <v>11938.14</v>
      </c>
      <c r="C39" s="381">
        <v>3209.8</v>
      </c>
      <c r="D39" s="381">
        <v>2407.1833333333334</v>
      </c>
      <c r="E39" s="381">
        <v>7258</v>
      </c>
      <c r="F39" s="381">
        <v>7884.55</v>
      </c>
      <c r="G39" s="284">
        <v>10704.823333333334</v>
      </c>
      <c r="H39" s="424">
        <f>'Appendix 2 Police Overtime'!H38</f>
        <v>39870</v>
      </c>
      <c r="I39" s="425">
        <v>34</v>
      </c>
      <c r="J39" s="380">
        <f t="shared" si="0"/>
        <v>10704.823333333334</v>
      </c>
      <c r="L39" s="92"/>
      <c r="M39" s="92"/>
      <c r="N39" s="92"/>
      <c r="O39" s="92"/>
      <c r="P39" s="92"/>
      <c r="Q39" s="92"/>
    </row>
    <row r="40" spans="2:17" ht="12.75">
      <c r="B40" s="381">
        <v>9420.333333333334</v>
      </c>
      <c r="C40" s="381">
        <v>2223.4866666666667</v>
      </c>
      <c r="D40" s="381">
        <v>1991.6366666666665</v>
      </c>
      <c r="E40" s="381">
        <v>2430.3333333333335</v>
      </c>
      <c r="F40" s="381">
        <v>7076.216666666666</v>
      </c>
      <c r="G40" s="284">
        <v>6448.713333333333</v>
      </c>
      <c r="H40" s="424">
        <f>'Appendix 2 Police Overtime'!H39</f>
        <v>39877</v>
      </c>
      <c r="I40" s="425">
        <v>35</v>
      </c>
      <c r="J40" s="380">
        <f t="shared" si="0"/>
        <v>6448.713333333333</v>
      </c>
      <c r="L40" s="92"/>
      <c r="M40" s="92"/>
      <c r="N40" s="92"/>
      <c r="O40" s="92"/>
      <c r="P40" s="92"/>
      <c r="Q40" s="92"/>
    </row>
    <row r="41" spans="2:17" ht="12.75">
      <c r="B41" s="381">
        <v>11764</v>
      </c>
      <c r="C41" s="381">
        <v>1890.3866666666665</v>
      </c>
      <c r="D41" s="381">
        <v>3248.3133333333335</v>
      </c>
      <c r="E41" s="381">
        <v>3113.6666666666665</v>
      </c>
      <c r="F41" s="381">
        <v>9122.593333333332</v>
      </c>
      <c r="G41" s="284">
        <v>2834.806666666667</v>
      </c>
      <c r="H41" s="424">
        <f>'Appendix 2 Police Overtime'!H40</f>
        <v>39884</v>
      </c>
      <c r="I41" s="425">
        <v>36</v>
      </c>
      <c r="J41" s="380">
        <f t="shared" si="0"/>
        <v>2834.806666666667</v>
      </c>
      <c r="L41" s="92"/>
      <c r="M41" s="92"/>
      <c r="N41" s="92"/>
      <c r="O41" s="92"/>
      <c r="P41" s="92"/>
      <c r="Q41" s="92"/>
    </row>
    <row r="42" spans="2:17" ht="12.75">
      <c r="B42" s="381">
        <v>2728</v>
      </c>
      <c r="C42" s="381">
        <v>3529.443333333333</v>
      </c>
      <c r="D42" s="381">
        <v>1231.63</v>
      </c>
      <c r="E42" s="381">
        <v>2290</v>
      </c>
      <c r="F42" s="381">
        <v>3744.713333333333</v>
      </c>
      <c r="G42" s="284">
        <v>5893.166666666668</v>
      </c>
      <c r="H42" s="424">
        <f>'Appendix 2 Police Overtime'!H41</f>
        <v>39891</v>
      </c>
      <c r="I42" s="425">
        <v>37</v>
      </c>
      <c r="J42" s="380">
        <f t="shared" si="0"/>
        <v>5893.166666666668</v>
      </c>
      <c r="L42" s="92"/>
      <c r="M42" s="92"/>
      <c r="N42" s="92"/>
      <c r="O42" s="92"/>
      <c r="P42" s="92"/>
      <c r="Q42" s="92"/>
    </row>
    <row r="43" spans="2:17" ht="12.75">
      <c r="B43" s="381">
        <v>8155.333333333333</v>
      </c>
      <c r="C43" s="381">
        <v>2780.35</v>
      </c>
      <c r="D43" s="381">
        <v>2271.2</v>
      </c>
      <c r="E43" s="381">
        <v>8073.666666666667</v>
      </c>
      <c r="F43" s="381">
        <v>5373.836666666667</v>
      </c>
      <c r="G43" s="284">
        <v>5119.68</v>
      </c>
      <c r="H43" s="424">
        <f>'Appendix 2 Police Overtime'!H42</f>
        <v>39898</v>
      </c>
      <c r="I43" s="425">
        <v>38</v>
      </c>
      <c r="J43" s="380">
        <f t="shared" si="0"/>
        <v>5119.68</v>
      </c>
      <c r="L43" s="92"/>
      <c r="M43" s="92"/>
      <c r="N43" s="92"/>
      <c r="O43" s="92"/>
      <c r="P43" s="92"/>
      <c r="Q43" s="92"/>
    </row>
    <row r="44" spans="2:17" ht="12.75">
      <c r="B44" s="381">
        <v>8429.666666666666</v>
      </c>
      <c r="C44" s="381">
        <v>1904.5966666666666</v>
      </c>
      <c r="D44" s="381">
        <v>1996.6333333333332</v>
      </c>
      <c r="E44" s="381">
        <v>3070.4133333333334</v>
      </c>
      <c r="F44" s="381">
        <v>4651.66</v>
      </c>
      <c r="G44" s="284">
        <v>5719.22</v>
      </c>
      <c r="H44" s="424">
        <f>'Appendix 2 Police Overtime'!H43</f>
        <v>39905</v>
      </c>
      <c r="I44" s="425">
        <v>39</v>
      </c>
      <c r="J44" s="380">
        <f t="shared" si="0"/>
        <v>5719.22</v>
      </c>
      <c r="L44" s="92"/>
      <c r="M44" s="92"/>
      <c r="N44" s="92"/>
      <c r="O44" s="92"/>
      <c r="P44" s="92"/>
      <c r="Q44" s="92"/>
    </row>
    <row r="45" spans="2:17" ht="12.75">
      <c r="B45" s="381">
        <v>9895.333333333334</v>
      </c>
      <c r="C45" s="381">
        <v>1363.3233333333335</v>
      </c>
      <c r="D45" s="381">
        <v>1939.8133333333333</v>
      </c>
      <c r="E45" s="381">
        <v>3631.1766666666667</v>
      </c>
      <c r="F45" s="381">
        <v>5190.74</v>
      </c>
      <c r="G45" s="284">
        <v>4401.063333333333</v>
      </c>
      <c r="H45" s="424">
        <f>'Appendix 2 Police Overtime'!H44</f>
        <v>39912</v>
      </c>
      <c r="I45" s="425">
        <v>40</v>
      </c>
      <c r="J45" s="380">
        <f t="shared" si="0"/>
        <v>4401.063333333333</v>
      </c>
      <c r="L45" s="92"/>
      <c r="M45" s="92"/>
      <c r="N45" s="92"/>
      <c r="O45" s="92"/>
      <c r="P45" s="92"/>
      <c r="Q45" s="92"/>
    </row>
    <row r="46" spans="2:17" ht="12.75">
      <c r="B46" s="381">
        <v>5123.333333333333</v>
      </c>
      <c r="C46" s="381">
        <v>2836.8933333333334</v>
      </c>
      <c r="D46" s="381">
        <v>1395.5633333333333</v>
      </c>
      <c r="E46" s="381">
        <v>4803.01</v>
      </c>
      <c r="F46" s="381">
        <v>2569.5833333333335</v>
      </c>
      <c r="G46" s="284">
        <v>4123.15</v>
      </c>
      <c r="H46" s="424">
        <f>'Appendix 2 Police Overtime'!H45</f>
        <v>39919</v>
      </c>
      <c r="I46" s="425">
        <v>41</v>
      </c>
      <c r="J46" s="380">
        <f t="shared" si="0"/>
        <v>4123.15</v>
      </c>
      <c r="L46" s="92"/>
      <c r="M46" s="92"/>
      <c r="N46" s="92"/>
      <c r="O46" s="92"/>
      <c r="P46" s="92"/>
      <c r="Q46" s="92"/>
    </row>
    <row r="47" spans="2:17" ht="12.75">
      <c r="B47" s="381">
        <v>9448.333333333334</v>
      </c>
      <c r="C47" s="381">
        <v>1893.99</v>
      </c>
      <c r="D47" s="381">
        <v>2802.7033333333334</v>
      </c>
      <c r="E47" s="381">
        <v>7226.773333333334</v>
      </c>
      <c r="F47" s="381">
        <v>2541.13</v>
      </c>
      <c r="G47" s="284">
        <v>8715.626666666667</v>
      </c>
      <c r="H47" s="424">
        <f>'Appendix 2 Police Overtime'!H46</f>
        <v>39926</v>
      </c>
      <c r="I47" s="425">
        <v>42</v>
      </c>
      <c r="J47" s="380">
        <f t="shared" si="0"/>
        <v>8715.626666666667</v>
      </c>
      <c r="L47" s="92"/>
      <c r="M47" s="92"/>
      <c r="N47" s="92"/>
      <c r="O47" s="92"/>
      <c r="P47" s="92"/>
      <c r="Q47" s="92"/>
    </row>
    <row r="48" spans="2:17" ht="12.75">
      <c r="B48" s="381">
        <v>13049.666666666666</v>
      </c>
      <c r="C48" s="381">
        <v>2455.986666666666</v>
      </c>
      <c r="D48" s="381">
        <v>4312.796666666666</v>
      </c>
      <c r="E48" s="381">
        <v>6683.73</v>
      </c>
      <c r="F48" s="381">
        <v>6455.9766666666665</v>
      </c>
      <c r="G48" s="284">
        <v>8326.323333333334</v>
      </c>
      <c r="H48" s="424">
        <f>'Appendix 2 Police Overtime'!H47</f>
        <v>39933</v>
      </c>
      <c r="I48" s="425">
        <v>43</v>
      </c>
      <c r="J48" s="380">
        <f t="shared" si="0"/>
        <v>8326.323333333334</v>
      </c>
      <c r="L48" s="92"/>
      <c r="M48" s="92"/>
      <c r="N48" s="92"/>
      <c r="O48" s="92"/>
      <c r="P48" s="92"/>
      <c r="Q48" s="92"/>
    </row>
    <row r="49" spans="2:17" ht="12.75">
      <c r="B49" s="381">
        <v>11809.666666666666</v>
      </c>
      <c r="C49" s="381">
        <v>2017.65</v>
      </c>
      <c r="D49" s="381">
        <v>4863.446666666667</v>
      </c>
      <c r="E49" s="381">
        <v>3059.7533333333336</v>
      </c>
      <c r="F49" s="381">
        <v>3919.5633333333335</v>
      </c>
      <c r="G49" s="284">
        <v>7663.296666666665</v>
      </c>
      <c r="H49" s="424">
        <f>'Appendix 2 Police Overtime'!H48</f>
        <v>39940</v>
      </c>
      <c r="I49" s="425">
        <v>44</v>
      </c>
      <c r="J49" s="380">
        <f t="shared" si="0"/>
        <v>7663.296666666665</v>
      </c>
      <c r="L49" s="92"/>
      <c r="M49" s="92"/>
      <c r="N49" s="92"/>
      <c r="O49" s="92"/>
      <c r="P49" s="92"/>
      <c r="Q49" s="92"/>
    </row>
    <row r="50" spans="2:17" ht="12.75">
      <c r="B50" s="381">
        <v>10439.71</v>
      </c>
      <c r="C50" s="381">
        <v>0</v>
      </c>
      <c r="D50" s="381">
        <v>2669.2533333333336</v>
      </c>
      <c r="E50" s="381">
        <v>3922.433333333333</v>
      </c>
      <c r="F50" s="381">
        <v>2956.256666666666</v>
      </c>
      <c r="G50" s="284">
        <v>7062.376666666668</v>
      </c>
      <c r="H50" s="424">
        <f>'Appendix 2 Police Overtime'!H49</f>
        <v>39947</v>
      </c>
      <c r="I50" s="425">
        <v>45</v>
      </c>
      <c r="J50" s="380">
        <f t="shared" si="0"/>
        <v>7062.376666666668</v>
      </c>
      <c r="L50" s="92"/>
      <c r="M50" s="92"/>
      <c r="N50" s="92"/>
      <c r="O50" s="92"/>
      <c r="P50" s="92"/>
      <c r="Q50" s="92"/>
    </row>
    <row r="51" spans="2:17" ht="12.75">
      <c r="B51" s="381">
        <v>10503</v>
      </c>
      <c r="C51" s="381">
        <v>5508.826666666667</v>
      </c>
      <c r="D51" s="381">
        <v>2083.01</v>
      </c>
      <c r="E51" s="381">
        <v>8779.12</v>
      </c>
      <c r="F51" s="381">
        <v>4181.73</v>
      </c>
      <c r="G51" s="284">
        <v>8017.633333333332</v>
      </c>
      <c r="H51" s="424">
        <f>'Appendix 2 Police Overtime'!H50</f>
        <v>39954</v>
      </c>
      <c r="I51" s="425">
        <v>46</v>
      </c>
      <c r="J51" s="380">
        <f t="shared" si="0"/>
        <v>8017.633333333332</v>
      </c>
      <c r="L51" s="92"/>
      <c r="M51" s="92"/>
      <c r="N51" s="92"/>
      <c r="O51" s="92"/>
      <c r="P51" s="92"/>
      <c r="Q51" s="92"/>
    </row>
    <row r="52" spans="2:17" ht="12.75">
      <c r="B52" s="381">
        <v>14050.606666666667</v>
      </c>
      <c r="C52" s="381">
        <v>2848.1</v>
      </c>
      <c r="D52" s="381">
        <v>3360.03</v>
      </c>
      <c r="E52" s="381">
        <v>6458.736666666667</v>
      </c>
      <c r="F52" s="381">
        <v>4117.583333333333</v>
      </c>
      <c r="G52" s="284">
        <v>4685.706666666667</v>
      </c>
      <c r="H52" s="424">
        <f>'Appendix 2 Police Overtime'!H51</f>
        <v>39961</v>
      </c>
      <c r="I52" s="425">
        <v>47</v>
      </c>
      <c r="J52" s="380">
        <f t="shared" si="0"/>
        <v>4685.706666666667</v>
      </c>
      <c r="L52" s="92"/>
      <c r="M52" s="92"/>
      <c r="N52" s="92"/>
      <c r="O52" s="92"/>
      <c r="P52" s="92"/>
      <c r="Q52" s="92"/>
    </row>
    <row r="53" spans="2:17" ht="12.75">
      <c r="B53" s="381">
        <v>19605.28</v>
      </c>
      <c r="C53" s="381">
        <v>3424.16</v>
      </c>
      <c r="D53" s="381">
        <v>5587.526666666668</v>
      </c>
      <c r="E53" s="381">
        <v>9944.613333333335</v>
      </c>
      <c r="F53" s="381">
        <v>4777.54</v>
      </c>
      <c r="G53" s="284">
        <v>0</v>
      </c>
      <c r="H53" s="424">
        <f>'Appendix 2 Police Overtime'!H52</f>
        <v>39968</v>
      </c>
      <c r="I53" s="425">
        <v>48</v>
      </c>
      <c r="J53" s="284">
        <v>8295</v>
      </c>
      <c r="L53" s="92"/>
      <c r="M53" s="92"/>
      <c r="N53" s="92"/>
      <c r="O53" s="92"/>
      <c r="P53" s="92"/>
      <c r="Q53" s="92"/>
    </row>
    <row r="54" spans="2:17" ht="12.75">
      <c r="B54" s="381">
        <v>20137.816666666666</v>
      </c>
      <c r="C54" s="381">
        <v>2921.7166666666667</v>
      </c>
      <c r="D54" s="381">
        <v>3756.3866666666668</v>
      </c>
      <c r="E54" s="381">
        <v>5033.8533333333335</v>
      </c>
      <c r="F54" s="381">
        <v>3960.696666666667</v>
      </c>
      <c r="G54" s="284">
        <v>0</v>
      </c>
      <c r="H54" s="424">
        <f>'Appendix 2 Police Overtime'!H53</f>
        <v>39975</v>
      </c>
      <c r="I54" s="425">
        <v>49</v>
      </c>
      <c r="J54" s="284">
        <v>8295</v>
      </c>
      <c r="L54" s="92"/>
      <c r="M54" s="92"/>
      <c r="N54" s="92"/>
      <c r="O54" s="92"/>
      <c r="P54" s="92"/>
      <c r="Q54" s="92"/>
    </row>
    <row r="55" spans="2:17" ht="12.75">
      <c r="B55" s="381">
        <v>26582.583333333332</v>
      </c>
      <c r="C55" s="381">
        <v>4046.6766666666663</v>
      </c>
      <c r="D55" s="381">
        <v>3718.9133333333334</v>
      </c>
      <c r="E55" s="381">
        <v>10401.723333333333</v>
      </c>
      <c r="F55" s="381">
        <v>7966.003333333333</v>
      </c>
      <c r="G55" s="284">
        <v>0</v>
      </c>
      <c r="H55" s="424">
        <f>'Appendix 2 Police Overtime'!H54</f>
        <v>39982</v>
      </c>
      <c r="I55" s="425">
        <v>50</v>
      </c>
      <c r="J55" s="284">
        <v>8295</v>
      </c>
      <c r="L55" s="92"/>
      <c r="M55" s="92"/>
      <c r="N55" s="92"/>
      <c r="O55" s="92"/>
      <c r="P55" s="92"/>
      <c r="Q55" s="92"/>
    </row>
    <row r="56" spans="2:17" ht="12.75">
      <c r="B56" s="381">
        <v>16665.666666666668</v>
      </c>
      <c r="C56" s="381">
        <v>2353.2633333333333</v>
      </c>
      <c r="D56" s="381">
        <v>5872.093333333333</v>
      </c>
      <c r="E56" s="381">
        <v>8067.666666666667</v>
      </c>
      <c r="F56" s="381">
        <v>3287.39</v>
      </c>
      <c r="G56" s="284">
        <v>0</v>
      </c>
      <c r="H56" s="424">
        <f>'Appendix 2 Police Overtime'!H55</f>
        <v>39989</v>
      </c>
      <c r="I56" s="425">
        <v>51</v>
      </c>
      <c r="J56" s="284">
        <v>8295</v>
      </c>
      <c r="L56" s="92"/>
      <c r="M56" s="92"/>
      <c r="N56" s="92"/>
      <c r="O56" s="92"/>
      <c r="P56" s="92"/>
      <c r="Q56" s="92"/>
    </row>
    <row r="57" spans="2:17" ht="12.75">
      <c r="B57" s="381">
        <v>16999.806666666667</v>
      </c>
      <c r="C57" s="381">
        <v>3619.2766666666666</v>
      </c>
      <c r="D57" s="381">
        <v>4658.393333333333</v>
      </c>
      <c r="E57" s="381">
        <v>7797</v>
      </c>
      <c r="F57" s="381">
        <v>6869.94</v>
      </c>
      <c r="G57" s="284">
        <v>0</v>
      </c>
      <c r="H57" s="424">
        <f>'Appendix 2 Police Overtime'!H56</f>
        <v>39996</v>
      </c>
      <c r="I57" s="425">
        <v>52</v>
      </c>
      <c r="J57" s="284">
        <v>8295</v>
      </c>
      <c r="L57" s="92"/>
      <c r="M57" s="92"/>
      <c r="N57" s="92"/>
      <c r="O57" s="92"/>
      <c r="P57" s="92"/>
      <c r="Q57" s="92"/>
    </row>
    <row r="58" spans="1:12" ht="12.75">
      <c r="A58" s="18" t="s">
        <v>506</v>
      </c>
      <c r="B58" s="372">
        <v>19133</v>
      </c>
      <c r="C58" s="372">
        <v>0</v>
      </c>
      <c r="D58" s="372">
        <v>0</v>
      </c>
      <c r="E58" s="372">
        <v>0</v>
      </c>
      <c r="F58" s="372">
        <v>12000</v>
      </c>
      <c r="G58" s="272"/>
      <c r="H58" s="418"/>
      <c r="J58" s="284"/>
      <c r="L58" s="466"/>
    </row>
    <row r="59" spans="1:10" ht="12.75">
      <c r="A59" s="18" t="s">
        <v>127</v>
      </c>
      <c r="B59" s="380">
        <f aca="true" t="shared" si="1" ref="B59:G59">SUM(B6:B58)</f>
        <v>727069.7866666665</v>
      </c>
      <c r="C59" s="380">
        <f t="shared" si="1"/>
        <v>413407.25333333336</v>
      </c>
      <c r="D59" s="380">
        <f t="shared" si="1"/>
        <v>204412.6233333333</v>
      </c>
      <c r="E59" s="380">
        <f t="shared" si="1"/>
        <v>278766.68999999994</v>
      </c>
      <c r="F59" s="380">
        <f t="shared" si="1"/>
        <v>472595.81</v>
      </c>
      <c r="G59" s="380">
        <f t="shared" si="1"/>
        <v>389867.24000000005</v>
      </c>
      <c r="H59" s="255"/>
      <c r="I59" s="418"/>
      <c r="J59" s="377">
        <f>SUM(J6:J58)</f>
        <v>431342.24000000005</v>
      </c>
    </row>
    <row r="60" spans="1:20" ht="12.75">
      <c r="A60" s="18" t="s">
        <v>128</v>
      </c>
      <c r="B60" s="381">
        <v>428912.6666666667</v>
      </c>
      <c r="C60" s="381">
        <v>544074.3333333334</v>
      </c>
      <c r="D60" s="381">
        <v>433333.3333333333</v>
      </c>
      <c r="E60" s="381">
        <v>239666.66666666666</v>
      </c>
      <c r="F60" s="381">
        <v>475000</v>
      </c>
      <c r="G60" s="381">
        <v>366666.6666666667</v>
      </c>
      <c r="H60" s="120"/>
      <c r="I60" s="120"/>
      <c r="J60" s="381">
        <v>423333</v>
      </c>
      <c r="L60" s="18"/>
      <c r="M60" s="18"/>
      <c r="N60" s="18"/>
      <c r="O60" s="18"/>
      <c r="P60" s="18"/>
      <c r="Q60" s="18"/>
      <c r="R60" s="18"/>
      <c r="S60" s="18"/>
      <c r="T60" s="18"/>
    </row>
    <row r="61" spans="1:10" ht="12.75">
      <c r="A61" s="18" t="s">
        <v>129</v>
      </c>
      <c r="B61" s="380">
        <f aca="true" t="shared" si="2" ref="B61:G61">SUM(B60-B59)</f>
        <v>-298157.1199999998</v>
      </c>
      <c r="C61" s="380">
        <f t="shared" si="2"/>
        <v>130667.08000000002</v>
      </c>
      <c r="D61" s="380">
        <f t="shared" si="2"/>
        <v>228920.71000000002</v>
      </c>
      <c r="E61" s="380">
        <f t="shared" si="2"/>
        <v>-39100.02333333329</v>
      </c>
      <c r="F61" s="380">
        <f t="shared" si="2"/>
        <v>2404.1900000000023</v>
      </c>
      <c r="G61" s="380">
        <f t="shared" si="2"/>
        <v>-23200.573333333363</v>
      </c>
      <c r="H61" s="255"/>
      <c r="I61" s="418"/>
      <c r="J61" s="380">
        <f>SUM(J59-J60)</f>
        <v>8009.240000000049</v>
      </c>
    </row>
    <row r="62" spans="1:10" ht="9.75" customHeight="1" thickBot="1">
      <c r="A62" s="200"/>
      <c r="H62" s="255"/>
      <c r="J62" s="93"/>
    </row>
    <row r="63" spans="6:10" ht="39" thickBot="1">
      <c r="F63" s="534" t="s">
        <v>558</v>
      </c>
      <c r="G63" s="533" t="s">
        <v>553</v>
      </c>
      <c r="H63" s="506" t="s">
        <v>554</v>
      </c>
      <c r="I63" s="507" t="s">
        <v>555</v>
      </c>
      <c r="J63" s="508" t="s">
        <v>556</v>
      </c>
    </row>
    <row r="64" ht="12.75">
      <c r="J64" s="93"/>
    </row>
    <row r="65" spans="1:10" s="1" customFormat="1" ht="12.75">
      <c r="A65" s="18"/>
      <c r="B65" s="18"/>
      <c r="C65" s="18"/>
      <c r="D65" s="18"/>
      <c r="E65" s="18"/>
      <c r="F65" s="18"/>
      <c r="G65" s="18"/>
      <c r="H65" s="145"/>
      <c r="I65" s="255"/>
      <c r="J65" s="93"/>
    </row>
    <row r="66" ht="12.75">
      <c r="J66" s="93"/>
    </row>
    <row r="67" ht="12.75">
      <c r="J67" s="93"/>
    </row>
    <row r="68" ht="12.75">
      <c r="J68" s="93"/>
    </row>
    <row r="69" ht="12.75">
      <c r="J69" s="93"/>
    </row>
    <row r="70" ht="12.75">
      <c r="J70" s="93"/>
    </row>
    <row r="71" ht="12.75">
      <c r="J71" s="93"/>
    </row>
    <row r="72" ht="12.75">
      <c r="J72" s="93"/>
    </row>
    <row r="73" ht="12.75">
      <c r="J73" s="93"/>
    </row>
    <row r="74" ht="12.75">
      <c r="J74" s="93"/>
    </row>
    <row r="75" ht="12.75">
      <c r="J75" s="93"/>
    </row>
    <row r="76" ht="12.75">
      <c r="J76" s="93"/>
    </row>
    <row r="77" ht="12.75">
      <c r="J77" s="93"/>
    </row>
    <row r="78" ht="12.75">
      <c r="J78" s="93"/>
    </row>
    <row r="79" ht="12.75">
      <c r="J79" s="93"/>
    </row>
    <row r="80" ht="12.75">
      <c r="J80" s="93"/>
    </row>
    <row r="81" ht="12.75">
      <c r="J81" s="93"/>
    </row>
    <row r="82" ht="12.75">
      <c r="J82" s="93"/>
    </row>
    <row r="83" ht="12.75">
      <c r="J83" s="93"/>
    </row>
    <row r="84" ht="12.75">
      <c r="J84" s="93"/>
    </row>
    <row r="85" ht="12.75">
      <c r="J85" s="93"/>
    </row>
    <row r="86" ht="12.75">
      <c r="J86" s="93"/>
    </row>
    <row r="87" ht="12.75">
      <c r="J87" s="93"/>
    </row>
    <row r="88" ht="12.75">
      <c r="J88" s="93"/>
    </row>
    <row r="89" ht="12.75">
      <c r="J89" s="93"/>
    </row>
    <row r="90" ht="12.75">
      <c r="J90" s="93"/>
    </row>
    <row r="91" ht="12.75">
      <c r="J91" s="93"/>
    </row>
    <row r="92" ht="12.75">
      <c r="J92" s="93"/>
    </row>
    <row r="93" ht="12.75">
      <c r="J93" s="93"/>
    </row>
    <row r="94" ht="12.75">
      <c r="J94" s="93"/>
    </row>
    <row r="95" ht="12.75">
      <c r="J95" s="93"/>
    </row>
    <row r="96" ht="12.75">
      <c r="J96" s="93"/>
    </row>
    <row r="97" ht="12.75">
      <c r="J97" s="93"/>
    </row>
    <row r="98" ht="12.75">
      <c r="J98" s="93"/>
    </row>
    <row r="99" ht="12.75">
      <c r="J99" s="93"/>
    </row>
    <row r="100" ht="12.75">
      <c r="J100" s="93"/>
    </row>
    <row r="101" ht="12.75">
      <c r="J101" s="93"/>
    </row>
    <row r="102" ht="12.75">
      <c r="J102" s="93"/>
    </row>
    <row r="103" ht="12.75">
      <c r="J103" s="93"/>
    </row>
    <row r="104" ht="12.75">
      <c r="J104" s="93"/>
    </row>
    <row r="105" ht="12.75">
      <c r="J105" s="93"/>
    </row>
    <row r="106" ht="12.75">
      <c r="J106" s="93"/>
    </row>
    <row r="107" ht="12.75">
      <c r="J107" s="93"/>
    </row>
    <row r="108" ht="12.75">
      <c r="J108" s="93"/>
    </row>
    <row r="109" ht="12.75">
      <c r="J109" s="93"/>
    </row>
    <row r="110" ht="12.75">
      <c r="J110" s="93"/>
    </row>
    <row r="111" ht="12.75">
      <c r="J111" s="93"/>
    </row>
    <row r="112" ht="12.75">
      <c r="J112" s="93"/>
    </row>
    <row r="113" ht="12.75">
      <c r="J113" s="93"/>
    </row>
    <row r="114" ht="12.75">
      <c r="J114" s="93"/>
    </row>
    <row r="115" ht="12.75">
      <c r="J115" s="93"/>
    </row>
    <row r="116" ht="12.75">
      <c r="J116" s="93"/>
    </row>
    <row r="117" ht="12.75">
      <c r="J117" s="93"/>
    </row>
    <row r="118" ht="12.75">
      <c r="J118" s="93"/>
    </row>
    <row r="119" ht="12.75">
      <c r="J119" s="93"/>
    </row>
    <row r="120" ht="12.75">
      <c r="J120" s="93"/>
    </row>
    <row r="121" ht="12.75">
      <c r="J121" s="93"/>
    </row>
    <row r="122" ht="12.75">
      <c r="J122" s="93"/>
    </row>
    <row r="123" ht="12.75">
      <c r="J123" s="93"/>
    </row>
    <row r="124" ht="12.75">
      <c r="J124" s="93"/>
    </row>
    <row r="125" ht="12.75">
      <c r="J125" s="93"/>
    </row>
    <row r="126" ht="12.75">
      <c r="J126" s="93"/>
    </row>
    <row r="127" ht="12.75">
      <c r="J127" s="93"/>
    </row>
    <row r="128" ht="12.75">
      <c r="J128" s="93"/>
    </row>
    <row r="129" ht="12.75">
      <c r="J129" s="93"/>
    </row>
    <row r="130" ht="12.75">
      <c r="J130" s="93"/>
    </row>
    <row r="131" ht="12.75">
      <c r="J131" s="93"/>
    </row>
    <row r="132" ht="12.75">
      <c r="J132" s="93"/>
    </row>
    <row r="133" ht="12.75">
      <c r="J133" s="93"/>
    </row>
    <row r="134" ht="12.75">
      <c r="J134" s="93"/>
    </row>
    <row r="135" ht="12.75">
      <c r="J135" s="93"/>
    </row>
    <row r="136" ht="12.75">
      <c r="J136" s="93"/>
    </row>
    <row r="137" ht="12.75">
      <c r="J137" s="93"/>
    </row>
    <row r="138" ht="12.75">
      <c r="J138" s="93"/>
    </row>
    <row r="139" ht="12.75">
      <c r="J139" s="93"/>
    </row>
    <row r="140" ht="12.75">
      <c r="J140" s="93"/>
    </row>
    <row r="141" ht="12.75">
      <c r="J141" s="93"/>
    </row>
    <row r="142" ht="12.75">
      <c r="J142" s="93"/>
    </row>
    <row r="143" ht="12.75">
      <c r="J143" s="93"/>
    </row>
    <row r="144" ht="12.75">
      <c r="J144" s="93"/>
    </row>
    <row r="145" ht="12.75">
      <c r="J145" s="93"/>
    </row>
    <row r="146" ht="12.75">
      <c r="J146" s="93"/>
    </row>
    <row r="147" ht="12.75">
      <c r="J147" s="93"/>
    </row>
    <row r="148" ht="12.75">
      <c r="J148" s="93"/>
    </row>
    <row r="149" ht="12.75">
      <c r="J149" s="93"/>
    </row>
    <row r="150" ht="12.75">
      <c r="J150" s="93"/>
    </row>
    <row r="151" ht="12.75">
      <c r="J151" s="93"/>
    </row>
    <row r="152" ht="12.75">
      <c r="J152" s="93"/>
    </row>
    <row r="153" ht="12.75">
      <c r="J153" s="93"/>
    </row>
    <row r="154" ht="12.75">
      <c r="J154" s="93"/>
    </row>
    <row r="155" ht="12.75">
      <c r="J155" s="93"/>
    </row>
    <row r="156" ht="12.75">
      <c r="J156" s="93"/>
    </row>
    <row r="157" ht="12.75">
      <c r="J157" s="93"/>
    </row>
    <row r="158" ht="12.75">
      <c r="J158" s="93"/>
    </row>
    <row r="159" ht="12.75">
      <c r="J159" s="93"/>
    </row>
    <row r="160" ht="12.75">
      <c r="J160" s="93"/>
    </row>
    <row r="161" ht="12.75">
      <c r="J161" s="93"/>
    </row>
    <row r="162" ht="12.75">
      <c r="J162" s="93"/>
    </row>
    <row r="163" ht="12.75">
      <c r="J163" s="93"/>
    </row>
    <row r="164" ht="12.75">
      <c r="J164" s="93"/>
    </row>
    <row r="165" ht="12.75">
      <c r="J165" s="93"/>
    </row>
    <row r="166" ht="12.75">
      <c r="J166" s="93"/>
    </row>
    <row r="167" ht="12.75">
      <c r="J167" s="93"/>
    </row>
    <row r="168" ht="12.75">
      <c r="J168" s="93"/>
    </row>
    <row r="169" ht="12.75">
      <c r="J169" s="93"/>
    </row>
    <row r="170" ht="12.75">
      <c r="J170" s="93"/>
    </row>
    <row r="171" ht="12.75">
      <c r="J171" s="93"/>
    </row>
    <row r="172" ht="12.75">
      <c r="J172" s="93"/>
    </row>
    <row r="173" ht="12.75">
      <c r="J173" s="93"/>
    </row>
    <row r="174" ht="12.75">
      <c r="J174" s="93"/>
    </row>
    <row r="175" ht="12.75">
      <c r="J175" s="93"/>
    </row>
    <row r="176" ht="12.75">
      <c r="J176" s="93"/>
    </row>
    <row r="177" ht="12.75">
      <c r="J177" s="93"/>
    </row>
    <row r="178" ht="12.75">
      <c r="J178" s="93"/>
    </row>
    <row r="179" ht="12.75">
      <c r="J179" s="93"/>
    </row>
    <row r="180" ht="12.75">
      <c r="J180" s="93"/>
    </row>
    <row r="181" ht="12.75">
      <c r="J181" s="93"/>
    </row>
    <row r="182" ht="12.75">
      <c r="J182" s="93"/>
    </row>
    <row r="183" ht="12.75">
      <c r="J183" s="93"/>
    </row>
    <row r="184" ht="12.75">
      <c r="J184" s="93"/>
    </row>
    <row r="185" ht="12.75">
      <c r="J185" s="93"/>
    </row>
    <row r="186" ht="12.75">
      <c r="J186" s="93"/>
    </row>
    <row r="187" ht="12.75">
      <c r="J187" s="93"/>
    </row>
    <row r="188" ht="12.75">
      <c r="J188" s="93"/>
    </row>
    <row r="189" ht="12.75">
      <c r="J189" s="93"/>
    </row>
    <row r="190" ht="12.75">
      <c r="J190" s="93"/>
    </row>
    <row r="191" ht="12.75">
      <c r="J191" s="93"/>
    </row>
    <row r="192" ht="12.75">
      <c r="J192" s="93"/>
    </row>
    <row r="193" ht="12.75">
      <c r="J193" s="93"/>
    </row>
    <row r="194" ht="12.75">
      <c r="J194" s="93"/>
    </row>
    <row r="195" ht="12.75">
      <c r="J195" s="93"/>
    </row>
    <row r="196" ht="12.75">
      <c r="J196" s="93"/>
    </row>
    <row r="197" ht="12.75">
      <c r="J197" s="93"/>
    </row>
    <row r="198" ht="12.75">
      <c r="J198" s="93"/>
    </row>
    <row r="199" ht="12.75">
      <c r="J199" s="93"/>
    </row>
    <row r="200" ht="12.75">
      <c r="J200" s="93"/>
    </row>
    <row r="201" ht="12.75">
      <c r="J201" s="93"/>
    </row>
    <row r="202" ht="12.75">
      <c r="J202" s="93"/>
    </row>
    <row r="203" ht="12.75">
      <c r="J203" s="93"/>
    </row>
    <row r="204" ht="12.75">
      <c r="J204" s="93"/>
    </row>
    <row r="205" ht="12.75">
      <c r="J205" s="93"/>
    </row>
    <row r="206" ht="12.75">
      <c r="J206" s="93"/>
    </row>
    <row r="207" ht="12.75">
      <c r="J207" s="93"/>
    </row>
    <row r="208" ht="12.75">
      <c r="J208" s="93"/>
    </row>
    <row r="209" ht="12.75">
      <c r="J209" s="93"/>
    </row>
    <row r="210" ht="12.75">
      <c r="J210" s="93"/>
    </row>
    <row r="211" ht="12.75">
      <c r="J211" s="93"/>
    </row>
    <row r="212" ht="12.75">
      <c r="J212" s="93"/>
    </row>
    <row r="213" ht="12.75">
      <c r="J213" s="93"/>
    </row>
    <row r="214" ht="12.75">
      <c r="J214" s="93"/>
    </row>
    <row r="215" ht="12.75">
      <c r="J215" s="93"/>
    </row>
    <row r="216" ht="12.75">
      <c r="J216" s="93"/>
    </row>
    <row r="217" ht="12.75">
      <c r="J217" s="93"/>
    </row>
    <row r="218" ht="12.75">
      <c r="J218" s="93"/>
    </row>
    <row r="219" ht="12.75">
      <c r="J219" s="93"/>
    </row>
    <row r="220" ht="12.75">
      <c r="J220" s="93"/>
    </row>
    <row r="221" ht="12.75">
      <c r="J221" s="93"/>
    </row>
    <row r="222" ht="12.75">
      <c r="J222" s="93"/>
    </row>
    <row r="223" ht="12.75">
      <c r="J223" s="93"/>
    </row>
    <row r="224" ht="12.75">
      <c r="J224" s="93"/>
    </row>
    <row r="225" ht="12.75">
      <c r="J225" s="93"/>
    </row>
    <row r="226" ht="12.75">
      <c r="J226" s="93"/>
    </row>
    <row r="227" ht="12.75">
      <c r="J227" s="93"/>
    </row>
    <row r="228" ht="12.75">
      <c r="J228" s="93"/>
    </row>
    <row r="229" ht="12.75">
      <c r="J229" s="93"/>
    </row>
    <row r="230" ht="12.75">
      <c r="J230" s="93"/>
    </row>
    <row r="231" ht="12.75">
      <c r="J231" s="93"/>
    </row>
    <row r="232" ht="12.75">
      <c r="J232" s="93"/>
    </row>
    <row r="233" ht="12.75">
      <c r="J233" s="93"/>
    </row>
    <row r="234" ht="12.75">
      <c r="J234" s="93"/>
    </row>
    <row r="235" ht="12.75">
      <c r="J235" s="93"/>
    </row>
    <row r="236" ht="12.75">
      <c r="J236" s="93"/>
    </row>
    <row r="237" ht="12.75">
      <c r="J237" s="93"/>
    </row>
    <row r="238" ht="12.75">
      <c r="J238" s="93"/>
    </row>
    <row r="239" ht="12.75">
      <c r="J239" s="93"/>
    </row>
    <row r="240" ht="12.75">
      <c r="J240" s="93"/>
    </row>
    <row r="241" ht="12.75">
      <c r="J241" s="93"/>
    </row>
    <row r="242" ht="12.75">
      <c r="J242" s="93"/>
    </row>
    <row r="243" ht="12.75">
      <c r="J243" s="93"/>
    </row>
    <row r="244" ht="12.75">
      <c r="J244" s="93"/>
    </row>
    <row r="245" ht="12.75">
      <c r="J245" s="93"/>
    </row>
    <row r="246" ht="12.75">
      <c r="J246" s="93"/>
    </row>
    <row r="247" ht="12.75">
      <c r="J247" s="93"/>
    </row>
    <row r="248" ht="12.75">
      <c r="J248" s="93"/>
    </row>
    <row r="249" ht="12.75">
      <c r="J249" s="93"/>
    </row>
    <row r="250" ht="12.75">
      <c r="J250" s="93"/>
    </row>
    <row r="251" ht="12.75">
      <c r="J251" s="93"/>
    </row>
    <row r="252" ht="12.75">
      <c r="J252" s="93"/>
    </row>
    <row r="253" ht="12.75">
      <c r="J253" s="93"/>
    </row>
    <row r="254" ht="12.75">
      <c r="J254" s="93"/>
    </row>
    <row r="255" ht="12.75">
      <c r="J255" s="93"/>
    </row>
    <row r="256" ht="12.75">
      <c r="J256" s="93"/>
    </row>
    <row r="257" ht="12.75">
      <c r="J257" s="93"/>
    </row>
    <row r="258" ht="12.75">
      <c r="J258" s="93"/>
    </row>
    <row r="259" ht="12.75">
      <c r="J259" s="93"/>
    </row>
    <row r="260" ht="12.75">
      <c r="J260" s="93"/>
    </row>
    <row r="261" ht="12.75">
      <c r="J261" s="93"/>
    </row>
    <row r="262" ht="12.75">
      <c r="J262" s="93"/>
    </row>
    <row r="263" ht="12.75">
      <c r="J263" s="93"/>
    </row>
    <row r="264" ht="12.75">
      <c r="J264" s="93"/>
    </row>
    <row r="265" ht="12.75">
      <c r="J265" s="93"/>
    </row>
    <row r="266" ht="12.75">
      <c r="J266" s="93"/>
    </row>
    <row r="267" ht="12.75">
      <c r="J267" s="93"/>
    </row>
    <row r="268" ht="12.75">
      <c r="J268" s="93"/>
    </row>
    <row r="269" ht="12.75">
      <c r="J269" s="93"/>
    </row>
    <row r="270" ht="12.75">
      <c r="J270" s="93"/>
    </row>
    <row r="271" ht="12.75">
      <c r="J271" s="93"/>
    </row>
    <row r="272" ht="12.75">
      <c r="J272" s="93"/>
    </row>
    <row r="273" ht="12.75">
      <c r="J273" s="93"/>
    </row>
    <row r="274" ht="12.75">
      <c r="J274" s="93"/>
    </row>
    <row r="275" ht="12.75">
      <c r="J275" s="93"/>
    </row>
    <row r="276" ht="12.75">
      <c r="J276" s="93"/>
    </row>
    <row r="277" ht="12.75">
      <c r="J277" s="93"/>
    </row>
    <row r="278" ht="12.75">
      <c r="J278" s="93"/>
    </row>
    <row r="279" ht="12.75">
      <c r="J279" s="93"/>
    </row>
    <row r="280" ht="12.75">
      <c r="J280" s="93"/>
    </row>
    <row r="281" ht="12.75">
      <c r="J281" s="93"/>
    </row>
    <row r="282" ht="12.75">
      <c r="J282" s="93"/>
    </row>
    <row r="283" ht="12.75">
      <c r="J283" s="93"/>
    </row>
    <row r="284" ht="12.75">
      <c r="J284" s="93"/>
    </row>
    <row r="285" ht="12.75">
      <c r="J285" s="93"/>
    </row>
    <row r="286" ht="12.75">
      <c r="J286" s="93"/>
    </row>
    <row r="287" ht="12.75">
      <c r="J287" s="93"/>
    </row>
    <row r="288" ht="12.75">
      <c r="J288" s="93"/>
    </row>
    <row r="289" ht="12.75">
      <c r="J289" s="93"/>
    </row>
    <row r="290" ht="12.75">
      <c r="J290" s="93"/>
    </row>
    <row r="291" ht="12.75">
      <c r="J291" s="93"/>
    </row>
    <row r="292" ht="12.75">
      <c r="J292" s="93"/>
    </row>
    <row r="293" ht="12.75">
      <c r="J293" s="93"/>
    </row>
    <row r="294" ht="12.75">
      <c r="J294" s="93"/>
    </row>
    <row r="295" ht="12.75">
      <c r="J295" s="93"/>
    </row>
    <row r="296" ht="12.75">
      <c r="J296" s="93"/>
    </row>
    <row r="297" ht="12.75">
      <c r="J297" s="93"/>
    </row>
    <row r="298" ht="12.75">
      <c r="J298" s="93"/>
    </row>
    <row r="299" ht="12.75">
      <c r="J299" s="93"/>
    </row>
    <row r="300" ht="12.75">
      <c r="J300" s="93"/>
    </row>
    <row r="301" ht="12.75">
      <c r="J301" s="93"/>
    </row>
    <row r="302" ht="12.75">
      <c r="J302" s="93"/>
    </row>
    <row r="303" ht="12.75">
      <c r="J303" s="93"/>
    </row>
    <row r="304" ht="12.75">
      <c r="J304" s="93"/>
    </row>
    <row r="305" ht="12.75">
      <c r="J305" s="93"/>
    </row>
    <row r="306" ht="12.75">
      <c r="J306" s="93"/>
    </row>
    <row r="307" ht="12.75">
      <c r="J307" s="93"/>
    </row>
    <row r="308" ht="12.75">
      <c r="J308" s="93"/>
    </row>
    <row r="309" ht="12.75">
      <c r="J309" s="93"/>
    </row>
    <row r="310" ht="12.75">
      <c r="J310" s="93"/>
    </row>
    <row r="311" ht="12.75">
      <c r="J311" s="93"/>
    </row>
    <row r="312" ht="12.75">
      <c r="J312" s="93"/>
    </row>
    <row r="313" ht="12.75">
      <c r="J313" s="93"/>
    </row>
    <row r="314" ht="12.75">
      <c r="J314" s="93"/>
    </row>
    <row r="315" ht="12.75">
      <c r="J315" s="93"/>
    </row>
    <row r="316" ht="12.75">
      <c r="J316" s="93"/>
    </row>
    <row r="317" ht="12.75">
      <c r="J317" s="93"/>
    </row>
    <row r="318" ht="12.75">
      <c r="J318" s="93"/>
    </row>
    <row r="319" ht="12.75">
      <c r="J319" s="93"/>
    </row>
    <row r="320" ht="12.75">
      <c r="J320" s="93"/>
    </row>
    <row r="321" ht="12.75">
      <c r="J321" s="93"/>
    </row>
    <row r="322" ht="12.75">
      <c r="J322" s="93"/>
    </row>
    <row r="323" ht="12.75">
      <c r="J323" s="93"/>
    </row>
    <row r="324" ht="12.75">
      <c r="J324" s="93"/>
    </row>
    <row r="325" ht="12.75">
      <c r="J325" s="93"/>
    </row>
    <row r="326" ht="12.75">
      <c r="J326" s="93"/>
    </row>
    <row r="327" ht="12.75">
      <c r="J327" s="93"/>
    </row>
    <row r="328" ht="12.75">
      <c r="J328" s="93"/>
    </row>
    <row r="329" ht="12.75">
      <c r="J329" s="93"/>
    </row>
    <row r="330" ht="12.75">
      <c r="J330" s="93"/>
    </row>
    <row r="331" ht="12.75">
      <c r="J331" s="93"/>
    </row>
    <row r="332" ht="12.75">
      <c r="J332" s="93"/>
    </row>
    <row r="333" ht="12.75">
      <c r="J333" s="93"/>
    </row>
    <row r="334" ht="12.75">
      <c r="J334" s="93"/>
    </row>
    <row r="335" ht="12.75">
      <c r="J335" s="93"/>
    </row>
    <row r="336" ht="12.75">
      <c r="J336" s="93"/>
    </row>
    <row r="337" ht="12.75">
      <c r="J337" s="93"/>
    </row>
    <row r="338" ht="12.75">
      <c r="J338" s="93"/>
    </row>
    <row r="339" ht="12.75">
      <c r="J339" s="93"/>
    </row>
    <row r="340" ht="12.75">
      <c r="J340" s="93"/>
    </row>
    <row r="341" ht="12.75">
      <c r="J341" s="93"/>
    </row>
    <row r="342" ht="12.75">
      <c r="J342" s="93"/>
    </row>
    <row r="343" ht="12.75">
      <c r="J343" s="93"/>
    </row>
    <row r="344" ht="12.75">
      <c r="J344" s="93"/>
    </row>
    <row r="345" ht="12.75">
      <c r="J345" s="93"/>
    </row>
    <row r="346" ht="12.75">
      <c r="J346" s="93"/>
    </row>
    <row r="347" ht="12.75">
      <c r="J347" s="93"/>
    </row>
    <row r="348" ht="12.75">
      <c r="J348" s="93"/>
    </row>
    <row r="349" ht="12.75">
      <c r="J349" s="93"/>
    </row>
    <row r="350" ht="12.75">
      <c r="J350" s="93"/>
    </row>
    <row r="351" ht="12.75">
      <c r="J351" s="93"/>
    </row>
    <row r="352" ht="12.75">
      <c r="J352" s="93"/>
    </row>
    <row r="353" ht="12.75">
      <c r="J353" s="93"/>
    </row>
    <row r="354" ht="12.75">
      <c r="J354" s="93"/>
    </row>
    <row r="355" ht="12.75">
      <c r="J355" s="93"/>
    </row>
    <row r="356" ht="12.75">
      <c r="J356" s="93"/>
    </row>
    <row r="357" ht="12.75">
      <c r="J357" s="93"/>
    </row>
    <row r="358" ht="12.75">
      <c r="J358" s="93"/>
    </row>
    <row r="359" ht="12.75">
      <c r="J359" s="93"/>
    </row>
    <row r="360" ht="12.75">
      <c r="J360" s="93"/>
    </row>
    <row r="361" ht="12.75">
      <c r="J361" s="93"/>
    </row>
    <row r="362" ht="12.75">
      <c r="J362" s="93"/>
    </row>
    <row r="363" ht="12.75">
      <c r="J363" s="93"/>
    </row>
    <row r="364" ht="12.75">
      <c r="J364" s="93"/>
    </row>
    <row r="365" ht="12.75">
      <c r="J365" s="93"/>
    </row>
    <row r="366" ht="12.75">
      <c r="J366" s="93"/>
    </row>
    <row r="367" ht="12.75">
      <c r="J367" s="93"/>
    </row>
    <row r="368" ht="12.75">
      <c r="J368" s="93"/>
    </row>
    <row r="369" ht="12.75">
      <c r="J369" s="93"/>
    </row>
    <row r="370" ht="12.75">
      <c r="J370" s="93"/>
    </row>
    <row r="371" ht="12.75">
      <c r="J371" s="93"/>
    </row>
    <row r="372" ht="12.75">
      <c r="J372" s="93"/>
    </row>
    <row r="373" ht="12.75">
      <c r="J373" s="93"/>
    </row>
    <row r="374" ht="12.75">
      <c r="J374" s="93"/>
    </row>
    <row r="375" ht="12.75">
      <c r="J375" s="93"/>
    </row>
    <row r="376" ht="12.75">
      <c r="J376" s="93"/>
    </row>
    <row r="377" ht="12.75">
      <c r="J377" s="93"/>
    </row>
    <row r="378" ht="12.75">
      <c r="J378" s="93"/>
    </row>
    <row r="379" ht="12.75">
      <c r="J379" s="93"/>
    </row>
    <row r="380" ht="12.75">
      <c r="J380" s="93"/>
    </row>
    <row r="381" ht="12.75">
      <c r="J381" s="93"/>
    </row>
    <row r="382" ht="12.75">
      <c r="J382" s="93"/>
    </row>
    <row r="383" ht="12.75">
      <c r="J383" s="93"/>
    </row>
    <row r="384" ht="12.75">
      <c r="J384" s="93"/>
    </row>
    <row r="385" ht="12.75">
      <c r="J385" s="93"/>
    </row>
    <row r="386" ht="12.75">
      <c r="J386" s="93"/>
    </row>
    <row r="387" ht="12.75">
      <c r="J387" s="93"/>
    </row>
    <row r="388" ht="12.75">
      <c r="J388" s="93"/>
    </row>
    <row r="389" ht="12.75">
      <c r="J389" s="93"/>
    </row>
    <row r="390" ht="12.75">
      <c r="J390" s="93"/>
    </row>
    <row r="391" ht="12.75">
      <c r="J391" s="93"/>
    </row>
    <row r="392" ht="12.75">
      <c r="J392" s="93"/>
    </row>
    <row r="393" ht="12.75">
      <c r="J393" s="93"/>
    </row>
    <row r="394" ht="12.75">
      <c r="J394" s="93"/>
    </row>
    <row r="395" ht="12.75">
      <c r="J395" s="93"/>
    </row>
    <row r="396" ht="12.75">
      <c r="J396" s="93"/>
    </row>
    <row r="397" ht="12.75">
      <c r="J397" s="93"/>
    </row>
    <row r="398" ht="12.75">
      <c r="J398" s="93"/>
    </row>
    <row r="399" ht="12.75">
      <c r="J399" s="93"/>
    </row>
    <row r="400" ht="12.75">
      <c r="J400" s="93"/>
    </row>
    <row r="401" ht="12.75">
      <c r="J401" s="93"/>
    </row>
    <row r="402" ht="12.75">
      <c r="J402" s="93"/>
    </row>
    <row r="403" ht="12.75">
      <c r="J403" s="93"/>
    </row>
    <row r="404" ht="12.75">
      <c r="J404" s="93"/>
    </row>
    <row r="405" ht="12.75">
      <c r="J405" s="93"/>
    </row>
    <row r="406" ht="12.75">
      <c r="J406" s="93"/>
    </row>
    <row r="407" ht="12.75">
      <c r="J407" s="93"/>
    </row>
    <row r="408" ht="12.75">
      <c r="J408" s="93"/>
    </row>
    <row r="409" ht="12.75">
      <c r="J409" s="93"/>
    </row>
    <row r="410" ht="12.75">
      <c r="J410" s="93"/>
    </row>
    <row r="411" ht="12.75">
      <c r="J411" s="93"/>
    </row>
    <row r="412" ht="12.75">
      <c r="J412" s="93"/>
    </row>
    <row r="413" ht="12.75">
      <c r="J413" s="93"/>
    </row>
    <row r="414" ht="12.75">
      <c r="J414" s="93"/>
    </row>
    <row r="415" ht="12.75">
      <c r="J415" s="93"/>
    </row>
    <row r="416" ht="12.75">
      <c r="J416" s="93"/>
    </row>
    <row r="417" ht="12.75">
      <c r="J417" s="93"/>
    </row>
    <row r="418" ht="12.75">
      <c r="J418" s="93"/>
    </row>
    <row r="419" ht="12.75">
      <c r="J419" s="93"/>
    </row>
    <row r="420" ht="12.75">
      <c r="J420" s="93"/>
    </row>
    <row r="421" ht="12.75">
      <c r="J421" s="93"/>
    </row>
    <row r="422" ht="12.75">
      <c r="J422" s="93"/>
    </row>
    <row r="423" ht="12.75">
      <c r="J423" s="93"/>
    </row>
    <row r="424" ht="12.75">
      <c r="J424" s="93"/>
    </row>
    <row r="425" ht="12.75">
      <c r="J425" s="93"/>
    </row>
    <row r="426" ht="12.75">
      <c r="J426" s="93"/>
    </row>
    <row r="427" ht="12.75">
      <c r="J427" s="93"/>
    </row>
    <row r="428" ht="12.75">
      <c r="J428" s="93"/>
    </row>
    <row r="429" ht="12.75">
      <c r="J429" s="93"/>
    </row>
    <row r="430" ht="12.75">
      <c r="J430" s="93"/>
    </row>
    <row r="431" ht="12.75">
      <c r="J431" s="93"/>
    </row>
    <row r="432" ht="12.75">
      <c r="J432" s="93"/>
    </row>
    <row r="433" ht="12.75">
      <c r="J433" s="93"/>
    </row>
    <row r="434" ht="12.75">
      <c r="J434" s="93"/>
    </row>
    <row r="435" ht="12.75">
      <c r="J435" s="93"/>
    </row>
    <row r="436" ht="12.75">
      <c r="J436" s="93"/>
    </row>
    <row r="437" ht="12.75">
      <c r="J437" s="93"/>
    </row>
    <row r="438" ht="12.75">
      <c r="J438" s="93"/>
    </row>
    <row r="439" ht="12.75">
      <c r="J439" s="93"/>
    </row>
    <row r="440" ht="12.75">
      <c r="J440" s="93"/>
    </row>
    <row r="441" ht="12.75">
      <c r="J441" s="93"/>
    </row>
    <row r="442" ht="12.75">
      <c r="J442" s="93"/>
    </row>
    <row r="443" ht="12.75">
      <c r="J443" s="93"/>
    </row>
    <row r="444" ht="12.75">
      <c r="J444" s="93"/>
    </row>
    <row r="445" ht="12.75">
      <c r="J445" s="93"/>
    </row>
    <row r="446" ht="12.75">
      <c r="J446" s="93"/>
    </row>
    <row r="447" ht="12.75">
      <c r="J447" s="93"/>
    </row>
    <row r="448" ht="12.75">
      <c r="J448" s="93"/>
    </row>
    <row r="449" ht="12.75">
      <c r="J449" s="93"/>
    </row>
    <row r="450" ht="12.75">
      <c r="J450" s="93"/>
    </row>
    <row r="451" ht="12.75">
      <c r="J451" s="93"/>
    </row>
    <row r="452" ht="12.75">
      <c r="J452" s="93"/>
    </row>
    <row r="453" ht="12.75">
      <c r="J453" s="93"/>
    </row>
    <row r="454" ht="12.75">
      <c r="J454" s="93"/>
    </row>
    <row r="455" ht="12.75">
      <c r="J455" s="93"/>
    </row>
    <row r="456" ht="12.75">
      <c r="J456" s="93"/>
    </row>
    <row r="457" ht="12.75">
      <c r="J457" s="93"/>
    </row>
    <row r="458" ht="12.75">
      <c r="J458" s="93"/>
    </row>
    <row r="459" ht="12.75">
      <c r="J459" s="93"/>
    </row>
    <row r="460" ht="12.75">
      <c r="J460" s="93"/>
    </row>
    <row r="461" ht="12.75">
      <c r="J461" s="93"/>
    </row>
    <row r="462" ht="12.75">
      <c r="J462" s="93"/>
    </row>
    <row r="463" ht="12.75">
      <c r="J463" s="93"/>
    </row>
    <row r="464" ht="12.75">
      <c r="J464" s="93"/>
    </row>
    <row r="465" ht="12.75">
      <c r="J465" s="93"/>
    </row>
    <row r="466" ht="12.75">
      <c r="J466" s="93"/>
    </row>
    <row r="467" ht="12.75">
      <c r="J467" s="93"/>
    </row>
    <row r="468" ht="12.75">
      <c r="J468" s="93"/>
    </row>
    <row r="469" ht="12.75">
      <c r="J469" s="93"/>
    </row>
    <row r="470" ht="12.75">
      <c r="J470" s="93"/>
    </row>
    <row r="471" ht="12.75">
      <c r="J471" s="93"/>
    </row>
    <row r="472" ht="12.75">
      <c r="J472" s="93"/>
    </row>
    <row r="473" ht="12.75">
      <c r="J473" s="93"/>
    </row>
    <row r="474" ht="12.75">
      <c r="J474" s="93"/>
    </row>
    <row r="475" ht="12.75">
      <c r="J475" s="93"/>
    </row>
    <row r="476" ht="12.75">
      <c r="J476" s="93"/>
    </row>
    <row r="477" ht="12.75">
      <c r="J477" s="93"/>
    </row>
    <row r="478" ht="12.75">
      <c r="J478" s="93"/>
    </row>
    <row r="479" ht="12.75">
      <c r="J479" s="93"/>
    </row>
    <row r="480" ht="12.75">
      <c r="J480" s="93"/>
    </row>
    <row r="481" ht="12.75">
      <c r="J481" s="93"/>
    </row>
    <row r="482" ht="12.75">
      <c r="J482" s="93"/>
    </row>
    <row r="483" ht="12.75">
      <c r="J483" s="93"/>
    </row>
    <row r="484" ht="12.75">
      <c r="J484" s="93"/>
    </row>
    <row r="485" ht="12.75">
      <c r="J485" s="93"/>
    </row>
    <row r="486" ht="12.75">
      <c r="J486" s="93"/>
    </row>
    <row r="487" ht="12.75">
      <c r="J487" s="93"/>
    </row>
    <row r="488" ht="12.75">
      <c r="J488" s="93"/>
    </row>
    <row r="489" ht="12.75">
      <c r="J489" s="93"/>
    </row>
    <row r="490" ht="12.75">
      <c r="J490" s="93"/>
    </row>
    <row r="491" ht="12.75">
      <c r="J491" s="93"/>
    </row>
    <row r="492" ht="12.75">
      <c r="J492" s="93"/>
    </row>
    <row r="493" ht="12.75">
      <c r="J493" s="93"/>
    </row>
    <row r="494" ht="12.75">
      <c r="J494" s="93"/>
    </row>
    <row r="495" ht="12.75">
      <c r="J495" s="93"/>
    </row>
    <row r="496" ht="12.75">
      <c r="J496" s="93"/>
    </row>
    <row r="497" ht="12.75">
      <c r="J497" s="93"/>
    </row>
    <row r="498" ht="12.75">
      <c r="J498" s="93"/>
    </row>
    <row r="499" ht="12.75">
      <c r="J499" s="93"/>
    </row>
    <row r="500" ht="12.75">
      <c r="J500" s="93"/>
    </row>
    <row r="501" ht="12.75">
      <c r="J501" s="93"/>
    </row>
    <row r="502" ht="12.75">
      <c r="J502" s="93"/>
    </row>
    <row r="503" ht="12.75">
      <c r="J503" s="93"/>
    </row>
    <row r="504" ht="12.75">
      <c r="J504" s="93"/>
    </row>
    <row r="505" ht="12.75">
      <c r="J505" s="93"/>
    </row>
    <row r="506" ht="12.75">
      <c r="J506" s="93"/>
    </row>
    <row r="507" ht="12.75">
      <c r="J507" s="93"/>
    </row>
    <row r="508" ht="12.75">
      <c r="J508" s="93"/>
    </row>
    <row r="509" ht="12.75">
      <c r="J509" s="93"/>
    </row>
    <row r="510" ht="12.75">
      <c r="J510" s="93"/>
    </row>
    <row r="511" ht="12.75">
      <c r="J511" s="93"/>
    </row>
    <row r="512" ht="12.75">
      <c r="J512" s="93"/>
    </row>
    <row r="513" ht="12.75">
      <c r="J513" s="93"/>
    </row>
    <row r="514" ht="12.75">
      <c r="J514" s="93"/>
    </row>
    <row r="515" ht="12.75">
      <c r="J515" s="93"/>
    </row>
    <row r="516" ht="12.75">
      <c r="J516" s="93"/>
    </row>
    <row r="517" ht="12.75">
      <c r="J517" s="93"/>
    </row>
    <row r="518" ht="12.75">
      <c r="J518" s="93"/>
    </row>
    <row r="519" ht="12.75">
      <c r="J519" s="93"/>
    </row>
    <row r="520" ht="12.75">
      <c r="J520" s="93"/>
    </row>
    <row r="521" ht="12.75">
      <c r="J521" s="93"/>
    </row>
    <row r="522" ht="12.75">
      <c r="J522" s="93"/>
    </row>
    <row r="523" ht="12.75">
      <c r="J523" s="93"/>
    </row>
    <row r="524" ht="12.75">
      <c r="J524" s="93"/>
    </row>
    <row r="525" ht="12.75">
      <c r="J525" s="93"/>
    </row>
    <row r="526" ht="12.75">
      <c r="J526" s="93"/>
    </row>
    <row r="527" ht="12.75">
      <c r="J527" s="93"/>
    </row>
    <row r="528" ht="12.75">
      <c r="J528" s="93"/>
    </row>
    <row r="529" ht="12.75">
      <c r="J529" s="93"/>
    </row>
    <row r="530" ht="12.75">
      <c r="J530" s="93"/>
    </row>
    <row r="531" ht="12.75">
      <c r="J531" s="93"/>
    </row>
    <row r="532" ht="12.75">
      <c r="J532" s="93"/>
    </row>
    <row r="533" ht="12.75">
      <c r="J533" s="93"/>
    </row>
    <row r="534" ht="12.75">
      <c r="J534" s="93"/>
    </row>
    <row r="535" ht="12.75">
      <c r="J535" s="93"/>
    </row>
    <row r="536" ht="12.75">
      <c r="J536" s="93"/>
    </row>
    <row r="537" ht="12.75">
      <c r="J537" s="93"/>
    </row>
    <row r="538" ht="12.75">
      <c r="J538" s="93"/>
    </row>
    <row r="539" ht="12.75">
      <c r="J539" s="93"/>
    </row>
    <row r="540" ht="12.75">
      <c r="J540" s="93"/>
    </row>
    <row r="541" ht="12.75">
      <c r="J541" s="93"/>
    </row>
    <row r="542" ht="12.75">
      <c r="J542" s="93"/>
    </row>
    <row r="543" ht="12.75">
      <c r="J543" s="93"/>
    </row>
    <row r="544" ht="12.75">
      <c r="J544" s="93"/>
    </row>
    <row r="545" ht="12.75">
      <c r="J545" s="93"/>
    </row>
    <row r="546" ht="12.75">
      <c r="J546" s="93"/>
    </row>
    <row r="547" ht="12.75">
      <c r="J547" s="93"/>
    </row>
    <row r="548" ht="12.75">
      <c r="J548" s="93"/>
    </row>
    <row r="549" ht="12.75">
      <c r="J549" s="93"/>
    </row>
    <row r="550" ht="12.75">
      <c r="J550" s="93"/>
    </row>
    <row r="551" ht="12.75">
      <c r="J551" s="93"/>
    </row>
    <row r="552" ht="12.75">
      <c r="J552" s="93"/>
    </row>
    <row r="553" ht="12.75">
      <c r="J553" s="93"/>
    </row>
    <row r="554" ht="12.75">
      <c r="J554" s="93"/>
    </row>
    <row r="555" ht="12.75">
      <c r="J555" s="93"/>
    </row>
    <row r="556" ht="12.75">
      <c r="J556" s="93"/>
    </row>
    <row r="557" ht="12.75">
      <c r="J557" s="93"/>
    </row>
    <row r="558" ht="12.75">
      <c r="J558" s="93"/>
    </row>
    <row r="559" ht="12.75">
      <c r="J559" s="93"/>
    </row>
    <row r="560" ht="12.75">
      <c r="J560" s="93"/>
    </row>
    <row r="561" ht="12.75">
      <c r="J561" s="93"/>
    </row>
    <row r="562" ht="12.75">
      <c r="J562" s="93"/>
    </row>
    <row r="563" ht="12.75">
      <c r="J563" s="93"/>
    </row>
    <row r="564" ht="12.75">
      <c r="J564" s="93"/>
    </row>
    <row r="565" ht="12.75">
      <c r="J565" s="93"/>
    </row>
    <row r="566" ht="12.75">
      <c r="J566" s="93"/>
    </row>
    <row r="567" ht="12.75">
      <c r="J567" s="93"/>
    </row>
    <row r="568" ht="12.75">
      <c r="J568" s="93"/>
    </row>
    <row r="569" ht="12.75">
      <c r="J569" s="93"/>
    </row>
    <row r="570" ht="12.75">
      <c r="J570" s="93"/>
    </row>
    <row r="571" ht="12.75">
      <c r="J571" s="93"/>
    </row>
    <row r="572" ht="12.75">
      <c r="J572" s="93"/>
    </row>
    <row r="573" ht="12.75">
      <c r="J573" s="93"/>
    </row>
    <row r="574" ht="12.75">
      <c r="J574" s="93"/>
    </row>
    <row r="575" ht="12.75">
      <c r="J575" s="93"/>
    </row>
    <row r="576" ht="12.75">
      <c r="J576" s="93"/>
    </row>
    <row r="577" ht="12.75">
      <c r="J577" s="93"/>
    </row>
    <row r="578" ht="12.75">
      <c r="J578" s="93"/>
    </row>
    <row r="579" ht="12.75">
      <c r="J579" s="93"/>
    </row>
    <row r="580" ht="12.75">
      <c r="J580" s="93"/>
    </row>
    <row r="581" ht="12.75">
      <c r="J581" s="93"/>
    </row>
    <row r="582" ht="12.75">
      <c r="J582" s="93"/>
    </row>
    <row r="583" ht="12.75">
      <c r="J583" s="93"/>
    </row>
    <row r="584" ht="12.75">
      <c r="J584" s="93"/>
    </row>
    <row r="585" ht="12.75">
      <c r="J585" s="93"/>
    </row>
    <row r="586" ht="12.75">
      <c r="J586" s="93"/>
    </row>
    <row r="587" ht="12.75">
      <c r="J587" s="93"/>
    </row>
    <row r="588" ht="12.75">
      <c r="J588" s="93"/>
    </row>
    <row r="589" ht="12.75">
      <c r="J589" s="93"/>
    </row>
    <row r="590" ht="12.75">
      <c r="J590" s="93"/>
    </row>
    <row r="591" ht="12.75">
      <c r="J591" s="93"/>
    </row>
    <row r="592" ht="12.75">
      <c r="J592" s="93"/>
    </row>
    <row r="593" ht="12.75">
      <c r="J593" s="93"/>
    </row>
    <row r="594" ht="12.75">
      <c r="J594" s="93"/>
    </row>
    <row r="595" ht="12.75">
      <c r="J595" s="93"/>
    </row>
    <row r="596" ht="12.75">
      <c r="J596" s="93"/>
    </row>
    <row r="597" ht="12.75">
      <c r="J597" s="93"/>
    </row>
    <row r="598" ht="12.75">
      <c r="J598" s="93"/>
    </row>
    <row r="599" ht="12.75">
      <c r="J599" s="93"/>
    </row>
    <row r="600" ht="12.75">
      <c r="J600" s="93"/>
    </row>
    <row r="601" ht="12.75">
      <c r="J601" s="93"/>
    </row>
    <row r="602" ht="12.75">
      <c r="J602" s="93"/>
    </row>
    <row r="603" ht="12.75">
      <c r="J603" s="93"/>
    </row>
    <row r="604" ht="12.75">
      <c r="J604" s="93"/>
    </row>
    <row r="605" ht="12.75">
      <c r="J605" s="93"/>
    </row>
    <row r="606" ht="12.75">
      <c r="J606" s="93"/>
    </row>
    <row r="607" ht="12.75">
      <c r="J607" s="93"/>
    </row>
    <row r="608" ht="12.75">
      <c r="J608" s="93"/>
    </row>
    <row r="609" ht="12.75">
      <c r="J609" s="93"/>
    </row>
    <row r="610" ht="12.75">
      <c r="J610" s="93"/>
    </row>
    <row r="611" ht="12.75">
      <c r="J611" s="93"/>
    </row>
    <row r="612" ht="12.75">
      <c r="J612" s="93"/>
    </row>
    <row r="613" ht="12.75">
      <c r="J613" s="93"/>
    </row>
    <row r="614" ht="12.75">
      <c r="J614" s="93"/>
    </row>
    <row r="615" ht="12.75">
      <c r="J615" s="93"/>
    </row>
    <row r="616" ht="12.75">
      <c r="J616" s="93"/>
    </row>
    <row r="617" ht="12.75">
      <c r="J617" s="93"/>
    </row>
    <row r="618" ht="12.75">
      <c r="J618" s="93"/>
    </row>
    <row r="619" ht="12.75">
      <c r="J619" s="93"/>
    </row>
    <row r="620" ht="12.75">
      <c r="J620" s="93"/>
    </row>
    <row r="621" ht="12.75">
      <c r="J621" s="93"/>
    </row>
    <row r="622" ht="12.75">
      <c r="J622" s="93"/>
    </row>
    <row r="623" ht="12.75">
      <c r="J623" s="93"/>
    </row>
    <row r="624" ht="12.75">
      <c r="J624" s="93"/>
    </row>
    <row r="625" ht="12.75">
      <c r="J625" s="93"/>
    </row>
    <row r="626" ht="12.75">
      <c r="J626" s="93"/>
    </row>
    <row r="627" ht="12.75">
      <c r="J627" s="93"/>
    </row>
    <row r="628" ht="12.75">
      <c r="J628" s="93"/>
    </row>
    <row r="629" ht="12.75">
      <c r="J629" s="93"/>
    </row>
    <row r="630" ht="12.75">
      <c r="J630" s="93"/>
    </row>
    <row r="631" ht="12.75">
      <c r="J631" s="93"/>
    </row>
    <row r="632" ht="12.75">
      <c r="J632" s="93"/>
    </row>
    <row r="633" ht="12.75">
      <c r="J633" s="93"/>
    </row>
    <row r="634" ht="12.75">
      <c r="J634" s="93"/>
    </row>
    <row r="635" ht="12.75">
      <c r="J635" s="93"/>
    </row>
    <row r="636" ht="12.75">
      <c r="J636" s="93"/>
    </row>
    <row r="637" ht="12.75">
      <c r="J637" s="93"/>
    </row>
    <row r="638" ht="12.75">
      <c r="J638" s="93"/>
    </row>
    <row r="639" ht="12.75">
      <c r="J639" s="93"/>
    </row>
    <row r="640" ht="12.75">
      <c r="J640" s="93"/>
    </row>
    <row r="641" ht="12.75">
      <c r="J641" s="93"/>
    </row>
    <row r="642" ht="12.75">
      <c r="J642" s="93"/>
    </row>
    <row r="643" ht="12.75">
      <c r="J643" s="93"/>
    </row>
    <row r="644" ht="12.75">
      <c r="J644" s="93"/>
    </row>
    <row r="645" ht="12.75">
      <c r="J645" s="93"/>
    </row>
    <row r="646" ht="12.75">
      <c r="J646" s="93"/>
    </row>
    <row r="647" ht="12.75">
      <c r="J647" s="93"/>
    </row>
    <row r="648" ht="12.75">
      <c r="J648" s="93"/>
    </row>
    <row r="649" ht="12.75">
      <c r="J649" s="93"/>
    </row>
    <row r="650" ht="12.75">
      <c r="J650" s="93"/>
    </row>
    <row r="651" ht="12.75">
      <c r="J651" s="93"/>
    </row>
    <row r="652" ht="12.75">
      <c r="J652" s="93"/>
    </row>
    <row r="653" ht="12.75">
      <c r="J653" s="93"/>
    </row>
    <row r="654" ht="12.75">
      <c r="J654" s="93"/>
    </row>
    <row r="655" ht="12.75">
      <c r="J655" s="93"/>
    </row>
    <row r="656" ht="12.75">
      <c r="J656" s="93"/>
    </row>
    <row r="657" ht="12.75">
      <c r="J657" s="93"/>
    </row>
    <row r="658" ht="12.75">
      <c r="J658" s="93"/>
    </row>
    <row r="659" ht="12.75">
      <c r="J659" s="93"/>
    </row>
    <row r="660" ht="12.75">
      <c r="J660" s="93"/>
    </row>
    <row r="661" ht="12.75">
      <c r="J661" s="93"/>
    </row>
    <row r="662" ht="12.75">
      <c r="J662" s="93"/>
    </row>
    <row r="663" ht="12.75">
      <c r="J663" s="93"/>
    </row>
    <row r="664" ht="12.75">
      <c r="J664" s="93"/>
    </row>
    <row r="665" ht="12.75">
      <c r="J665" s="93"/>
    </row>
    <row r="666" ht="12.75">
      <c r="J666" s="93"/>
    </row>
    <row r="667" ht="12.75">
      <c r="J667" s="93"/>
    </row>
    <row r="668" ht="12.75">
      <c r="J668" s="93"/>
    </row>
    <row r="669" ht="12.75">
      <c r="J669" s="93"/>
    </row>
    <row r="670" ht="12.75">
      <c r="J670" s="93"/>
    </row>
    <row r="671" ht="12.75">
      <c r="J671" s="93"/>
    </row>
    <row r="672" ht="12.75">
      <c r="J672" s="93"/>
    </row>
    <row r="673" ht="12.75">
      <c r="J673" s="93"/>
    </row>
    <row r="674" ht="12.75">
      <c r="J674" s="93"/>
    </row>
    <row r="675" ht="12.75">
      <c r="J675" s="93"/>
    </row>
    <row r="676" ht="12.75">
      <c r="J676" s="93"/>
    </row>
    <row r="677" ht="12.75">
      <c r="J677" s="93"/>
    </row>
    <row r="678" ht="12.75">
      <c r="J678" s="93"/>
    </row>
    <row r="679" ht="12.75">
      <c r="J679" s="93"/>
    </row>
    <row r="680" ht="12.75">
      <c r="J680" s="93"/>
    </row>
    <row r="681" ht="12.75">
      <c r="J681" s="93"/>
    </row>
    <row r="682" ht="12.75">
      <c r="J682" s="93"/>
    </row>
    <row r="683" ht="12.75">
      <c r="J683" s="93"/>
    </row>
    <row r="684" ht="12.75">
      <c r="J684" s="93"/>
    </row>
    <row r="685" ht="12.75">
      <c r="J685" s="93"/>
    </row>
    <row r="686" ht="12.75">
      <c r="J686" s="93"/>
    </row>
    <row r="687" ht="12.75">
      <c r="J687" s="93"/>
    </row>
    <row r="688" ht="12.75">
      <c r="J688" s="93"/>
    </row>
    <row r="689" ht="12.75">
      <c r="J689" s="93"/>
    </row>
    <row r="690" ht="12.75">
      <c r="J690" s="93"/>
    </row>
    <row r="691" ht="12.75">
      <c r="J691" s="93"/>
    </row>
    <row r="692" ht="12.75">
      <c r="J692" s="93"/>
    </row>
    <row r="693" ht="12.75">
      <c r="J693" s="93"/>
    </row>
    <row r="694" ht="12.75">
      <c r="J694" s="93"/>
    </row>
    <row r="695" ht="12.75">
      <c r="J695" s="93"/>
    </row>
    <row r="696" ht="12.75">
      <c r="J696" s="93"/>
    </row>
    <row r="697" ht="12.75">
      <c r="J697" s="93"/>
    </row>
    <row r="698" ht="12.75">
      <c r="J698" s="93"/>
    </row>
    <row r="699" ht="12.75">
      <c r="J699" s="93"/>
    </row>
    <row r="700" ht="12.75">
      <c r="J700" s="93"/>
    </row>
    <row r="701" ht="12.75">
      <c r="J701" s="93"/>
    </row>
    <row r="702" ht="12.75">
      <c r="J702" s="93"/>
    </row>
    <row r="703" ht="12.75">
      <c r="J703" s="93"/>
    </row>
    <row r="704" ht="12.75">
      <c r="J704" s="93"/>
    </row>
    <row r="705" ht="12.75">
      <c r="J705" s="93"/>
    </row>
    <row r="706" ht="12.75">
      <c r="J706" s="93"/>
    </row>
    <row r="707" ht="12.75">
      <c r="J707" s="93"/>
    </row>
    <row r="708" ht="12.75">
      <c r="J708" s="93"/>
    </row>
    <row r="709" ht="12.75">
      <c r="J709" s="93"/>
    </row>
    <row r="710" ht="12.75">
      <c r="J710" s="93"/>
    </row>
    <row r="711" ht="12.75">
      <c r="J711" s="93"/>
    </row>
    <row r="712" ht="12.75">
      <c r="J712" s="93"/>
    </row>
    <row r="713" ht="12.75">
      <c r="J713" s="93"/>
    </row>
    <row r="714" ht="12.75">
      <c r="J714" s="93"/>
    </row>
    <row r="715" ht="12.75">
      <c r="J715" s="93"/>
    </row>
    <row r="716" ht="12.75">
      <c r="J716" s="93"/>
    </row>
    <row r="717" ht="12.75">
      <c r="J717" s="93"/>
    </row>
    <row r="718" ht="12.75">
      <c r="J718" s="93"/>
    </row>
    <row r="719" ht="12.75">
      <c r="J719" s="93"/>
    </row>
    <row r="720" ht="12.75">
      <c r="J720" s="93"/>
    </row>
    <row r="721" ht="12.75">
      <c r="J721" s="93"/>
    </row>
    <row r="722" ht="12.75">
      <c r="J722" s="93"/>
    </row>
    <row r="723" ht="12.75">
      <c r="J723" s="93"/>
    </row>
    <row r="724" ht="12.75">
      <c r="J724" s="93"/>
    </row>
    <row r="725" ht="12.75">
      <c r="J725" s="93"/>
    </row>
    <row r="726" ht="12.75">
      <c r="J726" s="93"/>
    </row>
    <row r="727" ht="12.75">
      <c r="J727" s="93"/>
    </row>
    <row r="728" ht="12.75">
      <c r="J728" s="93"/>
    </row>
    <row r="729" ht="12.75">
      <c r="J729" s="93"/>
    </row>
    <row r="730" ht="12.75">
      <c r="J730" s="93"/>
    </row>
    <row r="731" ht="12.75">
      <c r="J731" s="93"/>
    </row>
    <row r="732" ht="12.75">
      <c r="J732" s="93"/>
    </row>
    <row r="733" ht="12.75">
      <c r="J733" s="93"/>
    </row>
    <row r="734" ht="12.75">
      <c r="J734" s="93"/>
    </row>
    <row r="735" ht="12.75">
      <c r="J735" s="93"/>
    </row>
    <row r="736" ht="12.75">
      <c r="J736" s="93"/>
    </row>
    <row r="737" ht="12.75">
      <c r="J737" s="93"/>
    </row>
    <row r="738" ht="12.75">
      <c r="J738" s="93"/>
    </row>
    <row r="739" ht="12.75">
      <c r="J739" s="93"/>
    </row>
    <row r="740" ht="12.75">
      <c r="J740" s="93"/>
    </row>
    <row r="741" ht="12.75">
      <c r="J741" s="93"/>
    </row>
    <row r="742" ht="12.75">
      <c r="J742" s="93"/>
    </row>
    <row r="743" ht="12.75">
      <c r="J743" s="93"/>
    </row>
    <row r="744" ht="12.75">
      <c r="J744" s="93"/>
    </row>
    <row r="745" ht="12.75">
      <c r="J745" s="93"/>
    </row>
    <row r="746" ht="12.75">
      <c r="J746" s="93"/>
    </row>
    <row r="747" ht="12.75">
      <c r="J747" s="93"/>
    </row>
    <row r="748" ht="12.75">
      <c r="J748" s="93"/>
    </row>
    <row r="749" ht="12.75">
      <c r="J749" s="93"/>
    </row>
    <row r="750" ht="12.75">
      <c r="J750" s="93"/>
    </row>
    <row r="751" ht="12.75">
      <c r="J751" s="93"/>
    </row>
    <row r="752" ht="12.75">
      <c r="J752" s="93"/>
    </row>
    <row r="753" ht="12.75">
      <c r="J753" s="93"/>
    </row>
    <row r="754" ht="12.75">
      <c r="J754" s="93"/>
    </row>
    <row r="755" ht="12.75">
      <c r="J755" s="93"/>
    </row>
    <row r="756" ht="12.75">
      <c r="J756" s="93"/>
    </row>
    <row r="757" ht="12.75">
      <c r="J757" s="93"/>
    </row>
    <row r="758" ht="12.75">
      <c r="J758" s="93"/>
    </row>
    <row r="759" ht="12.75">
      <c r="J759" s="93"/>
    </row>
    <row r="760" ht="12.75">
      <c r="J760" s="93"/>
    </row>
    <row r="761" ht="12.75">
      <c r="J761" s="93"/>
    </row>
    <row r="762" ht="12.75">
      <c r="J762" s="93"/>
    </row>
    <row r="763" ht="12.75">
      <c r="J763" s="93"/>
    </row>
    <row r="764" ht="12.75">
      <c r="J764" s="93"/>
    </row>
    <row r="765" ht="12.75">
      <c r="J765" s="93"/>
    </row>
    <row r="766" ht="12.75">
      <c r="J766" s="93"/>
    </row>
    <row r="767" ht="12.75">
      <c r="J767" s="93"/>
    </row>
    <row r="768" ht="12.75">
      <c r="J768" s="93"/>
    </row>
    <row r="769" ht="12.75">
      <c r="J769" s="93"/>
    </row>
    <row r="770" ht="12.75">
      <c r="J770" s="93"/>
    </row>
    <row r="771" ht="12.75">
      <c r="J771" s="93"/>
    </row>
    <row r="772" ht="12.75">
      <c r="J772" s="93"/>
    </row>
    <row r="773" ht="12.75">
      <c r="J773" s="93"/>
    </row>
    <row r="774" ht="12.75">
      <c r="J774" s="93"/>
    </row>
    <row r="775" ht="12.75">
      <c r="J775" s="93"/>
    </row>
    <row r="776" ht="12.75">
      <c r="J776" s="93"/>
    </row>
    <row r="777" ht="12.75">
      <c r="J777" s="93"/>
    </row>
    <row r="778" ht="12.75">
      <c r="J778" s="93"/>
    </row>
    <row r="779" ht="12.75">
      <c r="J779" s="93"/>
    </row>
    <row r="780" ht="12.75">
      <c r="J780" s="93"/>
    </row>
    <row r="781" ht="12.75">
      <c r="J781" s="93"/>
    </row>
    <row r="782" ht="12.75">
      <c r="J782" s="93"/>
    </row>
    <row r="783" ht="12.75">
      <c r="J783" s="93"/>
    </row>
    <row r="784" ht="12.75">
      <c r="J784" s="93"/>
    </row>
    <row r="785" ht="12.75">
      <c r="J785" s="93"/>
    </row>
    <row r="786" ht="12.75">
      <c r="J786" s="93"/>
    </row>
    <row r="787" ht="12.75">
      <c r="J787" s="93"/>
    </row>
    <row r="788" ht="12.75">
      <c r="J788" s="93"/>
    </row>
    <row r="789" ht="12.75">
      <c r="J789" s="93"/>
    </row>
    <row r="790" ht="12.75">
      <c r="J790" s="93"/>
    </row>
    <row r="791" ht="12.75">
      <c r="J791" s="93"/>
    </row>
    <row r="792" ht="12.75">
      <c r="J792" s="93"/>
    </row>
    <row r="793" ht="12.75">
      <c r="J793" s="93"/>
    </row>
    <row r="794" ht="12.75">
      <c r="J794" s="93"/>
    </row>
    <row r="795" ht="12.75">
      <c r="J795" s="93"/>
    </row>
    <row r="796" ht="12.75">
      <c r="J796" s="93"/>
    </row>
    <row r="797" ht="12.75">
      <c r="J797" s="93"/>
    </row>
    <row r="798" ht="12.75">
      <c r="J798" s="93"/>
    </row>
    <row r="799" ht="12.75">
      <c r="J799" s="93"/>
    </row>
    <row r="800" ht="12.75">
      <c r="J800" s="93"/>
    </row>
    <row r="801" ht="12.75">
      <c r="J801" s="93"/>
    </row>
    <row r="802" ht="12.75">
      <c r="J802" s="93"/>
    </row>
    <row r="803" ht="12.75">
      <c r="J803" s="93"/>
    </row>
    <row r="804" ht="12.75">
      <c r="J804" s="93"/>
    </row>
    <row r="805" ht="12.75">
      <c r="J805" s="93"/>
    </row>
    <row r="806" ht="12.75">
      <c r="J806" s="93"/>
    </row>
    <row r="807" ht="12.75">
      <c r="J807" s="93"/>
    </row>
    <row r="808" ht="12.75">
      <c r="J808" s="93"/>
    </row>
    <row r="809" ht="12.75">
      <c r="J809" s="93"/>
    </row>
    <row r="810" ht="12.75">
      <c r="J810" s="93"/>
    </row>
    <row r="811" ht="12.75">
      <c r="J811" s="93"/>
    </row>
    <row r="812" ht="12.75">
      <c r="J812" s="93"/>
    </row>
    <row r="813" ht="12.75">
      <c r="J813" s="93"/>
    </row>
    <row r="814" ht="12.75">
      <c r="J814" s="93"/>
    </row>
    <row r="815" ht="12.75">
      <c r="J815" s="93"/>
    </row>
    <row r="816" ht="12.75">
      <c r="J816" s="93"/>
    </row>
    <row r="817" ht="12.75">
      <c r="J817" s="93"/>
    </row>
    <row r="818" ht="12.75">
      <c r="J818" s="93"/>
    </row>
    <row r="819" ht="12.75">
      <c r="J819" s="93"/>
    </row>
    <row r="820" ht="12.75">
      <c r="J820" s="93"/>
    </row>
    <row r="821" ht="12.75">
      <c r="J821" s="93"/>
    </row>
    <row r="822" ht="12.75">
      <c r="J822" s="93"/>
    </row>
    <row r="823" ht="12.75">
      <c r="J823" s="93"/>
    </row>
    <row r="824" ht="12.75">
      <c r="J824" s="93"/>
    </row>
    <row r="825" ht="12.75">
      <c r="J825" s="93"/>
    </row>
    <row r="826" ht="12.75">
      <c r="J826" s="93"/>
    </row>
    <row r="827" ht="12.75">
      <c r="J827" s="93"/>
    </row>
    <row r="828" ht="12.75">
      <c r="J828" s="93"/>
    </row>
    <row r="829" ht="12.75">
      <c r="J829" s="93"/>
    </row>
    <row r="830" ht="12.75">
      <c r="J830" s="93"/>
    </row>
    <row r="831" ht="12.75">
      <c r="J831" s="93"/>
    </row>
    <row r="832" ht="12.75">
      <c r="J832" s="93"/>
    </row>
    <row r="833" ht="12.75">
      <c r="J833" s="93"/>
    </row>
    <row r="834" ht="12.75">
      <c r="J834" s="93"/>
    </row>
    <row r="835" ht="12.75">
      <c r="J835" s="93"/>
    </row>
    <row r="836" ht="12.75">
      <c r="J836" s="93"/>
    </row>
    <row r="837" ht="12.75">
      <c r="J837" s="93"/>
    </row>
    <row r="838" ht="12.75">
      <c r="J838" s="93"/>
    </row>
    <row r="839" ht="12.75">
      <c r="J839" s="93"/>
    </row>
    <row r="840" ht="12.75">
      <c r="J840" s="93"/>
    </row>
    <row r="841" ht="12.75">
      <c r="J841" s="93"/>
    </row>
    <row r="842" ht="12.75">
      <c r="J842" s="93"/>
    </row>
    <row r="843" ht="12.75">
      <c r="J843" s="93"/>
    </row>
    <row r="844" ht="12.75">
      <c r="J844" s="93"/>
    </row>
    <row r="845" ht="12.75">
      <c r="J845" s="93"/>
    </row>
    <row r="846" ht="12.75">
      <c r="J846" s="93"/>
    </row>
    <row r="847" ht="12.75">
      <c r="J847" s="93"/>
    </row>
    <row r="848" ht="12.75">
      <c r="J848" s="93"/>
    </row>
    <row r="849" ht="12.75">
      <c r="J849" s="93"/>
    </row>
    <row r="850" ht="12.75">
      <c r="J850" s="93"/>
    </row>
    <row r="851" ht="12.75">
      <c r="J851" s="93"/>
    </row>
    <row r="852" ht="12.75">
      <c r="J852" s="93"/>
    </row>
    <row r="853" ht="12.75">
      <c r="J853" s="93"/>
    </row>
    <row r="854" ht="12.75">
      <c r="J854" s="93"/>
    </row>
    <row r="855" ht="12.75">
      <c r="J855" s="93"/>
    </row>
    <row r="856" ht="12.75">
      <c r="J856" s="93"/>
    </row>
    <row r="857" ht="12.75">
      <c r="J857" s="93"/>
    </row>
    <row r="858" ht="12.75">
      <c r="J858" s="93"/>
    </row>
    <row r="859" ht="12.75">
      <c r="J859" s="93"/>
    </row>
    <row r="860" ht="12.75">
      <c r="J860" s="93"/>
    </row>
    <row r="861" ht="12.75">
      <c r="J861" s="93"/>
    </row>
    <row r="862" ht="12.75">
      <c r="J862" s="93"/>
    </row>
    <row r="863" ht="12.75">
      <c r="J863" s="93"/>
    </row>
    <row r="864" ht="12.75">
      <c r="J864" s="93"/>
    </row>
    <row r="865" ht="12.75">
      <c r="J865" s="93"/>
    </row>
    <row r="866" ht="12.75">
      <c r="J866" s="93"/>
    </row>
    <row r="867" ht="12.75">
      <c r="J867" s="93"/>
    </row>
    <row r="868" ht="12.75">
      <c r="J868" s="93"/>
    </row>
    <row r="869" ht="12.75">
      <c r="J869" s="93"/>
    </row>
    <row r="870" ht="12.75">
      <c r="J870" s="93"/>
    </row>
    <row r="871" ht="12.75">
      <c r="J871" s="93"/>
    </row>
    <row r="872" ht="12.75">
      <c r="J872" s="93"/>
    </row>
    <row r="873" ht="12.75">
      <c r="J873" s="93"/>
    </row>
    <row r="874" ht="12.75">
      <c r="J874" s="93"/>
    </row>
    <row r="875" ht="12.75">
      <c r="J875" s="93"/>
    </row>
    <row r="876" ht="12.75">
      <c r="J876" s="93"/>
    </row>
    <row r="877" ht="12.75">
      <c r="J877" s="93"/>
    </row>
    <row r="878" ht="12.75">
      <c r="J878" s="93"/>
    </row>
    <row r="879" ht="12.75">
      <c r="J879" s="93"/>
    </row>
    <row r="880" ht="12.75">
      <c r="J880" s="93"/>
    </row>
    <row r="881" ht="12.75">
      <c r="J881" s="93"/>
    </row>
    <row r="882" ht="12.75">
      <c r="J882" s="93"/>
    </row>
    <row r="883" ht="12.75">
      <c r="J883" s="93"/>
    </row>
    <row r="884" ht="12.75">
      <c r="J884" s="93"/>
    </row>
    <row r="885" ht="12.75">
      <c r="J885" s="93"/>
    </row>
    <row r="886" ht="12.75">
      <c r="J886" s="93"/>
    </row>
    <row r="887" ht="12.75">
      <c r="J887" s="93"/>
    </row>
    <row r="888" ht="12.75">
      <c r="J888" s="93"/>
    </row>
    <row r="889" ht="12.75">
      <c r="J889" s="93"/>
    </row>
    <row r="890" ht="12.75">
      <c r="J890" s="93"/>
    </row>
    <row r="891" ht="12.75">
      <c r="J891" s="93"/>
    </row>
    <row r="892" ht="12.75">
      <c r="J892" s="93"/>
    </row>
    <row r="893" ht="12.75">
      <c r="J893" s="93"/>
    </row>
    <row r="894" ht="12.75">
      <c r="J894" s="93"/>
    </row>
    <row r="895" ht="12.75">
      <c r="J895" s="93"/>
    </row>
    <row r="896" ht="12.75">
      <c r="J896" s="93"/>
    </row>
    <row r="897" ht="12.75">
      <c r="J897" s="93"/>
    </row>
    <row r="898" ht="12.75">
      <c r="J898" s="93"/>
    </row>
    <row r="899" ht="12.75">
      <c r="J899" s="93"/>
    </row>
    <row r="900" ht="12.75">
      <c r="J900" s="93"/>
    </row>
    <row r="901" ht="12.75">
      <c r="J901" s="93"/>
    </row>
    <row r="902" ht="12.75">
      <c r="J902" s="93"/>
    </row>
    <row r="903" ht="12.75">
      <c r="J903" s="93"/>
    </row>
    <row r="904" ht="12.75">
      <c r="J904" s="93"/>
    </row>
    <row r="905" ht="12.75">
      <c r="J905" s="93"/>
    </row>
    <row r="906" ht="12.75">
      <c r="J906" s="93"/>
    </row>
    <row r="907" ht="12.75">
      <c r="J907" s="93"/>
    </row>
    <row r="908" ht="12.75">
      <c r="J908" s="93"/>
    </row>
    <row r="909" ht="12.75">
      <c r="J909" s="93"/>
    </row>
    <row r="910" ht="12.75">
      <c r="J910" s="93"/>
    </row>
    <row r="911" ht="12.75">
      <c r="J911" s="93"/>
    </row>
    <row r="912" ht="12.75">
      <c r="J912" s="93"/>
    </row>
    <row r="913" ht="12.75">
      <c r="J913" s="93"/>
    </row>
    <row r="914" ht="12.75">
      <c r="J914" s="93"/>
    </row>
    <row r="915" ht="12.75">
      <c r="J915" s="93"/>
    </row>
    <row r="916" ht="12.75">
      <c r="J916" s="93"/>
    </row>
    <row r="917" ht="12.75">
      <c r="J917" s="93"/>
    </row>
    <row r="918" ht="12.75">
      <c r="J918" s="93"/>
    </row>
    <row r="919" ht="12.75">
      <c r="J919" s="93"/>
    </row>
    <row r="920" ht="12.75">
      <c r="J920" s="93"/>
    </row>
    <row r="921" ht="12.75">
      <c r="J921" s="93"/>
    </row>
    <row r="922" ht="12.75">
      <c r="J922" s="93"/>
    </row>
    <row r="923" ht="12.75">
      <c r="J923" s="93"/>
    </row>
    <row r="924" ht="12.75">
      <c r="J924" s="93"/>
    </row>
    <row r="925" ht="12.75">
      <c r="J925" s="93"/>
    </row>
    <row r="926" ht="12.75">
      <c r="J926" s="93"/>
    </row>
    <row r="927" ht="12.75">
      <c r="J927" s="93"/>
    </row>
    <row r="928" ht="12.75">
      <c r="J928" s="93"/>
    </row>
    <row r="929" ht="12.75">
      <c r="J929" s="93"/>
    </row>
    <row r="930" ht="12.75">
      <c r="J930" s="93"/>
    </row>
    <row r="931" ht="12.75">
      <c r="J931" s="93"/>
    </row>
    <row r="932" ht="12.75">
      <c r="J932" s="93"/>
    </row>
    <row r="933" ht="12.75">
      <c r="J933" s="93"/>
    </row>
    <row r="934" ht="12.75">
      <c r="J934" s="93"/>
    </row>
    <row r="935" ht="12.75">
      <c r="J935" s="93"/>
    </row>
    <row r="936" ht="12.75">
      <c r="J936" s="93"/>
    </row>
    <row r="937" ht="12.75">
      <c r="J937" s="93"/>
    </row>
    <row r="938" ht="12.75">
      <c r="J938" s="93"/>
    </row>
    <row r="939" ht="12.75">
      <c r="J939" s="93"/>
    </row>
    <row r="940" ht="12.75">
      <c r="J940" s="93"/>
    </row>
    <row r="941" ht="12.75">
      <c r="J941" s="93"/>
    </row>
    <row r="942" ht="12.75">
      <c r="J942" s="93"/>
    </row>
    <row r="943" ht="12.75">
      <c r="J943" s="93"/>
    </row>
    <row r="944" ht="12.75">
      <c r="J944" s="93"/>
    </row>
    <row r="945" ht="12.75">
      <c r="J945" s="93"/>
    </row>
    <row r="946" ht="12.75">
      <c r="J946" s="93"/>
    </row>
    <row r="947" ht="12.75">
      <c r="J947" s="93"/>
    </row>
    <row r="948" ht="12.75">
      <c r="J948" s="93"/>
    </row>
    <row r="949" ht="12.75">
      <c r="J949" s="93"/>
    </row>
    <row r="950" ht="12.75">
      <c r="J950" s="93"/>
    </row>
    <row r="951" ht="12.75">
      <c r="J951" s="93"/>
    </row>
    <row r="952" ht="12.75">
      <c r="J952" s="93"/>
    </row>
    <row r="953" ht="12.75">
      <c r="J953" s="93"/>
    </row>
    <row r="954" ht="12.75">
      <c r="J954" s="93"/>
    </row>
    <row r="955" ht="12.75">
      <c r="J955" s="93"/>
    </row>
    <row r="956" ht="12.75">
      <c r="J956" s="93"/>
    </row>
    <row r="957" ht="12.75">
      <c r="J957" s="93"/>
    </row>
    <row r="958" ht="12.75">
      <c r="J958" s="93"/>
    </row>
    <row r="959" ht="12.75">
      <c r="J959" s="93"/>
    </row>
    <row r="960" ht="12.75">
      <c r="J960" s="93"/>
    </row>
    <row r="961" ht="12.75">
      <c r="J961" s="93"/>
    </row>
    <row r="962" ht="12.75">
      <c r="J962" s="93"/>
    </row>
    <row r="963" ht="12.75">
      <c r="J963" s="93"/>
    </row>
    <row r="964" ht="12.75">
      <c r="J964" s="93"/>
    </row>
    <row r="965" ht="12.75">
      <c r="J965" s="93"/>
    </row>
    <row r="966" ht="12.75">
      <c r="J966" s="93"/>
    </row>
    <row r="967" ht="12.75">
      <c r="J967" s="93"/>
    </row>
    <row r="968" ht="12.75">
      <c r="J968" s="93"/>
    </row>
    <row r="969" ht="12.75">
      <c r="J969" s="93"/>
    </row>
    <row r="970" ht="12.75">
      <c r="J970" s="93"/>
    </row>
    <row r="971" ht="12.75">
      <c r="J971" s="93"/>
    </row>
    <row r="972" ht="12.75">
      <c r="J972" s="93"/>
    </row>
    <row r="973" ht="12.75">
      <c r="J973" s="93"/>
    </row>
    <row r="974" ht="12.75">
      <c r="J974" s="93"/>
    </row>
    <row r="975" ht="12.75">
      <c r="J975" s="93"/>
    </row>
    <row r="976" ht="12.75">
      <c r="J976" s="93"/>
    </row>
    <row r="977" ht="12.75">
      <c r="J977" s="93"/>
    </row>
    <row r="978" ht="12.75">
      <c r="J978" s="93"/>
    </row>
    <row r="979" ht="12.75">
      <c r="J979" s="93"/>
    </row>
    <row r="980" ht="12.75">
      <c r="J980" s="93"/>
    </row>
    <row r="981" ht="12.75">
      <c r="J981" s="93"/>
    </row>
    <row r="982" ht="12.75">
      <c r="J982" s="93"/>
    </row>
    <row r="983" ht="12.75">
      <c r="J983" s="93"/>
    </row>
    <row r="984" ht="12.75">
      <c r="J984" s="93"/>
    </row>
    <row r="985" ht="12.75">
      <c r="J985" s="93"/>
    </row>
    <row r="986" ht="12.75">
      <c r="J986" s="93"/>
    </row>
    <row r="987" ht="12.75">
      <c r="J987" s="93"/>
    </row>
    <row r="988" ht="12.75">
      <c r="J988" s="93"/>
    </row>
    <row r="989" ht="12.75">
      <c r="J989" s="93"/>
    </row>
    <row r="990" ht="12.75">
      <c r="J990" s="93"/>
    </row>
    <row r="991" ht="12.75">
      <c r="J991" s="93"/>
    </row>
    <row r="992" ht="12.75">
      <c r="J992" s="93"/>
    </row>
    <row r="993" ht="12.75">
      <c r="J993" s="93"/>
    </row>
    <row r="994" ht="12.75">
      <c r="J994" s="93"/>
    </row>
    <row r="995" ht="12.75">
      <c r="J995" s="93"/>
    </row>
    <row r="996" ht="12.75">
      <c r="J996" s="93"/>
    </row>
    <row r="997" ht="12.75">
      <c r="J997" s="93"/>
    </row>
    <row r="998" ht="12.75">
      <c r="J998" s="93"/>
    </row>
    <row r="999" ht="12.75">
      <c r="J999" s="93"/>
    </row>
    <row r="1000" ht="12.75">
      <c r="J1000" s="93"/>
    </row>
    <row r="1001" ht="12.75">
      <c r="J1001" s="93"/>
    </row>
    <row r="1002" ht="12.75">
      <c r="J1002" s="93"/>
    </row>
    <row r="1003" ht="12.75">
      <c r="J1003" s="93"/>
    </row>
    <row r="1004" ht="12.75">
      <c r="J1004" s="93"/>
    </row>
    <row r="1005" ht="12.75">
      <c r="J1005" s="93"/>
    </row>
    <row r="1006" ht="12.75">
      <c r="J1006" s="93"/>
    </row>
    <row r="1007" ht="12.75">
      <c r="J1007" s="93"/>
    </row>
    <row r="1008" ht="12.75">
      <c r="J1008" s="93"/>
    </row>
    <row r="1009" ht="12.75">
      <c r="J1009" s="93"/>
    </row>
    <row r="1010" ht="12.75">
      <c r="J1010" s="93"/>
    </row>
    <row r="1011" ht="12.75">
      <c r="J1011" s="93"/>
    </row>
    <row r="1012" ht="12.75">
      <c r="J1012" s="93"/>
    </row>
    <row r="1013" ht="12.75">
      <c r="J1013" s="93"/>
    </row>
    <row r="1014" ht="12.75">
      <c r="J1014" s="93"/>
    </row>
    <row r="1015" ht="12.75">
      <c r="J1015" s="93"/>
    </row>
    <row r="1016" ht="12.75">
      <c r="J1016" s="93"/>
    </row>
    <row r="1017" ht="12.75">
      <c r="J1017" s="93"/>
    </row>
    <row r="1018" ht="12.75">
      <c r="J1018" s="93"/>
    </row>
    <row r="1019" ht="12.75">
      <c r="J1019" s="93"/>
    </row>
    <row r="1020" ht="12.75">
      <c r="J1020" s="93"/>
    </row>
    <row r="1021" ht="12.75">
      <c r="J1021" s="93"/>
    </row>
    <row r="1022" ht="12.75">
      <c r="J1022" s="93"/>
    </row>
    <row r="1023" ht="12.75">
      <c r="J1023" s="93"/>
    </row>
    <row r="1024" ht="12.75">
      <c r="J1024" s="93"/>
    </row>
    <row r="1025" ht="12.75">
      <c r="J1025" s="93"/>
    </row>
    <row r="1026" ht="12.75">
      <c r="J1026" s="93"/>
    </row>
    <row r="1027" ht="12.75">
      <c r="J1027" s="93"/>
    </row>
    <row r="1028" ht="12.75">
      <c r="J1028" s="93"/>
    </row>
    <row r="1029" ht="12.75">
      <c r="J1029" s="93"/>
    </row>
    <row r="1030" ht="12.75">
      <c r="J1030" s="93"/>
    </row>
    <row r="1031" ht="12.75">
      <c r="J1031" s="93"/>
    </row>
    <row r="1032" ht="12.75">
      <c r="J1032" s="93"/>
    </row>
    <row r="1033" ht="12.75">
      <c r="J1033" s="93"/>
    </row>
    <row r="1034" ht="12.75">
      <c r="J1034" s="93"/>
    </row>
    <row r="1035" ht="12.75">
      <c r="J1035" s="93"/>
    </row>
    <row r="1036" ht="12.75">
      <c r="J1036" s="93"/>
    </row>
    <row r="1037" ht="12.75">
      <c r="J1037" s="93"/>
    </row>
    <row r="1038" ht="12.75">
      <c r="J1038" s="93"/>
    </row>
    <row r="1039" ht="12.75">
      <c r="J1039" s="93"/>
    </row>
    <row r="1040" ht="12.75">
      <c r="J1040" s="93"/>
    </row>
    <row r="1041" ht="12.75">
      <c r="J1041" s="93"/>
    </row>
    <row r="1042" ht="12.75">
      <c r="J1042" s="93"/>
    </row>
    <row r="1043" ht="12.75">
      <c r="J1043" s="93"/>
    </row>
    <row r="1044" ht="12.75">
      <c r="J1044" s="93"/>
    </row>
    <row r="1045" ht="12.75">
      <c r="J1045" s="93"/>
    </row>
    <row r="1046" ht="12.75">
      <c r="J1046" s="93"/>
    </row>
    <row r="1047" ht="12.75">
      <c r="J1047" s="93"/>
    </row>
    <row r="1048" ht="12.75">
      <c r="J1048" s="93"/>
    </row>
    <row r="1049" ht="12.75">
      <c r="J1049" s="93"/>
    </row>
    <row r="1050" ht="12.75">
      <c r="J1050" s="93"/>
    </row>
    <row r="1051" ht="12.75">
      <c r="J1051" s="93"/>
    </row>
    <row r="1052" ht="12.75">
      <c r="J1052" s="93"/>
    </row>
    <row r="1053" ht="12.75">
      <c r="J1053" s="93"/>
    </row>
    <row r="1054" ht="12.75">
      <c r="J1054" s="93"/>
    </row>
    <row r="1055" ht="12.75">
      <c r="J1055" s="93"/>
    </row>
    <row r="1056" ht="12.75">
      <c r="J1056" s="93"/>
    </row>
    <row r="1057" ht="12.75">
      <c r="J1057" s="93"/>
    </row>
    <row r="1058" ht="12.75">
      <c r="J1058" s="93"/>
    </row>
    <row r="1059" ht="12.75">
      <c r="J1059" s="93"/>
    </row>
    <row r="1060" ht="12.75">
      <c r="J1060" s="93"/>
    </row>
    <row r="1061" ht="12.75">
      <c r="J1061" s="93"/>
    </row>
    <row r="1062" ht="12.75">
      <c r="J1062" s="93"/>
    </row>
    <row r="1063" ht="12.75">
      <c r="J1063" s="93"/>
    </row>
    <row r="1064" ht="12.75">
      <c r="J1064" s="93"/>
    </row>
    <row r="1065" ht="12.75">
      <c r="J1065" s="93"/>
    </row>
    <row r="1066" ht="12.75">
      <c r="J1066" s="93"/>
    </row>
    <row r="1067" ht="12.75">
      <c r="J1067" s="93"/>
    </row>
    <row r="1068" ht="12.75">
      <c r="J1068" s="93"/>
    </row>
    <row r="1069" ht="12.75">
      <c r="J1069" s="93"/>
    </row>
    <row r="1070" ht="12.75">
      <c r="J1070" s="93"/>
    </row>
    <row r="1071" ht="12.75">
      <c r="J1071" s="93"/>
    </row>
    <row r="1072" ht="12.75">
      <c r="J1072" s="93"/>
    </row>
    <row r="1073" ht="12.75">
      <c r="J1073" s="93"/>
    </row>
    <row r="1074" ht="12.75">
      <c r="J1074" s="93"/>
    </row>
    <row r="1075" ht="12.75">
      <c r="J1075" s="93"/>
    </row>
    <row r="1076" ht="12.75">
      <c r="J1076" s="93"/>
    </row>
    <row r="1077" ht="12.75">
      <c r="J1077" s="93"/>
    </row>
    <row r="1078" ht="12.75">
      <c r="J1078" s="93"/>
    </row>
    <row r="1079" ht="12.75">
      <c r="J1079" s="93"/>
    </row>
    <row r="1080" ht="12.75">
      <c r="J1080" s="93"/>
    </row>
    <row r="1081" ht="12.75">
      <c r="J1081" s="93"/>
    </row>
    <row r="1082" ht="12.75">
      <c r="J1082" s="93"/>
    </row>
    <row r="1083" ht="12.75">
      <c r="J1083" s="93"/>
    </row>
    <row r="1084" ht="12.75">
      <c r="J1084" s="93"/>
    </row>
    <row r="1085" ht="12.75">
      <c r="J1085" s="93"/>
    </row>
    <row r="1086" ht="12.75">
      <c r="J1086" s="93"/>
    </row>
    <row r="1087" ht="12.75">
      <c r="J1087" s="93"/>
    </row>
    <row r="1088" ht="12.75">
      <c r="J1088" s="93"/>
    </row>
    <row r="1089" ht="12.75">
      <c r="J1089" s="93"/>
    </row>
    <row r="1090" ht="12.75">
      <c r="J1090" s="93"/>
    </row>
    <row r="1091" ht="12.75">
      <c r="J1091" s="93"/>
    </row>
    <row r="1092" ht="12.75">
      <c r="J1092" s="93"/>
    </row>
    <row r="1093" ht="12.75">
      <c r="J1093" s="93"/>
    </row>
    <row r="1094" ht="12.75">
      <c r="J1094" s="93"/>
    </row>
    <row r="1095" ht="12.75">
      <c r="J1095" s="93"/>
    </row>
    <row r="1096" ht="12.75">
      <c r="J1096" s="93"/>
    </row>
    <row r="1097" ht="12.75">
      <c r="J1097" s="93"/>
    </row>
    <row r="1098" ht="12.75">
      <c r="J1098" s="93"/>
    </row>
    <row r="1099" ht="12.75">
      <c r="J1099" s="93"/>
    </row>
    <row r="1100" ht="12.75">
      <c r="J1100" s="93"/>
    </row>
    <row r="1101" ht="12.75">
      <c r="J1101" s="93"/>
    </row>
    <row r="1102" ht="12.75">
      <c r="J1102" s="93"/>
    </row>
    <row r="1103" ht="12.75">
      <c r="J1103" s="93"/>
    </row>
    <row r="1104" ht="12.75">
      <c r="J1104" s="93"/>
    </row>
    <row r="1105" ht="12.75">
      <c r="J1105" s="93"/>
    </row>
    <row r="1106" ht="12.75">
      <c r="J1106" s="93"/>
    </row>
    <row r="1107" ht="12.75">
      <c r="J1107" s="93"/>
    </row>
    <row r="1108" ht="12.75">
      <c r="J1108" s="93"/>
    </row>
    <row r="1109" ht="12.75">
      <c r="J1109" s="93"/>
    </row>
    <row r="1110" ht="12.75">
      <c r="J1110" s="93"/>
    </row>
    <row r="1111" ht="12.75">
      <c r="J1111" s="93"/>
    </row>
    <row r="1112" ht="12.75">
      <c r="J1112" s="93"/>
    </row>
    <row r="1113" ht="12.75">
      <c r="J1113" s="93"/>
    </row>
    <row r="1114" ht="12.75">
      <c r="J1114" s="93"/>
    </row>
    <row r="1115" ht="12.75">
      <c r="J1115" s="93"/>
    </row>
    <row r="1116" ht="12.75">
      <c r="J1116" s="93"/>
    </row>
    <row r="1117" ht="12.75">
      <c r="J1117" s="93"/>
    </row>
    <row r="1118" ht="12.75">
      <c r="J1118" s="93"/>
    </row>
    <row r="1119" ht="12.75">
      <c r="J1119" s="93"/>
    </row>
    <row r="1120" ht="12.75">
      <c r="J1120" s="93"/>
    </row>
    <row r="1121" ht="12.75">
      <c r="J1121" s="93"/>
    </row>
    <row r="1122" ht="12.75">
      <c r="J1122" s="93"/>
    </row>
    <row r="1123" ht="12.75">
      <c r="J1123" s="93"/>
    </row>
    <row r="1124" ht="12.75">
      <c r="J1124" s="93"/>
    </row>
    <row r="1125" ht="12.75">
      <c r="J1125" s="93"/>
    </row>
    <row r="1126" ht="12.75">
      <c r="J1126" s="93"/>
    </row>
    <row r="1127" ht="12.75">
      <c r="J1127" s="93"/>
    </row>
    <row r="1128" ht="12.75">
      <c r="J1128" s="93"/>
    </row>
    <row r="1129" ht="12.75">
      <c r="J1129" s="93"/>
    </row>
    <row r="1130" ht="12.75">
      <c r="J1130" s="93"/>
    </row>
    <row r="1131" ht="12.75">
      <c r="J1131" s="93"/>
    </row>
    <row r="1132" ht="12.75">
      <c r="J1132" s="93"/>
    </row>
    <row r="1133" ht="12.75">
      <c r="J1133" s="93"/>
    </row>
    <row r="1134" ht="12.75">
      <c r="J1134" s="93"/>
    </row>
    <row r="1135" ht="12.75">
      <c r="J1135" s="93"/>
    </row>
    <row r="1136" ht="12.75">
      <c r="J1136" s="93"/>
    </row>
    <row r="1137" ht="12.75">
      <c r="J1137" s="93"/>
    </row>
    <row r="1138" ht="12.75">
      <c r="J1138" s="93"/>
    </row>
    <row r="1139" ht="12.75">
      <c r="J1139" s="93"/>
    </row>
    <row r="1140" ht="12.75">
      <c r="J1140" s="93"/>
    </row>
    <row r="1141" ht="12.75">
      <c r="J1141" s="93"/>
    </row>
    <row r="1142" ht="12.75">
      <c r="J1142" s="93"/>
    </row>
    <row r="1143" ht="12.75">
      <c r="J1143" s="93"/>
    </row>
    <row r="1144" ht="12.75">
      <c r="J1144" s="93"/>
    </row>
    <row r="1145" ht="12.75">
      <c r="J1145" s="93"/>
    </row>
    <row r="1146" ht="12.75">
      <c r="J1146" s="93"/>
    </row>
    <row r="1147" ht="12.75">
      <c r="J1147" s="93"/>
    </row>
    <row r="1148" ht="12.75">
      <c r="J1148" s="93"/>
    </row>
    <row r="1149" ht="12.75">
      <c r="J1149" s="93"/>
    </row>
    <row r="1150" ht="12.75">
      <c r="J1150" s="93"/>
    </row>
    <row r="1151" ht="12.75">
      <c r="J1151" s="93"/>
    </row>
    <row r="1152" ht="12.75">
      <c r="J1152" s="93"/>
    </row>
    <row r="1153" ht="12.75">
      <c r="J1153" s="93"/>
    </row>
    <row r="1154" ht="12.75">
      <c r="J1154" s="93"/>
    </row>
    <row r="1155" ht="12.75">
      <c r="J1155" s="93"/>
    </row>
    <row r="1156" ht="12.75">
      <c r="J1156" s="93"/>
    </row>
    <row r="1157" ht="12.75">
      <c r="J1157" s="93"/>
    </row>
    <row r="1158" ht="12.75">
      <c r="J1158" s="93"/>
    </row>
    <row r="1159" ht="12.75">
      <c r="J1159" s="93"/>
    </row>
    <row r="1160" ht="12.75">
      <c r="J1160" s="93"/>
    </row>
    <row r="1161" ht="12.75">
      <c r="J1161" s="93"/>
    </row>
    <row r="1162" ht="12.75">
      <c r="J1162" s="93"/>
    </row>
    <row r="1163" ht="12.75">
      <c r="J1163" s="93"/>
    </row>
    <row r="1164" ht="12.75">
      <c r="J1164" s="93"/>
    </row>
    <row r="1165" ht="12.75">
      <c r="J1165" s="93"/>
    </row>
    <row r="1166" ht="12.75">
      <c r="J1166" s="93"/>
    </row>
    <row r="1167" ht="12.75">
      <c r="J1167" s="93"/>
    </row>
    <row r="1168" ht="12.75">
      <c r="J1168" s="93"/>
    </row>
    <row r="1169" ht="12.75">
      <c r="J1169" s="93"/>
    </row>
    <row r="1170" ht="12.75">
      <c r="J1170" s="93"/>
    </row>
    <row r="1171" ht="12.75">
      <c r="J1171" s="93"/>
    </row>
    <row r="1172" ht="12.75">
      <c r="J1172" s="93"/>
    </row>
    <row r="1173" ht="12.75">
      <c r="J1173" s="93"/>
    </row>
    <row r="1174" ht="12.75">
      <c r="J1174" s="93"/>
    </row>
    <row r="1175" ht="12.75">
      <c r="J1175" s="93"/>
    </row>
    <row r="1176" ht="12.75">
      <c r="J1176" s="93"/>
    </row>
    <row r="1177" ht="12.75">
      <c r="J1177" s="93"/>
    </row>
    <row r="1178" ht="12.75">
      <c r="J1178" s="93"/>
    </row>
    <row r="1179" ht="12.75">
      <c r="J1179" s="93"/>
    </row>
    <row r="1180" ht="12.75">
      <c r="J1180" s="93"/>
    </row>
    <row r="1181" ht="12.75">
      <c r="J1181" s="93"/>
    </row>
    <row r="1182" ht="12.75">
      <c r="J1182" s="93"/>
    </row>
    <row r="1183" ht="12.75">
      <c r="J1183" s="93"/>
    </row>
    <row r="1184" ht="12.75">
      <c r="J1184" s="93"/>
    </row>
    <row r="1185" ht="12.75">
      <c r="J1185" s="93"/>
    </row>
    <row r="1186" ht="12.75">
      <c r="J1186" s="93"/>
    </row>
    <row r="1187" ht="12.75">
      <c r="J1187" s="93"/>
    </row>
    <row r="1188" ht="12.75">
      <c r="J1188" s="93"/>
    </row>
    <row r="1189" ht="12.75">
      <c r="J1189" s="93"/>
    </row>
    <row r="1190" ht="12.75">
      <c r="J1190" s="93"/>
    </row>
    <row r="1191" ht="12.75">
      <c r="J1191" s="93"/>
    </row>
    <row r="1192" ht="12.75">
      <c r="J1192" s="93"/>
    </row>
    <row r="1193" ht="12.75">
      <c r="J1193" s="93"/>
    </row>
    <row r="1194" ht="12.75">
      <c r="J1194" s="93"/>
    </row>
    <row r="1195" ht="12.75">
      <c r="J1195" s="93"/>
    </row>
    <row r="1196" ht="12.75">
      <c r="J1196" s="93"/>
    </row>
    <row r="1197" ht="12.75">
      <c r="J1197" s="93"/>
    </row>
    <row r="1198" ht="12.75">
      <c r="J1198" s="93"/>
    </row>
    <row r="1199" ht="12.75">
      <c r="J1199" s="93"/>
    </row>
    <row r="1200" ht="12.75">
      <c r="J1200" s="93"/>
    </row>
    <row r="1201" ht="12.75">
      <c r="J1201" s="93"/>
    </row>
    <row r="1202" ht="12.75">
      <c r="J1202" s="93"/>
    </row>
    <row r="1203" ht="12.75">
      <c r="J1203" s="93"/>
    </row>
    <row r="1204" ht="12.75">
      <c r="J1204" s="93"/>
    </row>
    <row r="1205" ht="12.75">
      <c r="J1205" s="93"/>
    </row>
    <row r="1206" ht="12.75">
      <c r="J1206" s="93"/>
    </row>
  </sheetData>
  <printOptions/>
  <pageMargins left="0.19" right="0.18" top="0.3" bottom="0.36" header="0.17" footer="0.18"/>
  <pageSetup fitToHeight="1" fitToWidth="1" horizontalDpi="300" verticalDpi="3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2" sqref="O22"/>
    </sheetView>
  </sheetViews>
  <sheetFormatPr defaultColWidth="9.140625" defaultRowHeight="12.75"/>
  <cols>
    <col min="1" max="1" width="27.57421875" style="0" bestFit="1" customWidth="1"/>
    <col min="2" max="2" width="10.57421875" style="4" customWidth="1"/>
    <col min="3" max="4" width="10.7109375" style="176" customWidth="1"/>
    <col min="5" max="5" width="10.28125" style="4" customWidth="1"/>
  </cols>
  <sheetData>
    <row r="1" spans="1:4" ht="20.25">
      <c r="A1" s="269"/>
      <c r="D1" s="4"/>
    </row>
    <row r="2" spans="2:4" ht="19.5" customHeight="1">
      <c r="B2" s="269"/>
      <c r="C2" s="269"/>
      <c r="D2" s="4"/>
    </row>
    <row r="3" spans="1:4" ht="20.25" hidden="1">
      <c r="A3" s="269"/>
      <c r="B3" s="269"/>
      <c r="C3" s="269"/>
      <c r="D3" s="4"/>
    </row>
    <row r="4" spans="1:4" ht="20.25">
      <c r="A4" s="269" t="s">
        <v>469</v>
      </c>
      <c r="D4" s="4"/>
    </row>
    <row r="5" spans="1:4" ht="15">
      <c r="A5" s="266"/>
      <c r="B5" s="267" t="s">
        <v>409</v>
      </c>
      <c r="C5" s="268"/>
      <c r="D5" s="4"/>
    </row>
    <row r="6" spans="1:4" ht="15">
      <c r="A6" s="266"/>
      <c r="B6" s="267" t="s">
        <v>198</v>
      </c>
      <c r="C6" s="268"/>
      <c r="D6" s="4"/>
    </row>
    <row r="7" spans="1:4" ht="15">
      <c r="A7" s="266"/>
      <c r="B7" s="267" t="s">
        <v>432</v>
      </c>
      <c r="C7" s="268"/>
      <c r="D7" s="28"/>
    </row>
    <row r="8" spans="2:4" ht="12.75">
      <c r="B8" s="28"/>
      <c r="C8"/>
      <c r="D8" s="28"/>
    </row>
    <row r="9" spans="1:4" ht="12.75">
      <c r="A9" s="4" t="s">
        <v>197</v>
      </c>
      <c r="B9" s="4" t="s">
        <v>195</v>
      </c>
      <c r="C9" s="176" t="s">
        <v>212</v>
      </c>
      <c r="D9" s="4" t="s">
        <v>196</v>
      </c>
    </row>
    <row r="10" spans="2:4" ht="12.75">
      <c r="B10" s="28"/>
      <c r="C10"/>
      <c r="D10" s="28"/>
    </row>
    <row r="11" spans="1:4" ht="12.75">
      <c r="A11" t="s">
        <v>547</v>
      </c>
      <c r="B11" s="421">
        <v>5</v>
      </c>
      <c r="C11" s="291">
        <v>4</v>
      </c>
      <c r="D11" s="423">
        <f aca="true" t="shared" si="0" ref="D11:D28">C11-B11</f>
        <v>-1</v>
      </c>
    </row>
    <row r="12" spans="1:4" ht="12.75">
      <c r="A12" t="s">
        <v>39</v>
      </c>
      <c r="B12" s="421">
        <v>4</v>
      </c>
      <c r="C12" s="291">
        <v>4</v>
      </c>
      <c r="D12" s="423">
        <f t="shared" si="0"/>
        <v>0</v>
      </c>
    </row>
    <row r="13" spans="1:4" ht="12.75">
      <c r="A13" t="s">
        <v>534</v>
      </c>
      <c r="B13" s="421">
        <v>5</v>
      </c>
      <c r="C13" s="291">
        <v>4</v>
      </c>
      <c r="D13" s="423">
        <f t="shared" si="0"/>
        <v>-1</v>
      </c>
    </row>
    <row r="14" spans="1:4" ht="12.75">
      <c r="A14" t="s">
        <v>360</v>
      </c>
      <c r="B14" s="421">
        <v>5</v>
      </c>
      <c r="C14" s="291">
        <v>4</v>
      </c>
      <c r="D14" s="423">
        <f t="shared" si="0"/>
        <v>-1</v>
      </c>
    </row>
    <row r="15" spans="1:4" ht="12.75">
      <c r="A15" t="s">
        <v>199</v>
      </c>
      <c r="B15" s="421">
        <v>3</v>
      </c>
      <c r="C15" s="291">
        <v>3</v>
      </c>
      <c r="D15" s="423">
        <f t="shared" si="0"/>
        <v>0</v>
      </c>
    </row>
    <row r="16" spans="1:4" ht="12.75">
      <c r="A16" t="s">
        <v>200</v>
      </c>
      <c r="B16" s="421">
        <v>7</v>
      </c>
      <c r="C16" s="291">
        <v>7</v>
      </c>
      <c r="D16" s="423">
        <f t="shared" si="0"/>
        <v>0</v>
      </c>
    </row>
    <row r="17" spans="1:4" ht="12.75">
      <c r="A17" t="s">
        <v>201</v>
      </c>
      <c r="B17" s="421">
        <v>4</v>
      </c>
      <c r="C17" s="291">
        <v>4</v>
      </c>
      <c r="D17" s="423">
        <f t="shared" si="0"/>
        <v>0</v>
      </c>
    </row>
    <row r="18" spans="1:4" ht="12.75">
      <c r="A18" t="s">
        <v>544</v>
      </c>
      <c r="B18" s="421">
        <v>5</v>
      </c>
      <c r="C18" s="291">
        <v>5</v>
      </c>
      <c r="D18" s="423">
        <f t="shared" si="0"/>
        <v>0</v>
      </c>
    </row>
    <row r="19" spans="1:4" ht="12.75">
      <c r="A19" t="s">
        <v>202</v>
      </c>
      <c r="B19" s="421">
        <v>3</v>
      </c>
      <c r="C19" s="291">
        <v>3</v>
      </c>
      <c r="D19" s="423">
        <f t="shared" si="0"/>
        <v>0</v>
      </c>
    </row>
    <row r="20" spans="1:4" ht="12.75">
      <c r="A20" t="s">
        <v>545</v>
      </c>
      <c r="B20" s="421">
        <v>2</v>
      </c>
      <c r="C20" s="291">
        <v>2</v>
      </c>
      <c r="D20" s="423">
        <f t="shared" si="0"/>
        <v>0</v>
      </c>
    </row>
    <row r="21" spans="1:4" ht="12.75">
      <c r="A21" t="s">
        <v>203</v>
      </c>
      <c r="B21" s="421">
        <v>3</v>
      </c>
      <c r="C21" s="291">
        <v>3</v>
      </c>
      <c r="D21" s="423">
        <f t="shared" si="0"/>
        <v>0</v>
      </c>
    </row>
    <row r="22" spans="1:4" ht="12.75">
      <c r="A22" t="s">
        <v>40</v>
      </c>
      <c r="B22" s="421">
        <v>123</v>
      </c>
      <c r="C22" s="291">
        <v>121</v>
      </c>
      <c r="D22" s="423">
        <f t="shared" si="0"/>
        <v>-2</v>
      </c>
    </row>
    <row r="23" spans="1:4" ht="12.75">
      <c r="A23" t="s">
        <v>41</v>
      </c>
      <c r="B23" s="421">
        <v>95</v>
      </c>
      <c r="C23" s="291">
        <v>98</v>
      </c>
      <c r="D23" s="423">
        <f t="shared" si="0"/>
        <v>3</v>
      </c>
    </row>
    <row r="24" spans="1:4" ht="12.75">
      <c r="A24" s="14" t="s">
        <v>303</v>
      </c>
      <c r="B24" s="421">
        <f>B46</f>
        <v>57</v>
      </c>
      <c r="C24" s="291">
        <f>C46</f>
        <v>55</v>
      </c>
      <c r="D24" s="423">
        <f t="shared" si="0"/>
        <v>-2</v>
      </c>
    </row>
    <row r="25" spans="1:4" ht="12.75">
      <c r="A25" t="s">
        <v>546</v>
      </c>
      <c r="B25" s="421">
        <v>3</v>
      </c>
      <c r="C25" s="291">
        <v>3</v>
      </c>
      <c r="D25" s="423">
        <f t="shared" si="0"/>
        <v>0</v>
      </c>
    </row>
    <row r="26" spans="1:4" ht="12.75">
      <c r="A26" t="s">
        <v>537</v>
      </c>
      <c r="B26" s="421">
        <v>5</v>
      </c>
      <c r="C26" s="291">
        <v>4</v>
      </c>
      <c r="D26" s="423">
        <f t="shared" si="0"/>
        <v>-1</v>
      </c>
    </row>
    <row r="27" spans="1:4" ht="12.75">
      <c r="A27" t="s">
        <v>42</v>
      </c>
      <c r="B27" s="421">
        <v>25</v>
      </c>
      <c r="C27" s="291">
        <v>25</v>
      </c>
      <c r="D27" s="423">
        <f t="shared" si="0"/>
        <v>0</v>
      </c>
    </row>
    <row r="28" spans="1:4" ht="12.75">
      <c r="A28" t="s">
        <v>348</v>
      </c>
      <c r="B28" s="421">
        <v>10</v>
      </c>
      <c r="C28" s="291">
        <v>10</v>
      </c>
      <c r="D28" s="423">
        <f t="shared" si="0"/>
        <v>0</v>
      </c>
    </row>
    <row r="29" spans="1:4" ht="13.5" thickBot="1">
      <c r="A29" t="s">
        <v>211</v>
      </c>
      <c r="B29" s="422">
        <f>SUM(B11:B28)</f>
        <v>364</v>
      </c>
      <c r="C29" s="422">
        <f>SUM(C11:C28)</f>
        <v>359</v>
      </c>
      <c r="D29" s="422">
        <f>SUM(D11:D28)</f>
        <v>-5</v>
      </c>
    </row>
    <row r="30" ht="13.5" thickTop="1">
      <c r="B30" s="176"/>
    </row>
    <row r="31" spans="2:4" ht="12.75">
      <c r="B31" s="138"/>
      <c r="C31" s="139"/>
      <c r="D31" s="138"/>
    </row>
    <row r="32" spans="2:4" ht="12.75">
      <c r="B32" s="138"/>
      <c r="C32" s="139"/>
      <c r="D32" s="138"/>
    </row>
    <row r="33" spans="2:4" ht="12.75">
      <c r="B33" s="138"/>
      <c r="C33" s="139"/>
      <c r="D33" s="138"/>
    </row>
    <row r="34" spans="2:4" ht="12.75">
      <c r="B34" s="138"/>
      <c r="C34" s="139"/>
      <c r="D34" s="138"/>
    </row>
    <row r="35" spans="2:4" ht="12.75">
      <c r="B35" s="138"/>
      <c r="C35" s="139"/>
      <c r="D35" s="138"/>
    </row>
    <row r="36" spans="1:2" ht="12.75">
      <c r="A36" s="15" t="s">
        <v>304</v>
      </c>
      <c r="B36" s="176"/>
    </row>
    <row r="37" spans="1:4" ht="12.75">
      <c r="A37" t="s">
        <v>204</v>
      </c>
      <c r="B37" s="421">
        <v>2</v>
      </c>
      <c r="C37" s="291">
        <v>2</v>
      </c>
      <c r="D37" s="423">
        <f aca="true" t="shared" si="1" ref="D37:D45">C37-B37</f>
        <v>0</v>
      </c>
    </row>
    <row r="38" spans="1:4" ht="12.75">
      <c r="A38" t="s">
        <v>205</v>
      </c>
      <c r="B38" s="421">
        <v>4</v>
      </c>
      <c r="C38" s="291">
        <v>4</v>
      </c>
      <c r="D38" s="423">
        <f t="shared" si="1"/>
        <v>0</v>
      </c>
    </row>
    <row r="39" spans="1:4" ht="12.75">
      <c r="A39" t="s">
        <v>210</v>
      </c>
      <c r="B39" s="421">
        <v>10</v>
      </c>
      <c r="C39" s="291">
        <v>10</v>
      </c>
      <c r="D39" s="423">
        <f t="shared" si="1"/>
        <v>0</v>
      </c>
    </row>
    <row r="40" spans="1:4" ht="12.75">
      <c r="A40" t="s">
        <v>206</v>
      </c>
      <c r="B40" s="421">
        <v>5</v>
      </c>
      <c r="C40" s="291">
        <v>5</v>
      </c>
      <c r="D40" s="423">
        <f t="shared" si="1"/>
        <v>0</v>
      </c>
    </row>
    <row r="41" spans="1:4" ht="12.75">
      <c r="A41" t="s">
        <v>361</v>
      </c>
      <c r="B41" s="421">
        <v>3</v>
      </c>
      <c r="C41" s="291">
        <v>3</v>
      </c>
      <c r="D41" s="423">
        <f t="shared" si="1"/>
        <v>0</v>
      </c>
    </row>
    <row r="42" spans="1:4" ht="12.75">
      <c r="A42" t="s">
        <v>209</v>
      </c>
      <c r="B42" s="421">
        <v>5</v>
      </c>
      <c r="C42" s="291">
        <v>5</v>
      </c>
      <c r="D42" s="423">
        <f t="shared" si="1"/>
        <v>0</v>
      </c>
    </row>
    <row r="43" spans="1:4" ht="12.75">
      <c r="A43" t="s">
        <v>207</v>
      </c>
      <c r="B43" s="421">
        <v>10</v>
      </c>
      <c r="C43" s="291">
        <v>9</v>
      </c>
      <c r="D43" s="423">
        <f t="shared" si="1"/>
        <v>-1</v>
      </c>
    </row>
    <row r="44" spans="1:4" ht="12.75">
      <c r="A44" t="s">
        <v>208</v>
      </c>
      <c r="B44" s="421">
        <v>15</v>
      </c>
      <c r="C44" s="291">
        <v>14</v>
      </c>
      <c r="D44" s="423">
        <f t="shared" si="1"/>
        <v>-1</v>
      </c>
    </row>
    <row r="45" spans="1:4" ht="12.75">
      <c r="A45" t="s">
        <v>362</v>
      </c>
      <c r="B45" s="421">
        <v>3</v>
      </c>
      <c r="C45" s="291">
        <v>3</v>
      </c>
      <c r="D45" s="423">
        <f t="shared" si="1"/>
        <v>0</v>
      </c>
    </row>
    <row r="46" spans="1:7" ht="13.5" thickBot="1">
      <c r="A46" t="s">
        <v>302</v>
      </c>
      <c r="B46" s="422">
        <f>SUM(B37:B45)</f>
        <v>57</v>
      </c>
      <c r="C46" s="422">
        <f>SUM(C37:C45)</f>
        <v>55</v>
      </c>
      <c r="D46" s="422">
        <f>SUM(D37:D45)</f>
        <v>-2</v>
      </c>
      <c r="G46" s="466"/>
    </row>
    <row r="47" spans="3:4" ht="13.5" thickTop="1">
      <c r="C47" s="4"/>
      <c r="D47" s="4"/>
    </row>
    <row r="48" spans="3:4" ht="13.5" thickBot="1">
      <c r="C48" s="4"/>
      <c r="D48" s="4"/>
    </row>
    <row r="49" spans="1:5" ht="39" thickBot="1">
      <c r="A49" s="535" t="s">
        <v>558</v>
      </c>
      <c r="B49" s="533" t="s">
        <v>553</v>
      </c>
      <c r="C49" s="506" t="s">
        <v>554</v>
      </c>
      <c r="D49" s="507" t="s">
        <v>555</v>
      </c>
      <c r="E49" s="508" t="s">
        <v>556</v>
      </c>
    </row>
    <row r="50" spans="3:5" ht="12.75">
      <c r="C50" s="4"/>
      <c r="D50" s="4"/>
      <c r="E50" s="28"/>
    </row>
    <row r="51" spans="3:5" ht="12.75">
      <c r="C51" s="4"/>
      <c r="D51" s="4"/>
      <c r="E51" s="28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C30" sqref="C30"/>
    </sheetView>
  </sheetViews>
  <sheetFormatPr defaultColWidth="9.140625" defaultRowHeight="12.75"/>
  <cols>
    <col min="1" max="1" width="31.8515625" style="0" customWidth="1"/>
    <col min="2" max="2" width="14.421875" style="0" customWidth="1"/>
    <col min="3" max="3" width="14.57421875" style="0" customWidth="1"/>
    <col min="4" max="4" width="17.140625" style="0" customWidth="1"/>
    <col min="5" max="5" width="12.00390625" style="0" customWidth="1"/>
    <col min="6" max="6" width="13.421875" style="0" customWidth="1"/>
    <col min="7" max="7" width="11.8515625" style="0" customWidth="1"/>
    <col min="8" max="8" width="13.57421875" style="0" customWidth="1"/>
    <col min="9" max="10" width="12.28125" style="0" customWidth="1"/>
    <col min="11" max="11" width="14.00390625" style="0" customWidth="1"/>
    <col min="12" max="12" width="12.140625" style="0" customWidth="1"/>
    <col min="13" max="13" width="13.421875" style="0" customWidth="1"/>
    <col min="14" max="14" width="15.140625" style="0" customWidth="1"/>
    <col min="15" max="15" width="13.00390625" style="0" customWidth="1"/>
    <col min="16" max="16" width="11.8515625" style="0" customWidth="1"/>
  </cols>
  <sheetData>
    <row r="1" spans="1:17" ht="15.75" thickBot="1">
      <c r="A1" s="293" t="s">
        <v>433</v>
      </c>
      <c r="B1" s="294" t="s">
        <v>500</v>
      </c>
      <c r="C1" s="46"/>
      <c r="D1" s="46"/>
      <c r="E1" s="46"/>
      <c r="F1" s="342"/>
      <c r="G1" s="342"/>
      <c r="H1" s="337" t="s">
        <v>473</v>
      </c>
      <c r="I1" s="294" t="s">
        <v>501</v>
      </c>
      <c r="J1" s="294"/>
      <c r="K1" s="46"/>
      <c r="L1" s="46"/>
      <c r="M1" s="46"/>
      <c r="N1" s="46"/>
      <c r="O1" s="46"/>
      <c r="Q1" s="46"/>
    </row>
    <row r="2" spans="1:17" ht="6" customHeight="1">
      <c r="A2" s="293"/>
      <c r="B2" s="294"/>
      <c r="C2" s="46"/>
      <c r="D2" s="46"/>
      <c r="E2" s="46"/>
      <c r="F2" s="46"/>
      <c r="G2" s="46"/>
      <c r="H2" s="46"/>
      <c r="I2" s="46"/>
      <c r="J2" s="294"/>
      <c r="K2" s="46"/>
      <c r="L2" s="46"/>
      <c r="M2" s="46"/>
      <c r="N2" s="46"/>
      <c r="O2" s="46"/>
      <c r="Q2" s="46"/>
    </row>
    <row r="3" spans="1:17" ht="3.75" customHeight="1" thickBot="1">
      <c r="A3" s="47"/>
      <c r="B3" s="46"/>
      <c r="C3" s="46"/>
      <c r="D3" s="46"/>
      <c r="E3" s="46"/>
      <c r="F3" s="46"/>
      <c r="G3" s="46"/>
      <c r="H3" s="47"/>
      <c r="I3" s="46"/>
      <c r="J3" s="46"/>
      <c r="K3" s="46"/>
      <c r="L3" s="46"/>
      <c r="M3" s="46"/>
      <c r="N3" s="46"/>
      <c r="O3" s="47"/>
      <c r="Q3" s="47"/>
    </row>
    <row r="4" spans="1:17" ht="15.75" thickBot="1">
      <c r="A4" s="436" t="s">
        <v>434</v>
      </c>
      <c r="B4" s="437" t="s">
        <v>18</v>
      </c>
      <c r="C4" s="437" t="s">
        <v>159</v>
      </c>
      <c r="D4" s="437" t="s">
        <v>19</v>
      </c>
      <c r="E4" s="437" t="s">
        <v>20</v>
      </c>
      <c r="F4" s="437" t="s">
        <v>21</v>
      </c>
      <c r="G4" s="437" t="s">
        <v>22</v>
      </c>
      <c r="H4" s="437" t="s">
        <v>23</v>
      </c>
      <c r="I4" s="437" t="s">
        <v>24</v>
      </c>
      <c r="J4" s="437" t="s">
        <v>25</v>
      </c>
      <c r="K4" s="437" t="s">
        <v>26</v>
      </c>
      <c r="L4" s="437" t="s">
        <v>507</v>
      </c>
      <c r="M4" s="437" t="s">
        <v>508</v>
      </c>
      <c r="N4" s="437" t="s">
        <v>435</v>
      </c>
      <c r="O4" s="437" t="s">
        <v>13</v>
      </c>
      <c r="P4" s="438" t="s">
        <v>31</v>
      </c>
      <c r="Q4" s="295"/>
    </row>
    <row r="5" spans="1:17" ht="15">
      <c r="A5" s="296" t="s">
        <v>436</v>
      </c>
      <c r="B5" s="297"/>
      <c r="C5" s="297"/>
      <c r="D5" s="298"/>
      <c r="E5" s="298"/>
      <c r="F5" s="298"/>
      <c r="G5" s="298"/>
      <c r="H5" s="298"/>
      <c r="I5" s="298"/>
      <c r="J5" s="298"/>
      <c r="K5" s="298"/>
      <c r="L5" s="298"/>
      <c r="M5" s="297"/>
      <c r="N5" s="299"/>
      <c r="O5" s="297"/>
      <c r="P5" s="297"/>
      <c r="Q5" s="295"/>
    </row>
    <row r="6" spans="1:17" ht="15">
      <c r="A6" s="300" t="s">
        <v>499</v>
      </c>
      <c r="B6" s="426">
        <v>132330</v>
      </c>
      <c r="C6" s="426">
        <v>0</v>
      </c>
      <c r="D6" s="426">
        <v>0</v>
      </c>
      <c r="E6" s="426">
        <v>145016.66666666666</v>
      </c>
      <c r="F6" s="426">
        <v>0</v>
      </c>
      <c r="G6" s="426">
        <v>0</v>
      </c>
      <c r="H6" s="426">
        <v>134346.66666666666</v>
      </c>
      <c r="I6" s="426">
        <v>0</v>
      </c>
      <c r="J6" s="426">
        <v>0</v>
      </c>
      <c r="K6" s="426">
        <v>135886.66666666666</v>
      </c>
      <c r="L6" s="427">
        <v>0</v>
      </c>
      <c r="M6" s="427">
        <v>0</v>
      </c>
      <c r="N6" s="431">
        <f>SUM(B6:M6)</f>
        <v>547579.9999999999</v>
      </c>
      <c r="O6" s="432">
        <v>541666.6666666666</v>
      </c>
      <c r="P6" s="434">
        <f aca="true" t="shared" si="0" ref="P6:P20">SUM(N6-O6)</f>
        <v>5913.333333333256</v>
      </c>
      <c r="Q6" s="303"/>
    </row>
    <row r="7" spans="1:17" ht="15">
      <c r="A7" s="300" t="s">
        <v>437</v>
      </c>
      <c r="B7" s="426">
        <v>9073.703333333333</v>
      </c>
      <c r="C7" s="426">
        <v>17017.936666666665</v>
      </c>
      <c r="D7" s="426">
        <v>20263.196666666667</v>
      </c>
      <c r="E7" s="426">
        <v>13828.99</v>
      </c>
      <c r="F7" s="426">
        <v>38670.38333333333</v>
      </c>
      <c r="G7" s="426">
        <v>13710.033333333333</v>
      </c>
      <c r="H7" s="426">
        <v>9442.67</v>
      </c>
      <c r="I7" s="426">
        <v>14827.24</v>
      </c>
      <c r="J7" s="426">
        <v>18096.213333333333</v>
      </c>
      <c r="K7" s="426">
        <v>11388.406666666668</v>
      </c>
      <c r="L7" s="427">
        <v>33497.89666666667</v>
      </c>
      <c r="M7" s="427">
        <v>0</v>
      </c>
      <c r="N7" s="431">
        <f aca="true" t="shared" si="1" ref="N7:N20">SUM(B7:M7)</f>
        <v>199816.66999999998</v>
      </c>
      <c r="O7" s="432">
        <v>166666.66666666666</v>
      </c>
      <c r="P7" s="434">
        <f t="shared" si="0"/>
        <v>33150.00333333333</v>
      </c>
      <c r="Q7" s="303"/>
    </row>
    <row r="8" spans="1:17" ht="15">
      <c r="A8" s="304" t="s">
        <v>438</v>
      </c>
      <c r="B8" s="426">
        <v>-75749.14666666667</v>
      </c>
      <c r="C8" s="426">
        <v>-1459.92</v>
      </c>
      <c r="D8" s="426">
        <v>-347853.08</v>
      </c>
      <c r="E8" s="426">
        <v>-442872.9066666667</v>
      </c>
      <c r="F8" s="426">
        <v>-56973.87</v>
      </c>
      <c r="G8" s="426">
        <v>152568.68333333332</v>
      </c>
      <c r="H8" s="426">
        <v>-142701.02666666667</v>
      </c>
      <c r="I8" s="426">
        <v>-162537.18</v>
      </c>
      <c r="J8" s="426">
        <v>138561.71666666667</v>
      </c>
      <c r="K8" s="426">
        <v>159659.19</v>
      </c>
      <c r="L8" s="427">
        <v>92374.14</v>
      </c>
      <c r="M8" s="427">
        <v>0</v>
      </c>
      <c r="N8" s="431">
        <f t="shared" si="1"/>
        <v>-686983.3999999998</v>
      </c>
      <c r="O8" s="432">
        <v>33333.333333333336</v>
      </c>
      <c r="P8" s="434">
        <f t="shared" si="0"/>
        <v>-720316.7333333332</v>
      </c>
      <c r="Q8" s="303"/>
    </row>
    <row r="9" spans="1:17" ht="15">
      <c r="A9" s="304" t="s">
        <v>439</v>
      </c>
      <c r="B9" s="426">
        <v>22.993333333333336</v>
      </c>
      <c r="C9" s="426">
        <v>45.98666666666667</v>
      </c>
      <c r="D9" s="426">
        <v>74795.32</v>
      </c>
      <c r="E9" s="426">
        <v>76907.05333333333</v>
      </c>
      <c r="F9" s="426">
        <v>76154.81</v>
      </c>
      <c r="G9" s="426">
        <v>76161.17666666667</v>
      </c>
      <c r="H9" s="426">
        <v>101605.89333333333</v>
      </c>
      <c r="I9" s="426">
        <v>101909.17666666668</v>
      </c>
      <c r="J9" s="426">
        <v>101841.38</v>
      </c>
      <c r="K9" s="426">
        <v>102319.09666666666</v>
      </c>
      <c r="L9" s="427">
        <v>101747.63</v>
      </c>
      <c r="M9" s="427">
        <v>100000</v>
      </c>
      <c r="N9" s="431">
        <f t="shared" si="1"/>
        <v>913510.5166666667</v>
      </c>
      <c r="O9" s="432">
        <v>900826.6666666666</v>
      </c>
      <c r="P9" s="434">
        <f t="shared" si="0"/>
        <v>12683.850000000093</v>
      </c>
      <c r="Q9" s="303"/>
    </row>
    <row r="10" spans="1:17" ht="15">
      <c r="A10" s="304" t="s">
        <v>440</v>
      </c>
      <c r="B10" s="426">
        <v>90427.42333333334</v>
      </c>
      <c r="C10" s="426">
        <v>68413.08</v>
      </c>
      <c r="D10" s="426">
        <v>90000.07666666666</v>
      </c>
      <c r="E10" s="426">
        <v>103637.35666666667</v>
      </c>
      <c r="F10" s="426">
        <v>94896.53</v>
      </c>
      <c r="G10" s="426">
        <v>96394.6</v>
      </c>
      <c r="H10" s="426">
        <v>99173.87333333334</v>
      </c>
      <c r="I10" s="426">
        <v>98160.04</v>
      </c>
      <c r="J10" s="426">
        <v>98012.91666666667</v>
      </c>
      <c r="K10" s="426">
        <v>111736.56</v>
      </c>
      <c r="L10" s="427">
        <v>97754.33</v>
      </c>
      <c r="M10" s="427">
        <v>98333.33333333333</v>
      </c>
      <c r="N10" s="431">
        <f t="shared" si="1"/>
        <v>1146940.1199999999</v>
      </c>
      <c r="O10" s="432">
        <v>1127316.3333333333</v>
      </c>
      <c r="P10" s="434">
        <f t="shared" si="0"/>
        <v>19623.786666666623</v>
      </c>
      <c r="Q10" s="303"/>
    </row>
    <row r="11" spans="1:17" ht="15">
      <c r="A11" s="304" t="s">
        <v>441</v>
      </c>
      <c r="B11" s="426">
        <v>12177.966666666667</v>
      </c>
      <c r="C11" s="426">
        <v>13225.01</v>
      </c>
      <c r="D11" s="426">
        <v>13590.653333333334</v>
      </c>
      <c r="E11" s="426">
        <v>13374.793333333333</v>
      </c>
      <c r="F11" s="426">
        <v>13043.853333333333</v>
      </c>
      <c r="G11" s="426">
        <v>12848.173333333332</v>
      </c>
      <c r="H11" s="426">
        <v>15584.223333333333</v>
      </c>
      <c r="I11" s="426">
        <v>13909.76</v>
      </c>
      <c r="J11" s="426">
        <v>13641.323333333334</v>
      </c>
      <c r="K11" s="426">
        <v>12748.553333333335</v>
      </c>
      <c r="L11" s="427">
        <v>14891.013333333334</v>
      </c>
      <c r="M11" s="427">
        <v>11666.666666666666</v>
      </c>
      <c r="N11" s="431">
        <f t="shared" si="1"/>
        <v>160701.99</v>
      </c>
      <c r="O11" s="432">
        <v>133333.33333333334</v>
      </c>
      <c r="P11" s="434">
        <f t="shared" si="0"/>
        <v>27368.656666666648</v>
      </c>
      <c r="Q11" s="303"/>
    </row>
    <row r="12" spans="1:17" ht="15">
      <c r="A12" s="304" t="s">
        <v>442</v>
      </c>
      <c r="B12" s="426">
        <v>0</v>
      </c>
      <c r="C12" s="426">
        <v>0</v>
      </c>
      <c r="D12" s="426">
        <v>0</v>
      </c>
      <c r="E12" s="426">
        <v>5860.2266666666665</v>
      </c>
      <c r="F12" s="426">
        <v>4807.793333333333</v>
      </c>
      <c r="G12" s="426">
        <v>5052.973333333333</v>
      </c>
      <c r="H12" s="426">
        <v>4699.903333333333</v>
      </c>
      <c r="I12" s="426">
        <v>3844.206666666667</v>
      </c>
      <c r="J12" s="426">
        <v>4410.696666666667</v>
      </c>
      <c r="K12" s="426">
        <v>3175.65</v>
      </c>
      <c r="L12" s="427">
        <v>3046.68</v>
      </c>
      <c r="M12" s="427">
        <v>3166.6666666666665</v>
      </c>
      <c r="N12" s="431">
        <f t="shared" si="1"/>
        <v>38064.79666666666</v>
      </c>
      <c r="O12" s="432">
        <v>46840</v>
      </c>
      <c r="P12" s="434">
        <f t="shared" si="0"/>
        <v>-8775.203333333338</v>
      </c>
      <c r="Q12" s="303"/>
    </row>
    <row r="13" spans="1:17" ht="15">
      <c r="A13" s="304" t="s">
        <v>443</v>
      </c>
      <c r="B13" s="426">
        <v>1885.9566666666667</v>
      </c>
      <c r="C13" s="426">
        <v>1955.4533333333331</v>
      </c>
      <c r="D13" s="426">
        <v>4357.553333333333</v>
      </c>
      <c r="E13" s="426">
        <v>9314.716666666667</v>
      </c>
      <c r="F13" s="426">
        <v>6256.2733333333335</v>
      </c>
      <c r="G13" s="426">
        <v>6130.326666666667</v>
      </c>
      <c r="H13" s="426">
        <v>6473.456666666666</v>
      </c>
      <c r="I13" s="426">
        <v>6604.326666666667</v>
      </c>
      <c r="J13" s="426">
        <v>6614.566666666667</v>
      </c>
      <c r="K13" s="426">
        <v>6605.723333333332</v>
      </c>
      <c r="L13" s="427">
        <v>9974.426666666666</v>
      </c>
      <c r="M13" s="427">
        <v>6333.333333333333</v>
      </c>
      <c r="N13" s="431">
        <f t="shared" si="1"/>
        <v>72506.11333333333</v>
      </c>
      <c r="O13" s="432">
        <v>67316.66666666667</v>
      </c>
      <c r="P13" s="434">
        <f t="shared" si="0"/>
        <v>5189.446666666656</v>
      </c>
      <c r="Q13" s="303"/>
    </row>
    <row r="14" spans="1:17" ht="15">
      <c r="A14" s="305" t="s">
        <v>444</v>
      </c>
      <c r="B14" s="426">
        <v>0</v>
      </c>
      <c r="C14" s="426">
        <v>0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210204.59666666668</v>
      </c>
      <c r="L14" s="427">
        <v>0</v>
      </c>
      <c r="M14" s="427">
        <v>0</v>
      </c>
      <c r="N14" s="431">
        <f t="shared" si="1"/>
        <v>210204.59666666668</v>
      </c>
      <c r="O14" s="432">
        <v>166666.66666666666</v>
      </c>
      <c r="P14" s="434">
        <f t="shared" si="0"/>
        <v>43537.93000000002</v>
      </c>
      <c r="Q14" s="306"/>
    </row>
    <row r="15" spans="1:17" ht="15">
      <c r="A15" s="304" t="s">
        <v>445</v>
      </c>
      <c r="B15" s="426">
        <v>0</v>
      </c>
      <c r="C15" s="426">
        <v>0</v>
      </c>
      <c r="D15" s="426">
        <v>0</v>
      </c>
      <c r="E15" s="426">
        <v>58159.5</v>
      </c>
      <c r="F15" s="426">
        <v>0</v>
      </c>
      <c r="G15" s="426">
        <v>0</v>
      </c>
      <c r="H15" s="426">
        <v>50040.75</v>
      </c>
      <c r="I15" s="426">
        <v>0</v>
      </c>
      <c r="J15" s="426">
        <v>0</v>
      </c>
      <c r="K15" s="426">
        <v>0</v>
      </c>
      <c r="L15" s="427">
        <v>0</v>
      </c>
      <c r="M15" s="427">
        <v>0</v>
      </c>
      <c r="N15" s="431">
        <f t="shared" si="1"/>
        <v>108200.25</v>
      </c>
      <c r="O15" s="432">
        <v>0</v>
      </c>
      <c r="P15" s="434">
        <f t="shared" si="0"/>
        <v>108200.25</v>
      </c>
      <c r="Q15" s="303"/>
    </row>
    <row r="16" spans="1:17" ht="15">
      <c r="A16" s="304" t="s">
        <v>446</v>
      </c>
      <c r="B16" s="426">
        <v>0</v>
      </c>
      <c r="C16" s="426">
        <v>0</v>
      </c>
      <c r="D16" s="426">
        <v>0</v>
      </c>
      <c r="E16" s="426">
        <v>0</v>
      </c>
      <c r="F16" s="426">
        <v>1217.8866666666665</v>
      </c>
      <c r="G16" s="426">
        <v>0</v>
      </c>
      <c r="H16" s="426">
        <v>0</v>
      </c>
      <c r="I16" s="426">
        <v>0</v>
      </c>
      <c r="J16" s="426">
        <v>0</v>
      </c>
      <c r="K16" s="426">
        <v>33.37</v>
      </c>
      <c r="L16" s="427">
        <v>0</v>
      </c>
      <c r="M16" s="427">
        <v>0</v>
      </c>
      <c r="N16" s="431">
        <f t="shared" si="1"/>
        <v>1251.2566666666664</v>
      </c>
      <c r="O16" s="432">
        <v>0</v>
      </c>
      <c r="P16" s="434">
        <f t="shared" si="0"/>
        <v>1251.2566666666664</v>
      </c>
      <c r="Q16" s="303"/>
    </row>
    <row r="17" spans="1:17" ht="15">
      <c r="A17" s="305" t="s">
        <v>447</v>
      </c>
      <c r="B17" s="426">
        <v>1515277.7766666666</v>
      </c>
      <c r="C17" s="426">
        <v>1515277.7766666666</v>
      </c>
      <c r="D17" s="426">
        <v>1515277.7766666666</v>
      </c>
      <c r="E17" s="426">
        <v>1515277.7766666666</v>
      </c>
      <c r="F17" s="426">
        <v>1515277.7766666666</v>
      </c>
      <c r="G17" s="426">
        <v>1515277.7766666666</v>
      </c>
      <c r="H17" s="426">
        <v>1515277.7766666666</v>
      </c>
      <c r="I17" s="426">
        <v>1515277.7766666666</v>
      </c>
      <c r="J17" s="426">
        <v>1515277.7766666666</v>
      </c>
      <c r="K17" s="426">
        <v>1515277.7766666666</v>
      </c>
      <c r="L17" s="427">
        <v>1515277.7766666666</v>
      </c>
      <c r="M17" s="427">
        <v>1515277.7766666666</v>
      </c>
      <c r="N17" s="431">
        <f>SUM(B17:M17)</f>
        <v>18183333.320000004</v>
      </c>
      <c r="O17" s="432">
        <v>18183333.333333332</v>
      </c>
      <c r="P17" s="434">
        <f t="shared" si="0"/>
        <v>-0.013333328068256378</v>
      </c>
      <c r="Q17" s="306"/>
    </row>
    <row r="18" spans="1:17" ht="15">
      <c r="A18" s="305" t="s">
        <v>448</v>
      </c>
      <c r="B18" s="426">
        <v>44416.666666666664</v>
      </c>
      <c r="C18" s="426">
        <v>44416.666666666664</v>
      </c>
      <c r="D18" s="426">
        <v>44416.666666666664</v>
      </c>
      <c r="E18" s="426">
        <v>44416.666666666664</v>
      </c>
      <c r="F18" s="426">
        <v>44416.666666666664</v>
      </c>
      <c r="G18" s="426">
        <v>44416.666666666664</v>
      </c>
      <c r="H18" s="426">
        <v>44416.666666666664</v>
      </c>
      <c r="I18" s="426">
        <v>44416.666666666664</v>
      </c>
      <c r="J18" s="426">
        <v>44416.666666666664</v>
      </c>
      <c r="K18" s="426">
        <v>44416.666666666664</v>
      </c>
      <c r="L18" s="427">
        <v>44416.666666666664</v>
      </c>
      <c r="M18" s="427">
        <v>44416.666666666664</v>
      </c>
      <c r="N18" s="431">
        <f t="shared" si="1"/>
        <v>533000.0000000001</v>
      </c>
      <c r="O18" s="432">
        <v>533000</v>
      </c>
      <c r="P18" s="434">
        <f t="shared" si="0"/>
        <v>1.1641532182693481E-10</v>
      </c>
      <c r="Q18" s="306"/>
    </row>
    <row r="19" spans="1:17" ht="15">
      <c r="A19" s="305" t="s">
        <v>449</v>
      </c>
      <c r="B19" s="426">
        <v>31936.333333333332</v>
      </c>
      <c r="C19" s="426">
        <v>31936.333333333332</v>
      </c>
      <c r="D19" s="426">
        <v>31936.333333333332</v>
      </c>
      <c r="E19" s="426">
        <v>31936.333333333332</v>
      </c>
      <c r="F19" s="426">
        <v>31936.333333333332</v>
      </c>
      <c r="G19" s="426">
        <v>31936.333333333332</v>
      </c>
      <c r="H19" s="426">
        <v>31936.333333333332</v>
      </c>
      <c r="I19" s="426">
        <v>31936.333333333332</v>
      </c>
      <c r="J19" s="426">
        <v>31936.333333333332</v>
      </c>
      <c r="K19" s="426">
        <v>31936.333333333332</v>
      </c>
      <c r="L19" s="427">
        <v>31936.333333333332</v>
      </c>
      <c r="M19" s="427">
        <v>31936.333333333332</v>
      </c>
      <c r="N19" s="431">
        <f t="shared" si="1"/>
        <v>383235.99999999994</v>
      </c>
      <c r="O19" s="432">
        <v>383234.3333333333</v>
      </c>
      <c r="P19" s="434">
        <f t="shared" si="0"/>
        <v>1.6666666666278616</v>
      </c>
      <c r="Q19" s="306"/>
    </row>
    <row r="20" spans="1:17" ht="15">
      <c r="A20" s="305" t="s">
        <v>450</v>
      </c>
      <c r="B20" s="426">
        <v>0</v>
      </c>
      <c r="C20" s="426">
        <v>0</v>
      </c>
      <c r="D20" s="426">
        <v>0</v>
      </c>
      <c r="E20" s="426">
        <v>0</v>
      </c>
      <c r="F20" s="426">
        <v>0</v>
      </c>
      <c r="G20" s="426">
        <v>0</v>
      </c>
      <c r="H20" s="426">
        <v>0</v>
      </c>
      <c r="I20" s="426">
        <v>0</v>
      </c>
      <c r="J20" s="426">
        <v>0</v>
      </c>
      <c r="K20" s="426">
        <v>0</v>
      </c>
      <c r="L20" s="428">
        <v>0</v>
      </c>
      <c r="M20" s="428">
        <v>1160000</v>
      </c>
      <c r="N20" s="431">
        <f t="shared" si="1"/>
        <v>1160000</v>
      </c>
      <c r="O20" s="432">
        <v>1166666.6666666667</v>
      </c>
      <c r="P20" s="434">
        <f t="shared" si="0"/>
        <v>-6666.666666666744</v>
      </c>
      <c r="Q20" s="306"/>
    </row>
    <row r="21" spans="1:17" ht="15.75" thickBot="1">
      <c r="A21" s="307" t="s">
        <v>451</v>
      </c>
      <c r="B21" s="429">
        <f aca="true" t="shared" si="2" ref="B21:O21">SUM(B6:B20)</f>
        <v>1761799.6733333333</v>
      </c>
      <c r="C21" s="429">
        <f t="shared" si="2"/>
        <v>1690828.3233333332</v>
      </c>
      <c r="D21" s="429">
        <f t="shared" si="2"/>
        <v>1446784.4966666666</v>
      </c>
      <c r="E21" s="429">
        <f t="shared" si="2"/>
        <v>1574857.1733333333</v>
      </c>
      <c r="F21" s="429">
        <f t="shared" si="2"/>
        <v>1769704.4366666665</v>
      </c>
      <c r="G21" s="429">
        <f t="shared" si="2"/>
        <v>1954496.7433333332</v>
      </c>
      <c r="H21" s="429">
        <f t="shared" si="2"/>
        <v>1870297.1866666665</v>
      </c>
      <c r="I21" s="429">
        <f t="shared" si="2"/>
        <v>1668348.3466666667</v>
      </c>
      <c r="J21" s="429">
        <f t="shared" si="2"/>
        <v>1972809.5899999999</v>
      </c>
      <c r="K21" s="430">
        <f t="shared" si="2"/>
        <v>2345388.59</v>
      </c>
      <c r="L21" s="430">
        <f t="shared" si="2"/>
        <v>1944916.8933333333</v>
      </c>
      <c r="M21" s="430">
        <f t="shared" si="2"/>
        <v>2971130.7766666664</v>
      </c>
      <c r="N21" s="430">
        <f t="shared" si="2"/>
        <v>22971362.230000004</v>
      </c>
      <c r="O21" s="433">
        <f t="shared" si="2"/>
        <v>23450200.666666664</v>
      </c>
      <c r="P21" s="435">
        <f>SUM(P6:P20)</f>
        <v>-478838.43666666135</v>
      </c>
      <c r="Q21" s="47"/>
    </row>
    <row r="22" spans="1:17" ht="12" customHeight="1" thickTop="1">
      <c r="A22" s="30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09"/>
      <c r="M22" s="301"/>
      <c r="N22" s="442"/>
      <c r="O22" s="112"/>
      <c r="P22" s="302"/>
      <c r="Q22" s="47"/>
    </row>
    <row r="23" spans="1:17" ht="15">
      <c r="A23" s="296" t="s">
        <v>452</v>
      </c>
      <c r="B23" s="46"/>
      <c r="C23" s="310"/>
      <c r="D23" s="46"/>
      <c r="E23" s="46"/>
      <c r="F23" s="46"/>
      <c r="G23" s="46"/>
      <c r="H23" s="46"/>
      <c r="I23" s="46"/>
      <c r="J23" s="46"/>
      <c r="K23" s="46"/>
      <c r="L23" s="309"/>
      <c r="M23" s="301"/>
      <c r="N23" s="442"/>
      <c r="O23" s="112"/>
      <c r="P23" s="302"/>
      <c r="Q23" s="47"/>
    </row>
    <row r="24" spans="1:17" ht="15">
      <c r="A24" s="311" t="s">
        <v>453</v>
      </c>
      <c r="B24" s="426">
        <v>44436.72666666666</v>
      </c>
      <c r="C24" s="426">
        <v>44364.02</v>
      </c>
      <c r="D24" s="426">
        <v>44777.91</v>
      </c>
      <c r="E24" s="426">
        <v>46234.17</v>
      </c>
      <c r="F24" s="426">
        <v>44376.92</v>
      </c>
      <c r="G24" s="426">
        <v>46402.74333333334</v>
      </c>
      <c r="H24" s="426">
        <v>44377.68</v>
      </c>
      <c r="I24" s="426">
        <v>45577.486666666664</v>
      </c>
      <c r="J24" s="426">
        <v>44599.52</v>
      </c>
      <c r="K24" s="426">
        <v>46430.06</v>
      </c>
      <c r="L24" s="427">
        <v>45520.16</v>
      </c>
      <c r="M24" s="427">
        <v>45000</v>
      </c>
      <c r="N24" s="431">
        <f>SUM(B24:M24)</f>
        <v>542097.3966666666</v>
      </c>
      <c r="O24" s="432">
        <v>531900</v>
      </c>
      <c r="P24" s="434">
        <f>SUM(N24-O24)</f>
        <v>10197.39666666661</v>
      </c>
      <c r="Q24" s="47"/>
    </row>
    <row r="25" spans="1:17" ht="15">
      <c r="A25" s="311" t="s">
        <v>510</v>
      </c>
      <c r="B25" s="426">
        <v>1658322.173333333</v>
      </c>
      <c r="C25" s="426">
        <v>1490853.15</v>
      </c>
      <c r="D25" s="426">
        <v>1491098.7766666666</v>
      </c>
      <c r="E25" s="426">
        <v>1496697.16</v>
      </c>
      <c r="F25" s="426">
        <v>1175037.6466666667</v>
      </c>
      <c r="G25" s="426">
        <v>1385915.47</v>
      </c>
      <c r="H25" s="426">
        <v>1623336.6666666667</v>
      </c>
      <c r="I25" s="426">
        <v>1376517.7766666666</v>
      </c>
      <c r="J25" s="426">
        <v>1448881.69</v>
      </c>
      <c r="K25" s="426">
        <v>1633439.75</v>
      </c>
      <c r="L25" s="427">
        <v>1389107.4933333334</v>
      </c>
      <c r="M25" s="427">
        <v>1500000</v>
      </c>
      <c r="N25" s="431">
        <f>SUM(B25:M25)</f>
        <v>17669207.753333334</v>
      </c>
      <c r="O25" s="432">
        <v>17439084</v>
      </c>
      <c r="P25" s="434">
        <f>SUM(N25-O25)</f>
        <v>230123.75333333388</v>
      </c>
      <c r="Q25" s="47"/>
    </row>
    <row r="26" spans="1:17" ht="15">
      <c r="A26" s="311" t="s">
        <v>454</v>
      </c>
      <c r="B26" s="426">
        <v>76917.33333333333</v>
      </c>
      <c r="C26" s="426">
        <v>76917.33333333333</v>
      </c>
      <c r="D26" s="426">
        <v>78261.34</v>
      </c>
      <c r="E26" s="426">
        <v>159040.55666666667</v>
      </c>
      <c r="F26" s="426">
        <v>0</v>
      </c>
      <c r="G26" s="426">
        <v>71912.81333333334</v>
      </c>
      <c r="H26" s="426">
        <v>78158.71333333333</v>
      </c>
      <c r="I26" s="426">
        <v>81833.75</v>
      </c>
      <c r="J26" s="426">
        <v>80274.3</v>
      </c>
      <c r="K26" s="426">
        <v>120022.26666666665</v>
      </c>
      <c r="L26" s="427">
        <v>81998.55</v>
      </c>
      <c r="M26" s="427">
        <v>81666.66666666667</v>
      </c>
      <c r="N26" s="431">
        <f>SUM(B26:M26)</f>
        <v>987003.6233333334</v>
      </c>
      <c r="O26" s="432">
        <v>990933.3333333334</v>
      </c>
      <c r="P26" s="434">
        <f>SUM(N26-O26)</f>
        <v>-3929.7099999999627</v>
      </c>
      <c r="Q26" s="47"/>
    </row>
    <row r="27" spans="1:17" ht="15">
      <c r="A27" s="311" t="s">
        <v>509</v>
      </c>
      <c r="B27" s="426">
        <v>176463.27</v>
      </c>
      <c r="C27" s="426">
        <v>177541.56333333332</v>
      </c>
      <c r="D27" s="426">
        <v>305906.2033333333</v>
      </c>
      <c r="E27" s="426">
        <v>168161.8</v>
      </c>
      <c r="F27" s="426">
        <v>155601.27666666667</v>
      </c>
      <c r="G27" s="426">
        <v>164788.1</v>
      </c>
      <c r="H27" s="426">
        <v>275731.57</v>
      </c>
      <c r="I27" s="426">
        <v>281255.91333333333</v>
      </c>
      <c r="J27" s="426">
        <v>255295.92333333334</v>
      </c>
      <c r="K27" s="426">
        <v>376931.6866666667</v>
      </c>
      <c r="L27" s="427">
        <v>226033.82666666666</v>
      </c>
      <c r="M27" s="427">
        <v>240666.66666666666</v>
      </c>
      <c r="N27" s="431">
        <f>SUM(B27:M27)</f>
        <v>2804377.8</v>
      </c>
      <c r="O27" s="432">
        <v>2584233.3333333335</v>
      </c>
      <c r="P27" s="434">
        <f>SUM(N27-O27)</f>
        <v>220144.46666666633</v>
      </c>
      <c r="Q27" s="47"/>
    </row>
    <row r="28" spans="1:17" ht="15">
      <c r="A28" s="311"/>
      <c r="B28" s="46"/>
      <c r="C28" s="46"/>
      <c r="D28" s="46"/>
      <c r="E28" s="46"/>
      <c r="F28" s="46"/>
      <c r="G28" s="46"/>
      <c r="H28" s="46"/>
      <c r="I28" s="46"/>
      <c r="J28" s="309"/>
      <c r="K28" s="309"/>
      <c r="L28" s="309"/>
      <c r="M28" s="301"/>
      <c r="N28" s="323"/>
      <c r="O28" s="294"/>
      <c r="P28" s="302"/>
      <c r="Q28" s="47"/>
    </row>
    <row r="29" spans="1:17" ht="15">
      <c r="A29" s="311" t="s">
        <v>455</v>
      </c>
      <c r="B29" s="439">
        <f>SUM(B24:B28)</f>
        <v>1956139.503333333</v>
      </c>
      <c r="C29" s="439">
        <f aca="true" t="shared" si="3" ref="C29:J29">SUM(C24:C28)</f>
        <v>1789676.0666666664</v>
      </c>
      <c r="D29" s="439">
        <f t="shared" si="3"/>
        <v>1920044.23</v>
      </c>
      <c r="E29" s="439">
        <f t="shared" si="3"/>
        <v>1870133.6866666665</v>
      </c>
      <c r="F29" s="439">
        <f t="shared" si="3"/>
        <v>1375015.8433333333</v>
      </c>
      <c r="G29" s="439">
        <f t="shared" si="3"/>
        <v>1669019.1266666667</v>
      </c>
      <c r="H29" s="439">
        <f t="shared" si="3"/>
        <v>2021604.6300000001</v>
      </c>
      <c r="I29" s="439">
        <f t="shared" si="3"/>
        <v>1785184.9266666665</v>
      </c>
      <c r="J29" s="439">
        <f t="shared" si="3"/>
        <v>1829051.4333333333</v>
      </c>
      <c r="K29" s="440">
        <f>SUM(K24:K28)</f>
        <v>2176823.763333333</v>
      </c>
      <c r="L29" s="440">
        <f>SUM(L24:L28)</f>
        <v>1742660.03</v>
      </c>
      <c r="M29" s="440">
        <f>SUM(M24:M28)</f>
        <v>1867333.3333333335</v>
      </c>
      <c r="N29" s="440">
        <f>SUM(N24:N28)</f>
        <v>22002686.573333338</v>
      </c>
      <c r="O29" s="441">
        <f>SUM(O24:O28)</f>
        <v>21546150.666666664</v>
      </c>
      <c r="P29" s="434">
        <f>SUM(N29-O29)</f>
        <v>456535.9066666737</v>
      </c>
      <c r="Q29" s="311"/>
    </row>
    <row r="30" spans="1:17" ht="15">
      <c r="A30" s="311"/>
      <c r="B30" s="312"/>
      <c r="C30" s="312"/>
      <c r="D30" s="312"/>
      <c r="E30" s="312"/>
      <c r="F30" s="314"/>
      <c r="G30" s="314"/>
      <c r="H30" s="314"/>
      <c r="I30" s="314"/>
      <c r="J30" s="314"/>
      <c r="K30" s="315"/>
      <c r="L30" s="315"/>
      <c r="M30" s="313"/>
      <c r="N30" s="443"/>
      <c r="O30" s="294"/>
      <c r="P30" s="302"/>
      <c r="Q30" s="311"/>
    </row>
    <row r="31" spans="1:17" ht="15">
      <c r="A31" s="311" t="s">
        <v>456</v>
      </c>
      <c r="B31" s="426">
        <v>20</v>
      </c>
      <c r="C31" s="426">
        <v>15</v>
      </c>
      <c r="D31" s="426">
        <v>5</v>
      </c>
      <c r="E31" s="426">
        <v>25</v>
      </c>
      <c r="F31" s="426">
        <v>5</v>
      </c>
      <c r="G31" s="426">
        <v>50</v>
      </c>
      <c r="H31" s="426">
        <v>60</v>
      </c>
      <c r="I31" s="426">
        <v>40</v>
      </c>
      <c r="J31" s="426">
        <v>10</v>
      </c>
      <c r="K31" s="426">
        <v>30</v>
      </c>
      <c r="L31" s="427">
        <v>45</v>
      </c>
      <c r="M31" s="427">
        <v>66.66666666666667</v>
      </c>
      <c r="N31" s="431">
        <f>SUM(B31:M31)</f>
        <v>371.6666666666667</v>
      </c>
      <c r="O31" s="432">
        <v>1666.6666666666667</v>
      </c>
      <c r="P31" s="434">
        <f>SUM(N31-O31)</f>
        <v>-1295</v>
      </c>
      <c r="Q31" s="47"/>
    </row>
    <row r="32" spans="1:17" ht="15">
      <c r="A32" s="311" t="s">
        <v>457</v>
      </c>
      <c r="B32" s="426">
        <v>5652.453333333334</v>
      </c>
      <c r="C32" s="426">
        <v>124.47666666666667</v>
      </c>
      <c r="D32" s="426">
        <v>93.71</v>
      </c>
      <c r="E32" s="426">
        <v>7305.616666666666</v>
      </c>
      <c r="F32" s="426">
        <v>-112.68</v>
      </c>
      <c r="G32" s="426">
        <v>130.78666666666666</v>
      </c>
      <c r="H32" s="426">
        <v>6088.713333333333</v>
      </c>
      <c r="I32" s="426">
        <v>1.3066666666666666</v>
      </c>
      <c r="J32" s="426">
        <v>31.483333333333334</v>
      </c>
      <c r="K32" s="426">
        <v>3283.83</v>
      </c>
      <c r="L32" s="427">
        <v>723.26</v>
      </c>
      <c r="M32" s="427">
        <v>1000</v>
      </c>
      <c r="N32" s="431">
        <f>SUM(B32:M32)</f>
        <v>24322.95666666667</v>
      </c>
      <c r="O32" s="432">
        <v>41666.666666666664</v>
      </c>
      <c r="P32" s="434">
        <f>SUM(N32-O32)</f>
        <v>-17343.709999999995</v>
      </c>
      <c r="Q32" s="47"/>
    </row>
    <row r="33" spans="1:17" ht="15">
      <c r="A33" s="311" t="s">
        <v>458</v>
      </c>
      <c r="B33" s="426">
        <v>20466.666666666668</v>
      </c>
      <c r="C33" s="426">
        <v>0</v>
      </c>
      <c r="D33" s="426">
        <v>3027.7766666666666</v>
      </c>
      <c r="E33" s="426">
        <v>12994.443333333335</v>
      </c>
      <c r="F33" s="426">
        <v>6002.166666666667</v>
      </c>
      <c r="G33" s="426">
        <v>4722.22</v>
      </c>
      <c r="H33" s="426">
        <v>4647.666666666667</v>
      </c>
      <c r="I33" s="426">
        <v>2361</v>
      </c>
      <c r="J33" s="426">
        <v>2361</v>
      </c>
      <c r="K33" s="426">
        <v>18675.72</v>
      </c>
      <c r="L33" s="427">
        <v>0</v>
      </c>
      <c r="M33" s="427">
        <v>8333.333333333334</v>
      </c>
      <c r="N33" s="431">
        <f>SUM(B33:M33)</f>
        <v>83591.99333333333</v>
      </c>
      <c r="O33" s="432">
        <v>90000</v>
      </c>
      <c r="P33" s="434">
        <f>SUM(N33-O33)</f>
        <v>-6408.006666666668</v>
      </c>
      <c r="Q33" s="47"/>
    </row>
    <row r="34" spans="1:17" ht="15">
      <c r="A34" s="311" t="s">
        <v>459</v>
      </c>
      <c r="B34" s="426">
        <v>0</v>
      </c>
      <c r="C34" s="426">
        <v>0</v>
      </c>
      <c r="D34" s="426">
        <v>0</v>
      </c>
      <c r="E34" s="426">
        <v>0</v>
      </c>
      <c r="F34" s="426">
        <v>0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7">
        <v>0</v>
      </c>
      <c r="M34" s="427">
        <v>100000</v>
      </c>
      <c r="N34" s="431">
        <f>SUM(B34:M34)</f>
        <v>100000</v>
      </c>
      <c r="O34" s="432">
        <v>150000</v>
      </c>
      <c r="P34" s="434">
        <f>SUM(N34-O34)</f>
        <v>-50000</v>
      </c>
      <c r="Q34" s="112"/>
    </row>
    <row r="35" spans="1:17" ht="15">
      <c r="A35" s="311" t="s">
        <v>460</v>
      </c>
      <c r="B35" s="426">
        <v>0</v>
      </c>
      <c r="C35" s="426">
        <v>0</v>
      </c>
      <c r="D35" s="426">
        <v>488512.5</v>
      </c>
      <c r="E35" s="426">
        <v>0</v>
      </c>
      <c r="F35" s="426">
        <v>0</v>
      </c>
      <c r="G35" s="426">
        <v>488512.6666666667</v>
      </c>
      <c r="H35" s="426">
        <v>0</v>
      </c>
      <c r="I35" s="426">
        <v>0</v>
      </c>
      <c r="J35" s="426">
        <v>488512.5</v>
      </c>
      <c r="K35" s="426">
        <v>0</v>
      </c>
      <c r="L35" s="427">
        <v>0</v>
      </c>
      <c r="M35" s="427">
        <v>155178.83333333334</v>
      </c>
      <c r="N35" s="431">
        <f>SUM(B35:M35)</f>
        <v>1620716.5</v>
      </c>
      <c r="O35" s="432">
        <v>1620716.6666666667</v>
      </c>
      <c r="P35" s="434">
        <f>SUM(N35-O35)</f>
        <v>-0.16666666674427688</v>
      </c>
      <c r="Q35" s="112"/>
    </row>
    <row r="36" spans="1:17" ht="15.75" thickBot="1">
      <c r="A36" s="307" t="s">
        <v>17</v>
      </c>
      <c r="B36" s="429">
        <f aca="true" t="shared" si="4" ref="B36:N36">SUM(B29:B35)</f>
        <v>1982278.623333333</v>
      </c>
      <c r="C36" s="429">
        <f t="shared" si="4"/>
        <v>1789815.543333333</v>
      </c>
      <c r="D36" s="429">
        <f t="shared" si="4"/>
        <v>2411683.216666667</v>
      </c>
      <c r="E36" s="429">
        <f t="shared" si="4"/>
        <v>1890458.7466666666</v>
      </c>
      <c r="F36" s="429">
        <f t="shared" si="4"/>
        <v>1380910.33</v>
      </c>
      <c r="G36" s="429">
        <f t="shared" si="4"/>
        <v>2162434.8</v>
      </c>
      <c r="H36" s="429">
        <f t="shared" si="4"/>
        <v>2032401.0100000002</v>
      </c>
      <c r="I36" s="429">
        <f t="shared" si="4"/>
        <v>1787587.2333333332</v>
      </c>
      <c r="J36" s="429">
        <f t="shared" si="4"/>
        <v>2319966.416666667</v>
      </c>
      <c r="K36" s="430">
        <f t="shared" si="4"/>
        <v>2198813.3133333335</v>
      </c>
      <c r="L36" s="430">
        <f t="shared" si="4"/>
        <v>1743428.29</v>
      </c>
      <c r="M36" s="430">
        <f t="shared" si="4"/>
        <v>2131912.166666667</v>
      </c>
      <c r="N36" s="430">
        <f t="shared" si="4"/>
        <v>23831689.690000005</v>
      </c>
      <c r="O36" s="429">
        <f>SUM(O29:O35)</f>
        <v>23450200.666666668</v>
      </c>
      <c r="P36" s="429">
        <f>SUM(P29:P35)</f>
        <v>381489.0233333403</v>
      </c>
      <c r="Q36" s="47"/>
    </row>
    <row r="37" spans="1:17" ht="17.25" thickBot="1" thickTop="1">
      <c r="A37" s="307"/>
      <c r="B37" s="316"/>
      <c r="C37" s="316"/>
      <c r="D37" s="316"/>
      <c r="E37" s="316"/>
      <c r="F37" s="316"/>
      <c r="G37" s="316"/>
      <c r="H37" s="316"/>
      <c r="I37" s="316"/>
      <c r="J37" s="316"/>
      <c r="K37" s="317"/>
      <c r="L37" s="317"/>
      <c r="M37" s="167" t="s">
        <v>31</v>
      </c>
      <c r="N37" s="444">
        <f>N21-N36</f>
        <v>-860327.4600000009</v>
      </c>
      <c r="O37" s="323"/>
      <c r="P37" s="444">
        <f>P21-P36</f>
        <v>-860327.4600000016</v>
      </c>
      <c r="Q37" s="47"/>
    </row>
    <row r="38" spans="1:17" ht="15.75" thickBot="1">
      <c r="A38" s="436" t="s">
        <v>461</v>
      </c>
      <c r="B38" s="446" t="s">
        <v>462</v>
      </c>
      <c r="C38" s="446" t="s">
        <v>463</v>
      </c>
      <c r="D38" s="446" t="s">
        <v>435</v>
      </c>
      <c r="E38" s="316"/>
      <c r="F38" s="316"/>
      <c r="G38" s="316"/>
      <c r="H38" s="316"/>
      <c r="I38" s="316"/>
      <c r="J38" s="316" t="s">
        <v>464</v>
      </c>
      <c r="K38" s="316"/>
      <c r="L38" s="316"/>
      <c r="M38" s="317"/>
      <c r="N38" s="318">
        <v>4201333</v>
      </c>
      <c r="O38" s="316"/>
      <c r="P38" s="316"/>
      <c r="Q38" s="47"/>
    </row>
    <row r="39" spans="1:17" ht="15">
      <c r="A39" s="447" t="s">
        <v>436</v>
      </c>
      <c r="B39" s="319"/>
      <c r="C39" s="319"/>
      <c r="D39" s="319"/>
      <c r="E39" s="316"/>
      <c r="F39" s="316"/>
      <c r="G39" s="316"/>
      <c r="H39" s="316"/>
      <c r="I39" s="316"/>
      <c r="J39" s="317" t="s">
        <v>465</v>
      </c>
      <c r="K39" s="317"/>
      <c r="L39" s="317"/>
      <c r="M39" s="317"/>
      <c r="N39" s="445">
        <f>SUM(N37:N38)</f>
        <v>3341005.539999999</v>
      </c>
      <c r="O39" s="316"/>
      <c r="P39" s="316"/>
      <c r="Q39" s="47"/>
    </row>
    <row r="40" spans="1:17" ht="15">
      <c r="A40" s="448" t="s">
        <v>499</v>
      </c>
      <c r="B40" s="452">
        <v>540246.6666666666</v>
      </c>
      <c r="C40" s="452">
        <v>520226.6666666667</v>
      </c>
      <c r="D40" s="455">
        <f>N6</f>
        <v>547579.9999999999</v>
      </c>
      <c r="E40" s="316"/>
      <c r="F40" s="316"/>
      <c r="G40" s="316"/>
      <c r="H40" s="316"/>
      <c r="I40" s="316"/>
      <c r="J40" s="316"/>
      <c r="K40" s="317"/>
      <c r="L40" s="317"/>
      <c r="M40" s="317"/>
      <c r="N40" s="321"/>
      <c r="O40" s="316"/>
      <c r="P40" s="316"/>
      <c r="Q40" s="47"/>
    </row>
    <row r="41" spans="1:17" ht="15">
      <c r="A41" s="448" t="s">
        <v>437</v>
      </c>
      <c r="B41" s="452">
        <v>230330.33333333334</v>
      </c>
      <c r="C41" s="452">
        <v>220378.66666666666</v>
      </c>
      <c r="D41" s="455">
        <f aca="true" t="shared" si="5" ref="D41:D54">N7</f>
        <v>199816.66999999998</v>
      </c>
      <c r="E41" s="316"/>
      <c r="F41" s="316"/>
      <c r="G41" s="316"/>
      <c r="H41" s="316"/>
      <c r="I41" s="316"/>
      <c r="J41" s="316"/>
      <c r="K41" s="317"/>
      <c r="L41" s="317"/>
      <c r="M41" s="317"/>
      <c r="N41" s="321"/>
      <c r="O41" s="316"/>
      <c r="P41" s="316"/>
      <c r="Q41" s="47"/>
    </row>
    <row r="42" spans="1:17" ht="15">
      <c r="A42" s="449" t="s">
        <v>438</v>
      </c>
      <c r="B42" s="452">
        <v>186570.33333333334</v>
      </c>
      <c r="C42" s="452">
        <v>-100819</v>
      </c>
      <c r="D42" s="455">
        <f t="shared" si="5"/>
        <v>-686983.3999999998</v>
      </c>
      <c r="E42" s="316"/>
      <c r="F42" s="316"/>
      <c r="G42" s="316"/>
      <c r="H42" s="316"/>
      <c r="I42" s="316"/>
      <c r="J42" s="316"/>
      <c r="K42" s="317"/>
      <c r="L42" s="317"/>
      <c r="M42" s="317"/>
      <c r="N42" s="321"/>
      <c r="O42" s="316"/>
      <c r="P42" s="316"/>
      <c r="Q42" s="47"/>
    </row>
    <row r="43" spans="1:17" ht="15">
      <c r="A43" s="449" t="s">
        <v>439</v>
      </c>
      <c r="B43" s="452">
        <v>821642</v>
      </c>
      <c r="C43" s="452">
        <v>882784</v>
      </c>
      <c r="D43" s="455">
        <f t="shared" si="5"/>
        <v>913510.5166666667</v>
      </c>
      <c r="E43" s="316"/>
      <c r="F43" s="538"/>
      <c r="G43" s="539"/>
      <c r="H43" s="539"/>
      <c r="I43" s="540"/>
      <c r="J43" s="316"/>
      <c r="K43" s="316"/>
      <c r="L43" s="316"/>
      <c r="M43" s="47"/>
      <c r="N43" s="322"/>
      <c r="O43" s="316"/>
      <c r="P43" s="316"/>
      <c r="Q43" s="47"/>
    </row>
    <row r="44" spans="1:17" ht="15.75">
      <c r="A44" s="449" t="s">
        <v>440</v>
      </c>
      <c r="B44" s="452">
        <v>1066767</v>
      </c>
      <c r="C44" s="452">
        <v>1158060</v>
      </c>
      <c r="D44" s="455">
        <f t="shared" si="5"/>
        <v>1146940.1199999999</v>
      </c>
      <c r="E44" s="316"/>
      <c r="F44" s="519" t="s">
        <v>552</v>
      </c>
      <c r="G44" s="21"/>
      <c r="H44" s="521"/>
      <c r="I44" s="529"/>
      <c r="J44" s="7"/>
      <c r="K44" s="316"/>
      <c r="L44" s="316"/>
      <c r="M44" s="167"/>
      <c r="N44" s="323"/>
      <c r="O44" s="316"/>
      <c r="P44" s="316"/>
      <c r="Q44" s="47"/>
    </row>
    <row r="45" spans="1:17" ht="15.75">
      <c r="A45" s="449" t="s">
        <v>441</v>
      </c>
      <c r="B45" s="452">
        <v>120594.66666666667</v>
      </c>
      <c r="C45" s="452">
        <v>144285.33333333334</v>
      </c>
      <c r="D45" s="455">
        <f t="shared" si="5"/>
        <v>160701.99</v>
      </c>
      <c r="E45" s="316"/>
      <c r="F45" s="475"/>
      <c r="G45" s="21"/>
      <c r="H45" s="521"/>
      <c r="I45" s="529"/>
      <c r="J45" s="7"/>
      <c r="K45" s="316"/>
      <c r="L45" s="316"/>
      <c r="M45" s="167"/>
      <c r="N45" s="323"/>
      <c r="O45" s="316"/>
      <c r="P45" s="316"/>
      <c r="Q45" s="47"/>
    </row>
    <row r="46" spans="1:17" ht="36">
      <c r="A46" s="449" t="s">
        <v>442</v>
      </c>
      <c r="B46" s="452">
        <v>53017.666666666664</v>
      </c>
      <c r="C46" s="452">
        <v>60623.666666666664</v>
      </c>
      <c r="D46" s="455">
        <f t="shared" si="5"/>
        <v>38064.79666666666</v>
      </c>
      <c r="E46" s="316"/>
      <c r="F46" s="513" t="s">
        <v>553</v>
      </c>
      <c r="G46" s="515" t="s">
        <v>554</v>
      </c>
      <c r="H46" s="516" t="s">
        <v>555</v>
      </c>
      <c r="I46" s="517" t="s">
        <v>556</v>
      </c>
      <c r="J46" s="7"/>
      <c r="K46" s="316"/>
      <c r="L46" s="316"/>
      <c r="M46" s="167"/>
      <c r="N46" s="323"/>
      <c r="O46" s="316"/>
      <c r="P46" s="316"/>
      <c r="Q46" s="47"/>
    </row>
    <row r="47" spans="1:17" ht="15.75">
      <c r="A47" s="449" t="s">
        <v>443</v>
      </c>
      <c r="B47" s="452">
        <v>58226.666666666664</v>
      </c>
      <c r="C47" s="452">
        <v>69596</v>
      </c>
      <c r="D47" s="455">
        <f t="shared" si="5"/>
        <v>72506.11333333333</v>
      </c>
      <c r="E47" s="316"/>
      <c r="F47" s="41"/>
      <c r="G47" s="514"/>
      <c r="H47" s="21"/>
      <c r="I47" s="521"/>
      <c r="J47" s="521"/>
      <c r="K47" s="316"/>
      <c r="L47" s="316"/>
      <c r="M47" s="167"/>
      <c r="N47" s="323"/>
      <c r="O47" s="316"/>
      <c r="P47" s="316"/>
      <c r="Q47" s="47"/>
    </row>
    <row r="48" spans="1:17" ht="15.75">
      <c r="A48" s="450" t="s">
        <v>444</v>
      </c>
      <c r="B48" s="452">
        <v>0</v>
      </c>
      <c r="C48" s="452">
        <v>170989</v>
      </c>
      <c r="D48" s="455">
        <f t="shared" si="5"/>
        <v>210204.59666666668</v>
      </c>
      <c r="E48" s="316"/>
      <c r="F48" s="41"/>
      <c r="G48" s="7"/>
      <c r="H48" s="21"/>
      <c r="I48" s="521"/>
      <c r="J48" s="521"/>
      <c r="K48" s="316"/>
      <c r="L48" s="316"/>
      <c r="M48" s="167"/>
      <c r="N48" s="323"/>
      <c r="O48" s="316"/>
      <c r="P48" s="316"/>
      <c r="Q48" s="47"/>
    </row>
    <row r="49" spans="1:17" ht="15.75">
      <c r="A49" s="449" t="s">
        <v>132</v>
      </c>
      <c r="B49" s="452">
        <v>2337.3333333333335</v>
      </c>
      <c r="C49" s="452">
        <v>268665</v>
      </c>
      <c r="D49" s="455">
        <f t="shared" si="5"/>
        <v>108200.25</v>
      </c>
      <c r="E49" s="316"/>
      <c r="F49" s="41"/>
      <c r="G49" s="514"/>
      <c r="H49" s="21"/>
      <c r="I49" s="521"/>
      <c r="J49" s="521"/>
      <c r="K49" s="316"/>
      <c r="L49" s="316"/>
      <c r="M49" s="167"/>
      <c r="N49" s="323"/>
      <c r="O49" s="316"/>
      <c r="P49" s="316"/>
      <c r="Q49" s="47"/>
    </row>
    <row r="50" spans="1:17" ht="15.75">
      <c r="A50" s="449" t="s">
        <v>446</v>
      </c>
      <c r="B50" s="452">
        <v>0</v>
      </c>
      <c r="C50" s="452">
        <v>13229.333333333334</v>
      </c>
      <c r="D50" s="455">
        <f t="shared" si="5"/>
        <v>1251.2566666666664</v>
      </c>
      <c r="E50" s="316"/>
      <c r="F50" s="41"/>
      <c r="G50" s="7"/>
      <c r="H50" s="21"/>
      <c r="I50" s="521"/>
      <c r="J50" s="521"/>
      <c r="K50" s="316"/>
      <c r="L50" s="316"/>
      <c r="M50" s="167"/>
      <c r="N50" s="323"/>
      <c r="O50" s="316"/>
      <c r="P50" s="316"/>
      <c r="Q50" s="47"/>
    </row>
    <row r="51" spans="1:17" ht="15.75">
      <c r="A51" s="450" t="s">
        <v>447</v>
      </c>
      <c r="B51" s="452">
        <v>15825333.666666666</v>
      </c>
      <c r="C51" s="452">
        <v>17780022</v>
      </c>
      <c r="D51" s="455">
        <f t="shared" si="5"/>
        <v>18183333.320000004</v>
      </c>
      <c r="E51" s="316"/>
      <c r="F51" s="41"/>
      <c r="G51" s="536"/>
      <c r="H51" s="21"/>
      <c r="I51" s="521"/>
      <c r="J51" s="521"/>
      <c r="K51" s="316"/>
      <c r="L51" s="316"/>
      <c r="M51" s="167"/>
      <c r="N51" s="323"/>
      <c r="O51" s="316"/>
      <c r="P51" s="316"/>
      <c r="Q51" s="47"/>
    </row>
    <row r="52" spans="1:17" ht="17.25" customHeight="1">
      <c r="A52" s="450" t="s">
        <v>448</v>
      </c>
      <c r="B52" s="452">
        <v>362181</v>
      </c>
      <c r="C52" s="452">
        <v>412723.3333333333</v>
      </c>
      <c r="D52" s="455">
        <f t="shared" si="5"/>
        <v>533000.0000000001</v>
      </c>
      <c r="E52" s="316"/>
      <c r="F52" s="41"/>
      <c r="G52" s="7"/>
      <c r="H52" s="21"/>
      <c r="I52" s="521"/>
      <c r="J52" s="521"/>
      <c r="K52" s="316" t="s">
        <v>551</v>
      </c>
      <c r="L52" s="316"/>
      <c r="M52" s="167"/>
      <c r="N52" s="323"/>
      <c r="O52" s="316"/>
      <c r="P52" s="316"/>
      <c r="Q52" s="47"/>
    </row>
    <row r="53" spans="1:17" ht="15.75">
      <c r="A53" s="450" t="s">
        <v>449</v>
      </c>
      <c r="B53" s="452">
        <v>324585.6666666667</v>
      </c>
      <c r="C53" s="452">
        <v>396590.3333333333</v>
      </c>
      <c r="D53" s="455">
        <f t="shared" si="5"/>
        <v>383235.99999999994</v>
      </c>
      <c r="E53" s="316"/>
      <c r="F53" s="531"/>
      <c r="G53" s="79"/>
      <c r="H53" s="21"/>
      <c r="I53" s="532"/>
      <c r="J53" s="532"/>
      <c r="K53" s="316"/>
      <c r="L53" s="316"/>
      <c r="M53" s="167"/>
      <c r="N53" s="323"/>
      <c r="O53" s="316"/>
      <c r="P53" s="316"/>
      <c r="Q53" s="47"/>
    </row>
    <row r="54" spans="1:17" ht="16.5" thickBot="1">
      <c r="A54" s="451" t="s">
        <v>450</v>
      </c>
      <c r="B54" s="453">
        <v>0</v>
      </c>
      <c r="C54" s="453">
        <v>0</v>
      </c>
      <c r="D54" s="463">
        <f t="shared" si="5"/>
        <v>1160000</v>
      </c>
      <c r="E54" s="46"/>
      <c r="F54" s="47"/>
      <c r="G54" s="316"/>
      <c r="H54" s="316"/>
      <c r="I54" s="316"/>
      <c r="J54" s="316"/>
      <c r="K54" s="316"/>
      <c r="L54" s="316"/>
      <c r="M54" s="167"/>
      <c r="N54" s="323"/>
      <c r="O54" s="316"/>
      <c r="P54" s="316"/>
      <c r="Q54" s="47"/>
    </row>
    <row r="55" spans="1:17" ht="16.5" thickBot="1">
      <c r="A55" s="307" t="s">
        <v>451</v>
      </c>
      <c r="B55" s="454">
        <f>SUM(B40:B54)</f>
        <v>19591833</v>
      </c>
      <c r="C55" s="454">
        <f>SUM(C40:C54)</f>
        <v>21997354.333333332</v>
      </c>
      <c r="D55" s="456">
        <f>SUM(D40:D54)</f>
        <v>22971362.230000004</v>
      </c>
      <c r="E55" s="46"/>
      <c r="F55" s="47"/>
      <c r="G55" s="316"/>
      <c r="H55" s="47"/>
      <c r="I55" s="316"/>
      <c r="J55" s="316"/>
      <c r="K55" s="316"/>
      <c r="L55" s="316"/>
      <c r="M55" s="167"/>
      <c r="N55" s="323"/>
      <c r="O55" s="316"/>
      <c r="P55" s="316"/>
      <c r="Q55" s="47"/>
    </row>
    <row r="56" spans="1:17" ht="3.75" customHeight="1">
      <c r="A56" s="324"/>
      <c r="B56" s="325"/>
      <c r="C56" s="326"/>
      <c r="D56" s="457"/>
      <c r="E56" s="46"/>
      <c r="F56" s="47"/>
      <c r="G56" s="316"/>
      <c r="H56" s="47"/>
      <c r="I56" s="316"/>
      <c r="J56" s="316"/>
      <c r="K56" s="316"/>
      <c r="L56" s="316"/>
      <c r="M56" s="167"/>
      <c r="N56" s="323"/>
      <c r="O56" s="316"/>
      <c r="P56" s="316"/>
      <c r="Q56" s="47"/>
    </row>
    <row r="57" spans="1:17" ht="15.75">
      <c r="A57" s="327" t="s">
        <v>452</v>
      </c>
      <c r="B57" s="328"/>
      <c r="C57" s="329"/>
      <c r="D57" s="458"/>
      <c r="E57" s="46"/>
      <c r="F57" s="47"/>
      <c r="G57" s="316"/>
      <c r="H57" s="47"/>
      <c r="I57" s="316"/>
      <c r="J57" s="316"/>
      <c r="K57" s="316"/>
      <c r="L57" s="316"/>
      <c r="M57" s="167"/>
      <c r="N57" s="323"/>
      <c r="O57" s="316"/>
      <c r="P57" s="316"/>
      <c r="Q57" s="47"/>
    </row>
    <row r="58" spans="1:17" ht="15.75">
      <c r="A58" s="330" t="s">
        <v>453</v>
      </c>
      <c r="B58" s="452">
        <v>517827.6666666667</v>
      </c>
      <c r="C58" s="432">
        <v>544941.3333333334</v>
      </c>
      <c r="D58" s="455">
        <f>N24</f>
        <v>542097.3966666666</v>
      </c>
      <c r="E58" s="46"/>
      <c r="F58" s="47"/>
      <c r="G58" s="316"/>
      <c r="H58" s="316"/>
      <c r="I58" s="316"/>
      <c r="J58" s="316"/>
      <c r="K58" s="316"/>
      <c r="L58" s="316"/>
      <c r="M58" s="167"/>
      <c r="N58" s="323"/>
      <c r="O58" s="316"/>
      <c r="P58" s="316"/>
      <c r="Q58" s="47"/>
    </row>
    <row r="59" spans="1:17" ht="15.75">
      <c r="A59" s="330" t="s">
        <v>510</v>
      </c>
      <c r="B59" s="452">
        <v>15229807.666666666</v>
      </c>
      <c r="C59" s="432">
        <v>15943907.666666666</v>
      </c>
      <c r="D59" s="455">
        <f>N25</f>
        <v>17669207.753333334</v>
      </c>
      <c r="E59" s="46"/>
      <c r="F59" s="47"/>
      <c r="G59" s="316"/>
      <c r="H59" s="316"/>
      <c r="I59" s="316"/>
      <c r="J59" s="316"/>
      <c r="K59" s="316"/>
      <c r="L59" s="316"/>
      <c r="M59" s="167"/>
      <c r="N59" s="323"/>
      <c r="O59" s="316"/>
      <c r="P59" s="316"/>
      <c r="Q59" s="47"/>
    </row>
    <row r="60" spans="1:17" ht="15.75">
      <c r="A60" s="330" t="s">
        <v>454</v>
      </c>
      <c r="B60" s="452">
        <v>923460.3333333334</v>
      </c>
      <c r="C60" s="432">
        <v>924433.3333333334</v>
      </c>
      <c r="D60" s="455">
        <f>N26</f>
        <v>987003.6233333334</v>
      </c>
      <c r="E60" s="46"/>
      <c r="F60" s="47"/>
      <c r="G60" s="316"/>
      <c r="H60" s="316"/>
      <c r="I60" s="316"/>
      <c r="J60" s="316"/>
      <c r="K60" s="316"/>
      <c r="L60" s="316"/>
      <c r="M60" s="167"/>
      <c r="N60" s="323"/>
      <c r="O60" s="316"/>
      <c r="P60" s="316"/>
      <c r="Q60" s="47"/>
    </row>
    <row r="61" spans="1:17" ht="15.75">
      <c r="A61" s="330" t="s">
        <v>509</v>
      </c>
      <c r="B61" s="452">
        <v>2303741</v>
      </c>
      <c r="C61" s="432">
        <v>2497564.3333333335</v>
      </c>
      <c r="D61" s="455">
        <f>N27</f>
        <v>2804377.8</v>
      </c>
      <c r="E61" s="46"/>
      <c r="F61" s="47"/>
      <c r="G61" s="316"/>
      <c r="H61" s="316"/>
      <c r="I61" s="316"/>
      <c r="J61" s="316"/>
      <c r="K61" s="316"/>
      <c r="L61" s="316"/>
      <c r="M61" s="167"/>
      <c r="N61" s="323"/>
      <c r="O61" s="316"/>
      <c r="P61" s="316"/>
      <c r="Q61" s="47"/>
    </row>
    <row r="62" spans="1:17" ht="3.75" customHeight="1">
      <c r="A62" s="330"/>
      <c r="B62" s="320"/>
      <c r="C62" s="331"/>
      <c r="D62" s="461"/>
      <c r="E62" s="46"/>
      <c r="F62" s="47"/>
      <c r="G62" s="316"/>
      <c r="H62" s="316"/>
      <c r="I62" s="316"/>
      <c r="J62" s="316"/>
      <c r="K62" s="316"/>
      <c r="L62" s="316"/>
      <c r="M62" s="167"/>
      <c r="N62" s="323"/>
      <c r="O62" s="316"/>
      <c r="P62" s="316"/>
      <c r="Q62" s="47"/>
    </row>
    <row r="63" spans="1:17" ht="15.75">
      <c r="A63" s="330" t="s">
        <v>455</v>
      </c>
      <c r="B63" s="459">
        <f>SUM(B58:B62)</f>
        <v>18974836.666666664</v>
      </c>
      <c r="C63" s="460">
        <f>SUM(C58:C62)</f>
        <v>19910846.666666664</v>
      </c>
      <c r="D63" s="455">
        <f>SUM(D58:D62)</f>
        <v>22002686.573333338</v>
      </c>
      <c r="E63" s="46"/>
      <c r="F63" s="47"/>
      <c r="G63" s="316"/>
      <c r="H63" s="316"/>
      <c r="I63" s="316"/>
      <c r="J63" s="316"/>
      <c r="K63" s="316"/>
      <c r="L63" s="316"/>
      <c r="M63" s="167"/>
      <c r="N63" s="323"/>
      <c r="O63" s="316"/>
      <c r="P63" s="316"/>
      <c r="Q63" s="47"/>
    </row>
    <row r="64" spans="1:17" ht="6.75" customHeight="1">
      <c r="A64" s="330"/>
      <c r="B64" s="332"/>
      <c r="C64" s="333"/>
      <c r="D64" s="464"/>
      <c r="E64" s="46"/>
      <c r="F64" s="47"/>
      <c r="G64" s="316"/>
      <c r="H64" s="316"/>
      <c r="I64" s="316"/>
      <c r="J64" s="316"/>
      <c r="K64" s="316"/>
      <c r="L64" s="316"/>
      <c r="M64" s="167"/>
      <c r="N64" s="323"/>
      <c r="O64" s="316"/>
      <c r="P64" s="316"/>
      <c r="Q64" s="47"/>
    </row>
    <row r="65" spans="1:17" ht="15.75">
      <c r="A65" s="330" t="s">
        <v>456</v>
      </c>
      <c r="B65" s="452">
        <v>26628.333333333332</v>
      </c>
      <c r="C65" s="432">
        <v>451.3333333333333</v>
      </c>
      <c r="D65" s="455">
        <f>N31</f>
        <v>371.6666666666667</v>
      </c>
      <c r="E65" s="46"/>
      <c r="F65" s="47"/>
      <c r="G65" s="316"/>
      <c r="H65" s="316"/>
      <c r="I65" s="316"/>
      <c r="J65" s="316"/>
      <c r="K65" s="316"/>
      <c r="L65" s="316"/>
      <c r="M65" s="167"/>
      <c r="N65" s="323"/>
      <c r="O65" s="316"/>
      <c r="P65" s="316"/>
      <c r="Q65" s="47"/>
    </row>
    <row r="66" spans="1:17" ht="15.75">
      <c r="A66" s="330" t="s">
        <v>457</v>
      </c>
      <c r="B66" s="452">
        <v>26628.333333333332</v>
      </c>
      <c r="C66" s="432">
        <v>26869</v>
      </c>
      <c r="D66" s="455">
        <f>N32</f>
        <v>24322.95666666667</v>
      </c>
      <c r="E66" s="46"/>
      <c r="F66" s="47"/>
      <c r="G66" s="316"/>
      <c r="H66" s="316"/>
      <c r="I66" s="316"/>
      <c r="J66" s="316"/>
      <c r="K66" s="316"/>
      <c r="L66" s="316"/>
      <c r="M66" s="167"/>
      <c r="N66" s="323"/>
      <c r="O66" s="316"/>
      <c r="P66" s="316"/>
      <c r="Q66" s="47"/>
    </row>
    <row r="67" spans="1:17" ht="15.75">
      <c r="A67" s="330" t="s">
        <v>458</v>
      </c>
      <c r="B67" s="452">
        <v>44429.666666666664</v>
      </c>
      <c r="C67" s="432">
        <v>62950.666666666664</v>
      </c>
      <c r="D67" s="455">
        <f>N33</f>
        <v>83591.99333333333</v>
      </c>
      <c r="E67" s="46"/>
      <c r="F67" s="47"/>
      <c r="G67" s="316"/>
      <c r="H67" s="316"/>
      <c r="I67" s="316"/>
      <c r="J67" s="316"/>
      <c r="K67" s="316"/>
      <c r="L67" s="316"/>
      <c r="M67" s="266"/>
      <c r="N67" s="294"/>
      <c r="O67" s="316"/>
      <c r="P67" s="316"/>
      <c r="Q67" s="47"/>
    </row>
    <row r="68" spans="1:17" ht="15.75">
      <c r="A68" s="330" t="s">
        <v>459</v>
      </c>
      <c r="B68" s="452">
        <v>-140263.33333333334</v>
      </c>
      <c r="C68" s="432">
        <v>0</v>
      </c>
      <c r="D68" s="455">
        <f>N34</f>
        <v>100000</v>
      </c>
      <c r="E68" s="46"/>
      <c r="F68" s="47"/>
      <c r="G68" s="316"/>
      <c r="H68" s="316"/>
      <c r="I68" s="316"/>
      <c r="J68" s="316"/>
      <c r="K68" s="316"/>
      <c r="L68" s="316"/>
      <c r="M68" s="266"/>
      <c r="N68" s="294"/>
      <c r="O68" s="316"/>
      <c r="P68" s="316"/>
      <c r="Q68" s="47"/>
    </row>
    <row r="69" spans="1:17" ht="16.5" thickBot="1">
      <c r="A69" s="334" t="s">
        <v>460</v>
      </c>
      <c r="B69" s="453">
        <v>0</v>
      </c>
      <c r="C69" s="432">
        <v>666666.6666666666</v>
      </c>
      <c r="D69" s="463">
        <f>N35</f>
        <v>1620716.5</v>
      </c>
      <c r="E69" s="46"/>
      <c r="F69" s="47"/>
      <c r="G69" s="316"/>
      <c r="H69" s="316"/>
      <c r="I69" s="316"/>
      <c r="J69" s="316"/>
      <c r="K69" s="316"/>
      <c r="L69" s="316"/>
      <c r="M69" s="266"/>
      <c r="N69" s="294"/>
      <c r="O69" s="316"/>
      <c r="P69" s="316"/>
      <c r="Q69" s="47"/>
    </row>
    <row r="70" spans="1:17" ht="16.5" thickBot="1">
      <c r="A70" s="335" t="s">
        <v>466</v>
      </c>
      <c r="B70" s="465">
        <f>SUM(B63:B69)</f>
        <v>18932259.666666664</v>
      </c>
      <c r="C70" s="465">
        <f>SUM(C63:C69)</f>
        <v>20667784.333333332</v>
      </c>
      <c r="D70" s="456">
        <f>SUM(D63:D69)</f>
        <v>23831689.690000005</v>
      </c>
      <c r="E70" s="46"/>
      <c r="F70" s="47"/>
      <c r="G70" s="47"/>
      <c r="H70" s="47"/>
      <c r="I70" s="316"/>
      <c r="J70" s="316"/>
      <c r="K70" s="316"/>
      <c r="L70" s="316"/>
      <c r="M70" s="266"/>
      <c r="N70" s="294"/>
      <c r="O70" s="316"/>
      <c r="P70" s="316"/>
      <c r="Q70" s="47"/>
    </row>
    <row r="71" spans="1:17" ht="15.75">
      <c r="A71" s="467" t="s">
        <v>467</v>
      </c>
      <c r="B71" s="462">
        <f>B55-B70</f>
        <v>659573.3333333358</v>
      </c>
      <c r="C71" s="462">
        <f>C55-C70</f>
        <v>1329570</v>
      </c>
      <c r="D71" s="462">
        <f>D55-D70</f>
        <v>-860327.4600000009</v>
      </c>
      <c r="E71" s="46" t="s">
        <v>132</v>
      </c>
      <c r="F71" s="47"/>
      <c r="G71" s="47"/>
      <c r="H71" s="47"/>
      <c r="I71" s="316"/>
      <c r="J71" s="316"/>
      <c r="K71" s="316"/>
      <c r="L71" s="316"/>
      <c r="M71" s="266"/>
      <c r="N71" s="294"/>
      <c r="O71" s="316"/>
      <c r="P71" s="316"/>
      <c r="Q71" s="47"/>
    </row>
    <row r="72" spans="1:17" ht="15.75">
      <c r="A72" s="47"/>
      <c r="B72" s="47"/>
      <c r="C72" s="47"/>
      <c r="D72" s="47"/>
      <c r="E72" s="46"/>
      <c r="F72" s="47"/>
      <c r="G72" s="47"/>
      <c r="H72" s="47"/>
      <c r="I72" s="316"/>
      <c r="J72" s="316"/>
      <c r="K72" s="316"/>
      <c r="L72" s="316"/>
      <c r="M72" s="266"/>
      <c r="N72" s="294"/>
      <c r="O72" s="316"/>
      <c r="P72" s="316"/>
      <c r="Q72" s="47"/>
    </row>
    <row r="73" spans="1:17" ht="15.75">
      <c r="A73" s="47"/>
      <c r="B73" s="47"/>
      <c r="C73" s="47"/>
      <c r="D73" s="47"/>
      <c r="E73" s="46"/>
      <c r="F73" s="47"/>
      <c r="G73" s="47"/>
      <c r="H73" s="47"/>
      <c r="I73" s="316"/>
      <c r="J73" s="316"/>
      <c r="K73" s="316"/>
      <c r="L73" s="316"/>
      <c r="M73" s="266"/>
      <c r="N73" s="294"/>
      <c r="O73" s="316"/>
      <c r="P73" s="316"/>
      <c r="Q73" s="47"/>
    </row>
  </sheetData>
  <printOptions/>
  <pageMargins left="0.25" right="0.25" top="0.25" bottom="0.25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4">
      <selection activeCell="H48" sqref="H48"/>
    </sheetView>
  </sheetViews>
  <sheetFormatPr defaultColWidth="9.140625" defaultRowHeight="12.75"/>
  <cols>
    <col min="1" max="1" width="1.7109375" style="0" customWidth="1"/>
    <col min="2" max="2" width="44.421875" style="0" customWidth="1"/>
    <col min="3" max="3" width="22.57421875" style="4" customWidth="1"/>
    <col min="4" max="4" width="21.7109375" style="4" customWidth="1"/>
    <col min="5" max="5" width="17.421875" style="4" customWidth="1"/>
    <col min="6" max="6" width="18.8515625" style="214" customWidth="1"/>
    <col min="7" max="7" width="11.28125" style="0" bestFit="1" customWidth="1"/>
  </cols>
  <sheetData>
    <row r="1" ht="20.25">
      <c r="B1" s="269" t="s">
        <v>363</v>
      </c>
    </row>
    <row r="2" ht="15.75">
      <c r="C2" s="116" t="s">
        <v>374</v>
      </c>
    </row>
    <row r="3" spans="3:7" ht="15.75">
      <c r="C3" s="116" t="s">
        <v>329</v>
      </c>
      <c r="G3" s="22"/>
    </row>
    <row r="4" ht="12.75">
      <c r="G4" s="22"/>
    </row>
    <row r="5" ht="1.5" customHeight="1">
      <c r="G5" s="22"/>
    </row>
    <row r="6" spans="3:7" ht="15.75">
      <c r="C6" s="116" t="s">
        <v>341</v>
      </c>
      <c r="F6" s="211"/>
      <c r="G6" s="22"/>
    </row>
    <row r="7" spans="2:5" ht="15.75">
      <c r="B7" s="115"/>
      <c r="C7" s="114"/>
      <c r="D7" s="114"/>
      <c r="E7" s="114"/>
    </row>
    <row r="8" spans="2:6" s="8" customFormat="1" ht="18">
      <c r="B8" s="260"/>
      <c r="C8" s="260" t="s">
        <v>130</v>
      </c>
      <c r="D8" s="260" t="s">
        <v>143</v>
      </c>
      <c r="E8" s="260" t="s">
        <v>31</v>
      </c>
      <c r="F8" s="214"/>
    </row>
    <row r="9" spans="2:5" ht="18">
      <c r="B9" s="261"/>
      <c r="C9" s="262"/>
      <c r="D9" s="262"/>
      <c r="E9" s="262"/>
    </row>
    <row r="10" spans="2:7" ht="18">
      <c r="B10" s="263" t="s">
        <v>144</v>
      </c>
      <c r="C10" s="264">
        <f>SUM('Schedule 2 Revenue Summary'!G24)</f>
        <v>123405876.82266666</v>
      </c>
      <c r="D10" s="264">
        <f>'Schedule 2 Revenue Summary'!$F$24</f>
        <v>123272561.75622666</v>
      </c>
      <c r="E10" s="264">
        <f>SUM(D10-C10)</f>
        <v>-133315.06644000113</v>
      </c>
      <c r="F10" s="213"/>
      <c r="G10" s="22"/>
    </row>
    <row r="11" spans="2:7" ht="18">
      <c r="B11" s="263" t="s">
        <v>11</v>
      </c>
      <c r="C11" s="264">
        <f>SUM('Schedule 3 Expenditure Summary'!G30)</f>
        <v>123405876.33333333</v>
      </c>
      <c r="D11" s="264">
        <f>SUM('Schedule 3 Expenditure Summary'!F30)</f>
        <v>123139720.58683443</v>
      </c>
      <c r="E11" s="264">
        <f>SUM(D11-C11)</f>
        <v>-266155.7464988977</v>
      </c>
      <c r="F11" s="212"/>
      <c r="G11" s="22"/>
    </row>
    <row r="12" spans="2:7" s="1" customFormat="1" ht="18.75" thickBot="1">
      <c r="B12" s="265" t="s">
        <v>471</v>
      </c>
      <c r="C12" s="350">
        <f>SUM(C10-C11)</f>
        <v>0.4893333315849304</v>
      </c>
      <c r="D12" s="350">
        <f>SUM(D10-D11)</f>
        <v>132841.16939222813</v>
      </c>
      <c r="E12" s="350">
        <f>SUM(E10-E11)</f>
        <v>132840.68005889654</v>
      </c>
      <c r="F12" s="212"/>
      <c r="G12" s="18"/>
    </row>
    <row r="13" spans="2:7" s="1" customFormat="1" ht="12.75" customHeight="1" thickBot="1" thickTop="1">
      <c r="B13" s="263"/>
      <c r="C13" s="509"/>
      <c r="D13" s="509"/>
      <c r="E13" s="509"/>
      <c r="F13" s="212"/>
      <c r="G13" s="18"/>
    </row>
    <row r="14" spans="2:7" s="1" customFormat="1" ht="18">
      <c r="B14" s="48"/>
      <c r="C14" s="49" t="s">
        <v>183</v>
      </c>
      <c r="D14" s="346">
        <v>21</v>
      </c>
      <c r="E14" s="509"/>
      <c r="F14" s="212"/>
      <c r="G14" s="18"/>
    </row>
    <row r="15" spans="2:7" s="1" customFormat="1" ht="18">
      <c r="B15" s="149"/>
      <c r="C15" s="76" t="s">
        <v>184</v>
      </c>
      <c r="D15" s="351">
        <f>SUM(26-D14)</f>
        <v>5</v>
      </c>
      <c r="E15" s="509"/>
      <c r="F15" s="212"/>
      <c r="G15" s="18"/>
    </row>
    <row r="16" spans="2:7" s="1" customFormat="1" ht="18">
      <c r="B16" s="149"/>
      <c r="C16" s="76"/>
      <c r="D16" s="345"/>
      <c r="E16" s="509"/>
      <c r="F16" s="212"/>
      <c r="G16" s="18"/>
    </row>
    <row r="17" spans="2:7" s="1" customFormat="1" ht="18">
      <c r="B17" s="149"/>
      <c r="C17" s="76" t="s">
        <v>185</v>
      </c>
      <c r="D17" s="347">
        <v>43</v>
      </c>
      <c r="E17" s="509"/>
      <c r="F17" s="212"/>
      <c r="G17" s="18"/>
    </row>
    <row r="18" spans="2:7" s="1" customFormat="1" ht="18.75" thickBot="1">
      <c r="B18" s="50"/>
      <c r="C18" s="51" t="s">
        <v>186</v>
      </c>
      <c r="D18" s="352">
        <f>SUM(52-D17)</f>
        <v>9</v>
      </c>
      <c r="E18" s="509"/>
      <c r="F18" s="212"/>
      <c r="G18" s="18"/>
    </row>
    <row r="19" spans="2:7" s="1" customFormat="1" ht="18">
      <c r="B19" s="263"/>
      <c r="C19" s="509"/>
      <c r="D19" s="509"/>
      <c r="E19" s="509"/>
      <c r="F19" s="212"/>
      <c r="G19" s="18"/>
    </row>
    <row r="20" spans="2:7" s="1" customFormat="1" ht="5.25" customHeight="1">
      <c r="B20" s="263"/>
      <c r="C20" s="509"/>
      <c r="D20" s="509"/>
      <c r="E20" s="509"/>
      <c r="F20" s="212"/>
      <c r="G20" s="18"/>
    </row>
    <row r="21" spans="2:7" s="1" customFormat="1" ht="18">
      <c r="B21" s="80" t="s">
        <v>408</v>
      </c>
      <c r="C21" s="44"/>
      <c r="D21" s="4"/>
      <c r="E21" s="509"/>
      <c r="F21" s="212"/>
      <c r="G21" s="18"/>
    </row>
    <row r="22" spans="2:7" s="1" customFormat="1" ht="18">
      <c r="B22" s="114"/>
      <c r="C22" s="114"/>
      <c r="D22" s="4"/>
      <c r="E22" s="509"/>
      <c r="F22" s="212"/>
      <c r="G22" s="18"/>
    </row>
    <row r="23" spans="2:7" s="1" customFormat="1" ht="18">
      <c r="B23" s="258" t="s">
        <v>146</v>
      </c>
      <c r="C23" s="259">
        <f>SUM('Apppendix 4 GF Position Count'!B29)</f>
        <v>364</v>
      </c>
      <c r="D23" s="4"/>
      <c r="E23" s="509"/>
      <c r="F23" s="212"/>
      <c r="G23" s="18"/>
    </row>
    <row r="24" spans="2:7" s="1" customFormat="1" ht="18">
      <c r="B24" s="258" t="s">
        <v>145</v>
      </c>
      <c r="C24" s="271">
        <f>SUM('Apppendix 4 GF Position Count'!C29)</f>
        <v>359</v>
      </c>
      <c r="D24" s="4"/>
      <c r="E24" s="509"/>
      <c r="F24" s="212"/>
      <c r="G24" s="18"/>
    </row>
    <row r="25" spans="2:7" s="1" customFormat="1" ht="18">
      <c r="B25" s="258" t="s">
        <v>148</v>
      </c>
      <c r="C25" s="259">
        <f>SUM('Apppendix 4 GF Position Count'!D29)</f>
        <v>-5</v>
      </c>
      <c r="D25" s="4"/>
      <c r="E25" s="509"/>
      <c r="F25" s="212"/>
      <c r="G25" s="18"/>
    </row>
    <row r="26" spans="5:7" s="1" customFormat="1" ht="12" customHeight="1">
      <c r="E26" s="509"/>
      <c r="F26" s="212"/>
      <c r="G26" s="18"/>
    </row>
    <row r="27" spans="1:7" s="1" customFormat="1" ht="18">
      <c r="A27" s="41"/>
      <c r="B27" s="537" t="s">
        <v>557</v>
      </c>
      <c r="C27" s="7"/>
      <c r="D27" s="509"/>
      <c r="E27" s="509"/>
      <c r="F27" s="212"/>
      <c r="G27" s="18"/>
    </row>
    <row r="28" spans="1:7" s="1" customFormat="1" ht="6.75" customHeight="1">
      <c r="A28" s="41"/>
      <c r="B28" s="537"/>
      <c r="C28" s="7"/>
      <c r="D28" s="509"/>
      <c r="E28" s="509"/>
      <c r="F28" s="212"/>
      <c r="G28" s="18"/>
    </row>
    <row r="29" spans="1:7" ht="15.75" customHeight="1">
      <c r="A29" s="7"/>
      <c r="B29" s="7"/>
      <c r="C29" s="513" t="s">
        <v>553</v>
      </c>
      <c r="D29" s="114"/>
      <c r="E29" s="114"/>
      <c r="F29" s="212"/>
      <c r="G29" s="25"/>
    </row>
    <row r="30" spans="1:9" ht="8.25" customHeight="1">
      <c r="A30" s="7"/>
      <c r="B30" s="7"/>
      <c r="C30" s="510"/>
      <c r="D30" s="501"/>
      <c r="E30" s="496"/>
      <c r="F30" s="496"/>
      <c r="G30" s="7"/>
      <c r="H30" s="496"/>
      <c r="I30" s="496"/>
    </row>
    <row r="31" spans="1:9" ht="15" customHeight="1">
      <c r="A31" s="7"/>
      <c r="B31" s="7"/>
      <c r="C31" s="515" t="s">
        <v>554</v>
      </c>
      <c r="D31" s="503"/>
      <c r="E31" s="503"/>
      <c r="F31" s="503"/>
      <c r="G31" s="503"/>
      <c r="H31" s="503"/>
      <c r="I31" s="496"/>
    </row>
    <row r="32" spans="1:9" ht="8.25" customHeight="1">
      <c r="A32" s="7"/>
      <c r="B32" s="7"/>
      <c r="C32" s="510"/>
      <c r="D32" s="7"/>
      <c r="E32" s="7"/>
      <c r="F32" s="7"/>
      <c r="G32" s="7"/>
      <c r="H32" s="7"/>
      <c r="I32" s="496"/>
    </row>
    <row r="33" spans="1:9" ht="15.75" customHeight="1">
      <c r="A33" s="7"/>
      <c r="B33" s="7"/>
      <c r="C33" s="516" t="s">
        <v>555</v>
      </c>
      <c r="D33" s="7"/>
      <c r="E33" s="7"/>
      <c r="F33" s="7"/>
      <c r="G33" s="7"/>
      <c r="H33" s="7"/>
      <c r="I33" s="496"/>
    </row>
    <row r="34" spans="1:9" ht="9" customHeight="1">
      <c r="A34" s="7"/>
      <c r="B34" s="7"/>
      <c r="C34" s="510"/>
      <c r="D34" s="7"/>
      <c r="E34" s="7"/>
      <c r="F34" s="7"/>
      <c r="G34" s="7"/>
      <c r="H34" s="7"/>
      <c r="I34" s="496"/>
    </row>
    <row r="35" spans="1:9" ht="16.5" customHeight="1">
      <c r="A35" s="7"/>
      <c r="B35" s="7"/>
      <c r="C35" s="517" t="s">
        <v>556</v>
      </c>
      <c r="D35" s="7"/>
      <c r="E35" s="7"/>
      <c r="F35" s="7"/>
      <c r="G35" s="7"/>
      <c r="H35" s="7"/>
      <c r="I35" s="496"/>
    </row>
    <row r="36" spans="1:9" ht="16.5" customHeight="1">
      <c r="A36" s="7"/>
      <c r="B36" s="7"/>
      <c r="C36" s="510"/>
      <c r="D36" s="7"/>
      <c r="E36" s="7"/>
      <c r="F36" s="7"/>
      <c r="G36" s="7"/>
      <c r="H36" s="7"/>
      <c r="I36" s="496"/>
    </row>
  </sheetData>
  <printOptions horizontalCentered="1"/>
  <pageMargins left="0.17" right="0.17" top="0.8" bottom="0.26" header="0.5" footer="0.5"/>
  <pageSetup horizontalDpi="600" verticalDpi="600" orientation="landscape" r:id="rId1"/>
  <headerFooter alignWithMargins="0">
    <oddFooter>&amp;L&amp;D&amp;RSUMMARY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pane xSplit="3" ySplit="41" topLeftCell="D5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0" sqref="H10"/>
    </sheetView>
  </sheetViews>
  <sheetFormatPr defaultColWidth="9.140625" defaultRowHeight="12.75"/>
  <cols>
    <col min="1" max="1" width="27.8515625" style="0" customWidth="1"/>
    <col min="2" max="2" width="15.140625" style="142" customWidth="1"/>
    <col min="3" max="3" width="15.00390625" style="142" bestFit="1" customWidth="1"/>
    <col min="4" max="4" width="14.7109375" style="22" customWidth="1"/>
    <col min="5" max="5" width="15.28125" style="22" customWidth="1"/>
    <col min="6" max="6" width="15.8515625" style="22" customWidth="1"/>
    <col min="7" max="7" width="15.421875" style="22" customWidth="1"/>
    <col min="8" max="8" width="15.140625" style="22" bestFit="1" customWidth="1"/>
  </cols>
  <sheetData>
    <row r="1" spans="1:8" s="14" customFormat="1" ht="20.25">
      <c r="A1" s="269" t="s">
        <v>364</v>
      </c>
      <c r="B1" s="79"/>
      <c r="C1" s="63"/>
      <c r="D1" s="42" t="s">
        <v>492</v>
      </c>
      <c r="E1" s="65"/>
      <c r="F1" s="18"/>
      <c r="G1" s="18"/>
      <c r="H1" s="18"/>
    </row>
    <row r="2" spans="2:8" s="14" customFormat="1" ht="4.5" customHeight="1">
      <c r="B2" s="79"/>
      <c r="C2" s="69"/>
      <c r="D2" s="21"/>
      <c r="E2" s="70"/>
      <c r="F2" s="18"/>
      <c r="G2" s="18"/>
      <c r="H2" s="18"/>
    </row>
    <row r="3" spans="2:8" s="14" customFormat="1" ht="16.5" thickBot="1">
      <c r="B3" s="80"/>
      <c r="C3" s="71"/>
      <c r="D3" s="72" t="s">
        <v>281</v>
      </c>
      <c r="E3" s="73"/>
      <c r="F3" s="18"/>
      <c r="G3" s="18"/>
      <c r="H3" s="18"/>
    </row>
    <row r="4" ht="13.5" thickBot="1"/>
    <row r="5" spans="1:8" ht="12.75">
      <c r="A5" s="52"/>
      <c r="B5" s="180" t="s">
        <v>375</v>
      </c>
      <c r="C5" s="181"/>
      <c r="D5" s="54" t="s">
        <v>318</v>
      </c>
      <c r="E5" s="53"/>
      <c r="F5" s="53"/>
      <c r="G5" s="53"/>
      <c r="H5" s="55"/>
    </row>
    <row r="6" spans="1:8" ht="12.75">
      <c r="A6" s="56"/>
      <c r="B6" s="182"/>
      <c r="C6" s="236"/>
      <c r="D6" s="57" t="s">
        <v>122</v>
      </c>
      <c r="E6" s="57" t="s">
        <v>8</v>
      </c>
      <c r="F6" s="57" t="s">
        <v>36</v>
      </c>
      <c r="G6" s="57" t="s">
        <v>262</v>
      </c>
      <c r="H6" s="58" t="s">
        <v>9</v>
      </c>
    </row>
    <row r="7" spans="1:8" ht="12.75">
      <c r="A7" s="59" t="s">
        <v>10</v>
      </c>
      <c r="B7" s="183" t="s">
        <v>289</v>
      </c>
      <c r="C7" s="183" t="s">
        <v>316</v>
      </c>
      <c r="D7" s="35" t="s">
        <v>342</v>
      </c>
      <c r="E7" s="57" t="s">
        <v>343</v>
      </c>
      <c r="F7" s="57" t="s">
        <v>12</v>
      </c>
      <c r="G7" s="57" t="s">
        <v>13</v>
      </c>
      <c r="H7" s="58" t="s">
        <v>14</v>
      </c>
    </row>
    <row r="8" spans="1:8" ht="12.75">
      <c r="A8" s="468"/>
      <c r="B8" s="184"/>
      <c r="C8" s="184"/>
      <c r="D8" s="61"/>
      <c r="E8" s="61"/>
      <c r="F8" s="61"/>
      <c r="G8" s="61"/>
      <c r="H8" s="469"/>
    </row>
    <row r="9" spans="1:8" ht="12.75">
      <c r="A9" s="471"/>
      <c r="B9" s="472"/>
      <c r="C9" s="472"/>
      <c r="D9" s="473"/>
      <c r="E9" s="473"/>
      <c r="F9" s="473"/>
      <c r="G9" s="473"/>
      <c r="H9" s="474"/>
    </row>
    <row r="10" spans="1:8" ht="12.75">
      <c r="A10" s="475" t="s">
        <v>349</v>
      </c>
      <c r="B10" s="476">
        <v>65135548</v>
      </c>
      <c r="C10" s="185">
        <f>SUM('Schedule 5 Revenue Detail'!C17)</f>
        <v>66170570.34666667</v>
      </c>
      <c r="D10" s="27">
        <f>SUM('Schedule 5 Revenue Detail'!D17)</f>
        <v>69836734.07666664</v>
      </c>
      <c r="E10" s="24">
        <f>SUM('Schedule 5 Revenue Detail'!E17)</f>
        <v>594483.6666666643</v>
      </c>
      <c r="F10" s="354">
        <f>SUM(D10:E10)</f>
        <v>70431217.74333331</v>
      </c>
      <c r="G10" s="27">
        <f>SUM('Schedule 5 Revenue Detail'!G17)</f>
        <v>69527248.66666666</v>
      </c>
      <c r="H10" s="477">
        <f aca="true" t="shared" si="0" ref="H10:H22">SUM(F10-G10)</f>
        <v>903969.0766666532</v>
      </c>
    </row>
    <row r="11" spans="1:8" ht="12.75">
      <c r="A11" s="475" t="s">
        <v>38</v>
      </c>
      <c r="B11" s="476">
        <v>43984627.3333333</v>
      </c>
      <c r="C11" s="185">
        <f>SUM('Schedule 5 Revenue Detail'!C43)</f>
        <v>44375918.80674001</v>
      </c>
      <c r="D11" s="27">
        <f>SUM('Schedule 5 Revenue Detail'!D43)</f>
        <v>44270373.14167001</v>
      </c>
      <c r="E11" s="24">
        <f>SUM('Schedule 5 Revenue Detail'!E43)</f>
        <v>1753377.0048833329</v>
      </c>
      <c r="F11" s="354">
        <f aca="true" t="shared" si="1" ref="F11:F22">SUM(D11:E11)</f>
        <v>46023750.146553345</v>
      </c>
      <c r="G11" s="27">
        <f>SUM('Schedule 5 Revenue Detail'!G43)</f>
        <v>46544700.847</v>
      </c>
      <c r="H11" s="477">
        <f t="shared" si="0"/>
        <v>-520950.70044665784</v>
      </c>
    </row>
    <row r="12" spans="1:8" ht="12.75">
      <c r="A12" s="475" t="s">
        <v>118</v>
      </c>
      <c r="B12" s="476">
        <v>5249751.666666667</v>
      </c>
      <c r="C12" s="185">
        <f>SUM('Schedule 5 Revenue Detail'!C55)</f>
        <v>5342437.64956</v>
      </c>
      <c r="D12" s="27">
        <f>SUM('Schedule 5 Revenue Detail'!D55)</f>
        <v>1889822.89029</v>
      </c>
      <c r="E12" s="24">
        <f>SUM('Schedule 5 Revenue Detail'!E55)</f>
        <v>1303379.24094</v>
      </c>
      <c r="F12" s="354">
        <f>SUM(D12:E12)</f>
        <v>3193202.13123</v>
      </c>
      <c r="G12" s="27">
        <f>SUM('Schedule 5 Revenue Detail'!G55)</f>
        <v>3552293</v>
      </c>
      <c r="H12" s="477">
        <f>SUM(F12-G12)</f>
        <v>-359090.86877000006</v>
      </c>
    </row>
    <row r="13" spans="1:8" ht="12.75">
      <c r="A13" s="475" t="s">
        <v>37</v>
      </c>
      <c r="B13" s="476">
        <v>1509602</v>
      </c>
      <c r="C13" s="185">
        <f>SUM('Schedule 5 Revenue Detail'!C64)</f>
        <v>2762847.0540000005</v>
      </c>
      <c r="D13" s="27">
        <f>SUM('Schedule 5 Revenue Detail'!D64)</f>
        <v>1238365.76796</v>
      </c>
      <c r="E13" s="24">
        <f>SUM('Schedule 5 Revenue Detail'!E64)</f>
        <v>300675.55347000004</v>
      </c>
      <c r="F13" s="354">
        <f>SUM(D13:E13)</f>
        <v>1539041.32143</v>
      </c>
      <c r="G13" s="27">
        <f>SUM('Schedule 5 Revenue Detail'!G64)</f>
        <v>1361161.8090000001</v>
      </c>
      <c r="H13" s="477">
        <f>SUM(F13-G13)</f>
        <v>177879.5124299999</v>
      </c>
    </row>
    <row r="14" spans="1:8" ht="12.75">
      <c r="A14" s="475" t="s">
        <v>39</v>
      </c>
      <c r="B14" s="476">
        <v>4141.333333333333</v>
      </c>
      <c r="C14" s="185">
        <f>SUM('Schedule 5 Revenue Detail'!C74)</f>
        <v>1185</v>
      </c>
      <c r="D14" s="27">
        <f>SUM('Schedule 5 Revenue Detail'!D74)</f>
        <v>1373</v>
      </c>
      <c r="E14" s="24">
        <f>SUM('Schedule 5 Revenue Detail'!E74)</f>
        <v>833</v>
      </c>
      <c r="F14" s="354">
        <f t="shared" si="1"/>
        <v>2206</v>
      </c>
      <c r="G14" s="27">
        <f>SUM('Schedule 5 Revenue Detail'!G74)</f>
        <v>6666</v>
      </c>
      <c r="H14" s="477">
        <f t="shared" si="0"/>
        <v>-4460</v>
      </c>
    </row>
    <row r="15" spans="1:8" ht="12.75">
      <c r="A15" s="475" t="s">
        <v>534</v>
      </c>
      <c r="B15" s="476">
        <v>1189950.3333333333</v>
      </c>
      <c r="C15" s="185">
        <f>SUM('Schedule 5 Revenue Detail'!C91)</f>
        <v>766220.79555</v>
      </c>
      <c r="D15" s="27">
        <f>SUM('Schedule 5 Revenue Detail'!D91)</f>
        <v>534672.3624100001</v>
      </c>
      <c r="E15" s="24">
        <f>SUM('Schedule 5 Revenue Detail'!E91)</f>
        <v>77955.29</v>
      </c>
      <c r="F15" s="354">
        <f t="shared" si="1"/>
        <v>612627.6524100001</v>
      </c>
      <c r="G15" s="27">
        <f>SUM('Schedule 5 Revenue Detail'!G91)</f>
        <v>828227</v>
      </c>
      <c r="H15" s="477">
        <f t="shared" si="0"/>
        <v>-215599.3475899999</v>
      </c>
    </row>
    <row r="16" spans="1:8" ht="12.75">
      <c r="A16" s="475" t="s">
        <v>40</v>
      </c>
      <c r="B16" s="476">
        <v>519992</v>
      </c>
      <c r="C16" s="185">
        <f>SUM('Schedule 5 Revenue Detail'!C110)</f>
        <v>522465.55146000005</v>
      </c>
      <c r="D16" s="27">
        <f>SUM('Schedule 5 Revenue Detail'!D110)</f>
        <v>440680.87134</v>
      </c>
      <c r="E16" s="24">
        <f>SUM('Schedule 5 Revenue Detail'!E110)</f>
        <v>112943.11385</v>
      </c>
      <c r="F16" s="354">
        <f t="shared" si="1"/>
        <v>553623.98519</v>
      </c>
      <c r="G16" s="27">
        <f>SUM('Schedule 5 Revenue Detail'!G110)</f>
        <v>575091</v>
      </c>
      <c r="H16" s="477">
        <f t="shared" si="0"/>
        <v>-21467.014809999964</v>
      </c>
    </row>
    <row r="17" spans="1:8" ht="12.75">
      <c r="A17" s="475" t="s">
        <v>41</v>
      </c>
      <c r="B17" s="476">
        <v>26247.666666666668</v>
      </c>
      <c r="C17" s="185">
        <f>SUM('Schedule 5 Revenue Detail'!C121)</f>
        <v>34669.58571</v>
      </c>
      <c r="D17" s="27">
        <f>SUM('Schedule 5 Revenue Detail'!D121)</f>
        <v>31020.195420000004</v>
      </c>
      <c r="E17" s="24">
        <f>SUM('Schedule 5 Revenue Detail'!E121)</f>
        <v>4928.4</v>
      </c>
      <c r="F17" s="354">
        <f t="shared" si="1"/>
        <v>35948.595420000005</v>
      </c>
      <c r="G17" s="27">
        <f>SUM('Schedule 5 Revenue Detail'!G121)</f>
        <v>38877.75</v>
      </c>
      <c r="H17" s="477">
        <f t="shared" si="0"/>
        <v>-2929.154579999995</v>
      </c>
    </row>
    <row r="18" spans="1:8" ht="12.75">
      <c r="A18" s="475" t="s">
        <v>142</v>
      </c>
      <c r="B18" s="476">
        <v>222030</v>
      </c>
      <c r="C18" s="185">
        <f>SUM('Schedule 5 Revenue Detail'!C133)</f>
        <v>110820.06234</v>
      </c>
      <c r="D18" s="27">
        <f>SUM('Schedule 5 Revenue Detail'!D133)</f>
        <v>86426.42373000001</v>
      </c>
      <c r="E18" s="27">
        <f>SUM('Schedule 5 Revenue Detail'!E133)</f>
        <v>25513.128</v>
      </c>
      <c r="F18" s="354">
        <f t="shared" si="1"/>
        <v>111939.55173</v>
      </c>
      <c r="G18" s="27">
        <f>SUM('Schedule 5 Revenue Detail'!G133)</f>
        <v>97569</v>
      </c>
      <c r="H18" s="477">
        <f t="shared" si="0"/>
        <v>14370.551730000007</v>
      </c>
    </row>
    <row r="19" spans="1:8" ht="12.75">
      <c r="A19" s="475" t="s">
        <v>536</v>
      </c>
      <c r="B19" s="476">
        <v>113110</v>
      </c>
      <c r="C19" s="185">
        <f>SUM('Schedule 5 Revenue Detail'!C147)</f>
        <v>42097.360499999995</v>
      </c>
      <c r="D19" s="27">
        <f>SUM('Schedule 5 Revenue Detail'!D147)</f>
        <v>52893.386999999995</v>
      </c>
      <c r="E19" s="24">
        <f>SUM('Schedule 5 Revenue Detail'!E147)</f>
        <v>4925.07</v>
      </c>
      <c r="F19" s="354">
        <f t="shared" si="1"/>
        <v>57818.456999999995</v>
      </c>
      <c r="G19" s="27">
        <f>SUM('Schedule 5 Revenue Detail'!G147)</f>
        <v>59024.25</v>
      </c>
      <c r="H19" s="477">
        <f t="shared" si="0"/>
        <v>-1205.7930000000051</v>
      </c>
    </row>
    <row r="20" spans="1:8" ht="12.75">
      <c r="A20" s="475" t="s">
        <v>537</v>
      </c>
      <c r="B20" s="476">
        <v>571793</v>
      </c>
      <c r="C20" s="185">
        <f>SUM('Schedule 5 Revenue Detail'!C163)</f>
        <v>472490.6697000001</v>
      </c>
      <c r="D20" s="27">
        <f>SUM('Schedule 5 Revenue Detail'!D163)</f>
        <v>358810.0274699999</v>
      </c>
      <c r="E20" s="24">
        <f>SUM('Schedule 5 Revenue Detail'!E163)</f>
        <v>46719.9</v>
      </c>
      <c r="F20" s="354">
        <f t="shared" si="1"/>
        <v>405529.92746999994</v>
      </c>
      <c r="G20" s="27">
        <f>SUM('Schedule 5 Revenue Detail'!G163)</f>
        <v>486346.5</v>
      </c>
      <c r="H20" s="477">
        <f t="shared" si="0"/>
        <v>-80816.57253000006</v>
      </c>
    </row>
    <row r="21" spans="1:8" ht="12.75">
      <c r="A21" s="475" t="s">
        <v>42</v>
      </c>
      <c r="B21" s="476">
        <v>59410</v>
      </c>
      <c r="C21" s="185">
        <f>SUM('Schedule 5 Revenue Detail'!C174)</f>
        <v>50015.44782</v>
      </c>
      <c r="D21" s="185">
        <f>SUM('Schedule 5 Revenue Detail'!D174)</f>
        <v>48168.303479999995</v>
      </c>
      <c r="E21" s="185">
        <f>SUM('Schedule 5 Revenue Detail'!E174)</f>
        <v>4878.450000000001</v>
      </c>
      <c r="F21" s="354">
        <f t="shared" si="1"/>
        <v>53046.75348</v>
      </c>
      <c r="G21" s="185">
        <f>SUM('Schedule 5 Revenue Detail'!G174)</f>
        <v>58275</v>
      </c>
      <c r="H21" s="478">
        <f>SUM('Schedule 5 Revenue Detail'!H174)</f>
        <v>-5228.24652</v>
      </c>
    </row>
    <row r="22" spans="1:8" ht="12.75">
      <c r="A22" s="475" t="s">
        <v>535</v>
      </c>
      <c r="B22" s="476">
        <v>275666</v>
      </c>
      <c r="C22" s="185">
        <f>SUM('Schedule 5 Revenue Detail'!C183)</f>
        <v>280039.43025000003</v>
      </c>
      <c r="D22" s="27">
        <f>SUM('Schedule 5 Revenue Detail'!D183)</f>
        <v>188246.45511000004</v>
      </c>
      <c r="E22" s="24">
        <f>SUM('Schedule 5 Revenue Detail'!E183)</f>
        <v>59838.544890000005</v>
      </c>
      <c r="F22" s="354">
        <f t="shared" si="1"/>
        <v>248085.00000000006</v>
      </c>
      <c r="G22" s="27">
        <f>SUM('Schedule 5 Revenue Detail'!G183)</f>
        <v>268065</v>
      </c>
      <c r="H22" s="477">
        <f t="shared" si="0"/>
        <v>-19979.99999999994</v>
      </c>
    </row>
    <row r="23" spans="1:8" ht="12.75">
      <c r="A23" s="479" t="s">
        <v>348</v>
      </c>
      <c r="B23" s="480">
        <v>2283</v>
      </c>
      <c r="C23" s="481">
        <f>SUM('Schedule 5 Revenue Detail'!C188)</f>
        <v>4099.57632</v>
      </c>
      <c r="D23" s="481">
        <f>SUM('Schedule 5 Revenue Detail'!D188)</f>
        <v>2859.4909800000005</v>
      </c>
      <c r="E23" s="481">
        <f>SUM('Schedule 5 Revenue Detail'!E188)</f>
        <v>1665</v>
      </c>
      <c r="F23" s="482">
        <f>SUM('Schedule 5 Revenue Detail'!F188)</f>
        <v>4524.4909800000005</v>
      </c>
      <c r="G23" s="481">
        <f>SUM('Schedule 5 Revenue Detail'!G188)</f>
        <v>2331</v>
      </c>
      <c r="H23" s="483">
        <f>SUM('Schedule 5 Revenue Detail'!H188)</f>
        <v>2193.4909800000005</v>
      </c>
    </row>
    <row r="24" spans="1:8" ht="13.5" thickBot="1">
      <c r="A24" s="6" t="s">
        <v>43</v>
      </c>
      <c r="B24" s="470">
        <f aca="true" t="shared" si="2" ref="B24:H24">SUM(B10:B23)</f>
        <v>118864152.3333333</v>
      </c>
      <c r="C24" s="470">
        <f t="shared" si="2"/>
        <v>120935877.3366167</v>
      </c>
      <c r="D24" s="470">
        <f t="shared" si="2"/>
        <v>118980446.39352663</v>
      </c>
      <c r="E24" s="470">
        <f t="shared" si="2"/>
        <v>4292115.362699997</v>
      </c>
      <c r="F24" s="470">
        <f t="shared" si="2"/>
        <v>123272561.75622666</v>
      </c>
      <c r="G24" s="470">
        <f t="shared" si="2"/>
        <v>123405876.82266666</v>
      </c>
      <c r="H24" s="470">
        <f t="shared" si="2"/>
        <v>-133315.06644000474</v>
      </c>
    </row>
    <row r="25" ht="13.5" thickTop="1"/>
    <row r="27" spans="2:4" ht="15">
      <c r="B27" s="537" t="s">
        <v>552</v>
      </c>
      <c r="C27" s="503"/>
      <c r="D27" s="503"/>
    </row>
    <row r="28" spans="2:4" ht="12.75">
      <c r="B28" s="7"/>
      <c r="C28" s="7"/>
      <c r="D28" s="7"/>
    </row>
    <row r="29" spans="2:4" ht="12.75">
      <c r="B29" s="504" t="s">
        <v>553</v>
      </c>
      <c r="C29" s="7"/>
      <c r="D29" s="7"/>
    </row>
    <row r="30" spans="2:4" ht="12.75">
      <c r="B30" s="505"/>
      <c r="C30" s="7"/>
      <c r="D30" s="7"/>
    </row>
    <row r="31" spans="2:4" ht="25.5">
      <c r="B31" s="506" t="s">
        <v>554</v>
      </c>
      <c r="C31" s="7"/>
      <c r="D31" s="7"/>
    </row>
    <row r="32" spans="2:4" ht="12.75">
      <c r="B32" s="505"/>
      <c r="C32" s="7"/>
      <c r="D32" s="7"/>
    </row>
    <row r="33" spans="2:4" ht="25.5">
      <c r="B33" s="507" t="s">
        <v>555</v>
      </c>
      <c r="C33" s="7"/>
      <c r="D33" s="7"/>
    </row>
    <row r="34" spans="2:4" ht="12.75">
      <c r="B34" s="523"/>
      <c r="C34" s="7"/>
      <c r="D34" s="7"/>
    </row>
    <row r="35" spans="2:4" ht="25.5">
      <c r="B35" s="508" t="s">
        <v>556</v>
      </c>
      <c r="C35" s="7"/>
      <c r="D35" s="7"/>
    </row>
    <row r="37" spans="1:8" s="3" customFormat="1" ht="12.75">
      <c r="A37" s="2"/>
      <c r="B37" s="179"/>
      <c r="C37" s="179"/>
      <c r="D37" s="19"/>
      <c r="F37" s="19"/>
      <c r="G37" s="19"/>
      <c r="H37" s="19"/>
    </row>
    <row r="38" s="3" customFormat="1" ht="12.75"/>
    <row r="39" s="1" customFormat="1" ht="12.75"/>
    <row r="40" s="1" customFormat="1" ht="12.75"/>
    <row r="54" s="7" customFormat="1" ht="12.75"/>
    <row r="55" s="7" customFormat="1" ht="12.75"/>
    <row r="56" s="7" customFormat="1" ht="12.75"/>
    <row r="57" s="41" customFormat="1" ht="12.75"/>
    <row r="58" spans="1:8" s="41" customFormat="1" ht="12.75">
      <c r="A58" s="6"/>
      <c r="B58" s="159"/>
      <c r="C58" s="159"/>
      <c r="D58" s="159"/>
      <c r="E58" s="159"/>
      <c r="F58" s="159"/>
      <c r="G58" s="159"/>
      <c r="H58" s="159"/>
    </row>
    <row r="59" spans="4:8" ht="12.75">
      <c r="D59" s="40"/>
      <c r="E59" s="40"/>
      <c r="F59" s="40"/>
      <c r="G59" s="40"/>
      <c r="H59" s="142"/>
    </row>
    <row r="60" spans="2:8" ht="15">
      <c r="B60" s="41"/>
      <c r="F60" s="503"/>
      <c r="G60" s="23"/>
      <c r="H60"/>
    </row>
    <row r="61" spans="2:8" ht="7.5" customHeight="1">
      <c r="B61" s="41"/>
      <c r="F61" s="7"/>
      <c r="G61" s="23"/>
      <c r="H61"/>
    </row>
    <row r="62" spans="2:8" ht="12.75">
      <c r="B62" s="41"/>
      <c r="F62" s="7"/>
      <c r="G62" s="23"/>
      <c r="H62"/>
    </row>
    <row r="63" spans="2:8" ht="12.75">
      <c r="B63" s="41"/>
      <c r="F63" s="7"/>
      <c r="G63" s="23"/>
      <c r="H63"/>
    </row>
    <row r="64" spans="2:8" ht="12.75">
      <c r="B64" s="41"/>
      <c r="F64" s="7"/>
      <c r="G64" s="23"/>
      <c r="H64"/>
    </row>
    <row r="65" spans="2:8" ht="12.75">
      <c r="B65" s="41"/>
      <c r="F65" s="7"/>
      <c r="G65" s="23"/>
      <c r="H65"/>
    </row>
    <row r="66" spans="2:8" ht="12.75">
      <c r="B66" s="41"/>
      <c r="F66" s="7"/>
      <c r="G66" s="23"/>
      <c r="H66"/>
    </row>
    <row r="67" spans="2:8" ht="12.75">
      <c r="B67" s="41"/>
      <c r="F67" s="7"/>
      <c r="G67" s="23"/>
      <c r="H67"/>
    </row>
    <row r="68" spans="2:8" ht="12.75">
      <c r="B68" s="41"/>
      <c r="F68" s="7"/>
      <c r="G68" s="23"/>
      <c r="H68"/>
    </row>
    <row r="69" spans="2:8" ht="18">
      <c r="B69" s="79"/>
      <c r="C69" s="505"/>
      <c r="D69" s="7"/>
      <c r="E69" s="7"/>
      <c r="F69" s="496"/>
      <c r="G69" s="23"/>
      <c r="H69"/>
    </row>
    <row r="73" ht="12.75">
      <c r="D73" s="23"/>
    </row>
  </sheetData>
  <printOptions horizontalCentered="1"/>
  <pageMargins left="0.17" right="0.17" top="0.89" bottom="0.52" header="0.4" footer="0.23"/>
  <pageSetup horizontalDpi="600" verticalDpi="600" orientation="landscape" r:id="rId1"/>
  <headerFooter alignWithMargins="0">
    <oddFooter>&amp;L&amp;D&amp;RREVENUE SUMMARY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pane xSplit="1" ySplit="9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4" sqref="K24"/>
    </sheetView>
  </sheetViews>
  <sheetFormatPr defaultColWidth="9.140625" defaultRowHeight="12.75"/>
  <cols>
    <col min="1" max="1" width="29.8515625" style="14" customWidth="1"/>
    <col min="2" max="2" width="15.140625" style="18" customWidth="1"/>
    <col min="3" max="3" width="17.421875" style="18" customWidth="1"/>
    <col min="4" max="4" width="16.00390625" style="18" bestFit="1" customWidth="1"/>
    <col min="5" max="5" width="15.8515625" style="18" customWidth="1"/>
    <col min="6" max="7" width="14.421875" style="18" customWidth="1"/>
    <col min="8" max="8" width="15.57421875" style="18" customWidth="1"/>
    <col min="9" max="9" width="14.57421875" style="18" customWidth="1"/>
    <col min="10" max="10" width="24.421875" style="14" customWidth="1"/>
    <col min="11" max="11" width="45.28125" style="14" customWidth="1"/>
    <col min="12" max="16384" width="9.140625" style="14" customWidth="1"/>
  </cols>
  <sheetData>
    <row r="1" spans="1:9" ht="20.25">
      <c r="A1" s="269" t="s">
        <v>365</v>
      </c>
      <c r="B1" s="79"/>
      <c r="C1" s="63"/>
      <c r="D1" s="42" t="s">
        <v>476</v>
      </c>
      <c r="E1" s="65"/>
      <c r="I1" s="14"/>
    </row>
    <row r="2" spans="2:9" ht="1.5" customHeight="1">
      <c r="B2" s="79"/>
      <c r="C2" s="69"/>
      <c r="D2" s="21"/>
      <c r="E2" s="70"/>
      <c r="I2" s="14"/>
    </row>
    <row r="3" spans="2:9" ht="16.5" thickBot="1">
      <c r="B3" s="80"/>
      <c r="C3" s="71"/>
      <c r="D3" s="72" t="s">
        <v>123</v>
      </c>
      <c r="E3" s="73"/>
      <c r="I3" s="14"/>
    </row>
    <row r="4" spans="2:9" ht="9" customHeight="1">
      <c r="B4" s="45"/>
      <c r="C4" s="62"/>
      <c r="D4" s="62"/>
      <c r="I4" s="14"/>
    </row>
    <row r="5" spans="2:9" ht="6" customHeight="1">
      <c r="B5" s="45"/>
      <c r="C5" s="45"/>
      <c r="D5" s="62"/>
      <c r="I5" s="14"/>
    </row>
    <row r="6" spans="2:9" ht="8.25" customHeight="1" thickBot="1">
      <c r="B6" s="45"/>
      <c r="C6" s="45"/>
      <c r="I6" s="14"/>
    </row>
    <row r="7" spans="1:9" ht="12.75">
      <c r="A7" s="63"/>
      <c r="B7" s="81" t="s">
        <v>472</v>
      </c>
      <c r="C7" s="64"/>
      <c r="D7" s="54" t="s">
        <v>318</v>
      </c>
      <c r="E7" s="64"/>
      <c r="F7" s="64"/>
      <c r="G7" s="64"/>
      <c r="H7" s="65"/>
      <c r="I7" s="14"/>
    </row>
    <row r="8" spans="1:8" s="1" customFormat="1" ht="12.75">
      <c r="A8" s="56"/>
      <c r="B8" s="38"/>
      <c r="C8" s="82"/>
      <c r="D8" s="57" t="s">
        <v>11</v>
      </c>
      <c r="E8" s="57" t="s">
        <v>8</v>
      </c>
      <c r="F8" s="57" t="s">
        <v>36</v>
      </c>
      <c r="G8" s="57" t="s">
        <v>112</v>
      </c>
      <c r="H8" s="58" t="s">
        <v>9</v>
      </c>
    </row>
    <row r="9" spans="1:8" s="1" customFormat="1" ht="13.5" thickBot="1">
      <c r="A9" s="66" t="s">
        <v>10</v>
      </c>
      <c r="B9" s="67" t="s">
        <v>289</v>
      </c>
      <c r="C9" s="67" t="s">
        <v>316</v>
      </c>
      <c r="D9" s="67" t="str">
        <f>'Schedule 2 Revenue Summary'!D7</f>
        <v>As of 4/30/09</v>
      </c>
      <c r="E9" s="67" t="str">
        <f>'Schedule 2 Revenue Summary'!E7</f>
        <v>2 months</v>
      </c>
      <c r="F9" s="67" t="s">
        <v>12</v>
      </c>
      <c r="G9" s="67" t="s">
        <v>13</v>
      </c>
      <c r="H9" s="68" t="s">
        <v>14</v>
      </c>
    </row>
    <row r="10" spans="1:9" ht="12.75">
      <c r="A10" s="238"/>
      <c r="B10" s="239"/>
      <c r="C10" s="239"/>
      <c r="D10" s="64"/>
      <c r="E10" s="239"/>
      <c r="F10" s="239"/>
      <c r="G10" s="239"/>
      <c r="H10" s="240"/>
      <c r="I10" s="14"/>
    </row>
    <row r="11" spans="1:9" ht="12.75">
      <c r="A11" s="69" t="s">
        <v>108</v>
      </c>
      <c r="B11" s="21">
        <f>SUM('Schedule 4 Expenditures by Dept'!C17)</f>
        <v>1224377.3933333335</v>
      </c>
      <c r="C11" s="21">
        <f>SUM('Schedule 4 Expenditures by Dept'!D17)</f>
        <v>1302104.84</v>
      </c>
      <c r="D11" s="21">
        <f>SUM('Schedule 4 Expenditures by Dept'!E17)</f>
        <v>1023801.75</v>
      </c>
      <c r="E11" s="21">
        <f>SUM('Schedule 4 Expenditures by Dept'!F17)</f>
        <v>392180.62989</v>
      </c>
      <c r="F11" s="355">
        <f>SUM(D11:E11)</f>
        <v>1415982.37989</v>
      </c>
      <c r="G11" s="21">
        <f>SUM('Schedule 4 Expenditures by Dept'!H17)</f>
        <v>1435970.3333333335</v>
      </c>
      <c r="H11" s="358">
        <f>SUM(F11-G11)</f>
        <v>-19987.953443333507</v>
      </c>
      <c r="I11" s="14"/>
    </row>
    <row r="12" spans="1:9" ht="12.75">
      <c r="A12" s="69"/>
      <c r="B12" s="21"/>
      <c r="C12" s="21"/>
      <c r="D12" s="21"/>
      <c r="E12" s="21"/>
      <c r="F12" s="355"/>
      <c r="G12" s="21"/>
      <c r="H12" s="358"/>
      <c r="I12" s="14"/>
    </row>
    <row r="13" spans="1:9" ht="12.75">
      <c r="A13" s="69" t="s">
        <v>110</v>
      </c>
      <c r="B13" s="21">
        <f>SUM('Schedule 4 Expenditures by Dept'!C29)</f>
        <v>1459932.1366666667</v>
      </c>
      <c r="C13" s="21">
        <f>SUM('Schedule 4 Expenditures by Dept'!D29)</f>
        <v>1489791.1266666667</v>
      </c>
      <c r="D13" s="21">
        <f>SUM('Schedule 4 Expenditures by Dept'!E29)</f>
        <v>1227947.2633333332</v>
      </c>
      <c r="E13" s="21">
        <f>SUM('Schedule 4 Expenditures by Dept'!F29)</f>
        <v>449642.61</v>
      </c>
      <c r="F13" s="355">
        <f>SUM(D13:E13)</f>
        <v>1677589.873333333</v>
      </c>
      <c r="G13" s="21">
        <f>SUM('Schedule 4 Expenditures by Dept'!H29)</f>
        <v>1699658.6666666667</v>
      </c>
      <c r="H13" s="358">
        <f aca="true" t="shared" si="0" ref="H13:H28">SUM(F13-G13)</f>
        <v>-22068.793333333684</v>
      </c>
      <c r="I13" s="14"/>
    </row>
    <row r="14" spans="1:9" ht="12.75">
      <c r="A14" s="69"/>
      <c r="B14" s="21"/>
      <c r="C14" s="21"/>
      <c r="D14" s="21"/>
      <c r="E14" s="21"/>
      <c r="F14" s="355"/>
      <c r="G14" s="21"/>
      <c r="H14" s="358"/>
      <c r="I14" s="14"/>
    </row>
    <row r="15" spans="1:9" ht="12.75">
      <c r="A15" s="69" t="s">
        <v>111</v>
      </c>
      <c r="B15" s="21">
        <f>SUM('Schedule 4 Expenditures by Dept'!C35)</f>
        <v>14136617.946666665</v>
      </c>
      <c r="C15" s="21">
        <f>SUM('Schedule 4 Expenditures by Dept'!D35)</f>
        <v>14454061.383333331</v>
      </c>
      <c r="D15" s="21">
        <f>SUM('Schedule 4 Expenditures by Dept'!E35)</f>
        <v>11996737.153333332</v>
      </c>
      <c r="E15" s="21">
        <f>SUM('Schedule 4 Expenditures by Dept'!F35)</f>
        <v>3066117.513611111</v>
      </c>
      <c r="F15" s="355">
        <f>SUM(D15:E15)</f>
        <v>15062854.666944444</v>
      </c>
      <c r="G15" s="21">
        <f>SUM('Schedule 4 Expenditures by Dept'!H35)</f>
        <v>14945168</v>
      </c>
      <c r="H15" s="358">
        <f t="shared" si="0"/>
        <v>117686.66694444418</v>
      </c>
      <c r="I15" s="14"/>
    </row>
    <row r="16" spans="1:9" ht="12.75">
      <c r="A16" s="69"/>
      <c r="B16" s="21"/>
      <c r="C16" s="21"/>
      <c r="D16" s="21"/>
      <c r="E16" s="21"/>
      <c r="F16" s="355"/>
      <c r="G16" s="21"/>
      <c r="H16" s="358"/>
      <c r="I16" s="14"/>
    </row>
    <row r="17" spans="1:9" ht="12.75">
      <c r="A17" s="69" t="s">
        <v>16</v>
      </c>
      <c r="B17" s="21">
        <f>SUM('Schedule 4 Expenditures by Dept'!C41)</f>
        <v>5726322.086666666</v>
      </c>
      <c r="C17" s="21">
        <f>SUM('Schedule 4 Expenditures by Dept'!D41)</f>
        <v>5962944.136666668</v>
      </c>
      <c r="D17" s="21">
        <f>SUM('Schedule 4 Expenditures by Dept'!E41)</f>
        <v>5200562.166666667</v>
      </c>
      <c r="E17" s="21">
        <f>SUM('Schedule 4 Expenditures by Dept'!F41)</f>
        <v>1465395.3933333335</v>
      </c>
      <c r="F17" s="355">
        <f>SUM(D17:E17)</f>
        <v>6665957.5600000005</v>
      </c>
      <c r="G17" s="21">
        <f>SUM('Schedule 4 Expenditures by Dept'!H41)</f>
        <v>6635841.333333334</v>
      </c>
      <c r="H17" s="358">
        <f t="shared" si="0"/>
        <v>30116.226666666567</v>
      </c>
      <c r="I17" s="14"/>
    </row>
    <row r="18" spans="1:9" ht="12.75">
      <c r="A18" s="69"/>
      <c r="B18" s="21"/>
      <c r="C18" s="21"/>
      <c r="D18" s="21"/>
      <c r="E18" s="21"/>
      <c r="F18" s="355"/>
      <c r="G18" s="21"/>
      <c r="H18" s="358"/>
      <c r="I18" s="14"/>
    </row>
    <row r="19" spans="1:9" ht="12.75">
      <c r="A19" s="69" t="s">
        <v>109</v>
      </c>
      <c r="B19" s="21">
        <f>SUM('Schedule 4 Expenditures by Dept'!C48)</f>
        <v>293928.31999999995</v>
      </c>
      <c r="C19" s="21">
        <f>SUM('Schedule 4 Expenditures by Dept'!D48)</f>
        <v>350467.52</v>
      </c>
      <c r="D19" s="21">
        <f>SUM('Schedule 4 Expenditures by Dept'!E48)</f>
        <v>293350.9033333333</v>
      </c>
      <c r="E19" s="21">
        <f>SUM('Schedule 4 Expenditures by Dept'!F48)</f>
        <v>83682</v>
      </c>
      <c r="F19" s="355">
        <f>SUM(D19:E19)</f>
        <v>377032.9033333333</v>
      </c>
      <c r="G19" s="21">
        <f>SUM('Schedule 4 Expenditures by Dept'!H48)</f>
        <v>398830</v>
      </c>
      <c r="H19" s="358">
        <f t="shared" si="0"/>
        <v>-21797.09666666668</v>
      </c>
      <c r="I19" s="14"/>
    </row>
    <row r="20" spans="1:9" ht="12.75">
      <c r="A20" s="69"/>
      <c r="B20" s="21"/>
      <c r="C20" s="21"/>
      <c r="D20" s="21"/>
      <c r="E20" s="21"/>
      <c r="F20" s="355"/>
      <c r="G20" s="21"/>
      <c r="H20" s="358"/>
      <c r="I20" s="14"/>
    </row>
    <row r="21" spans="1:9" ht="12.75" customHeight="1">
      <c r="A21" s="69" t="s">
        <v>350</v>
      </c>
      <c r="B21" s="21">
        <f>SUM('Schedule 4 Expenditures by Dept'!C55)</f>
        <v>1551743.6400000001</v>
      </c>
      <c r="C21" s="21">
        <f>SUM('Schedule 4 Expenditures by Dept'!D55)</f>
        <v>1738789.5366666664</v>
      </c>
      <c r="D21" s="21">
        <f>SUM('Schedule 4 Expenditures by Dept'!E55)</f>
        <v>1457901.1066666665</v>
      </c>
      <c r="E21" s="21">
        <f>SUM('Schedule 4 Expenditures by Dept'!F55)</f>
        <v>477590</v>
      </c>
      <c r="F21" s="355">
        <f>SUM(D21:E21)</f>
        <v>1935491.1066666665</v>
      </c>
      <c r="G21" s="21">
        <f>SUM('Schedule 4 Expenditures by Dept'!H55)</f>
        <v>1906203.333333333</v>
      </c>
      <c r="H21" s="358">
        <f t="shared" si="0"/>
        <v>29287.773333333433</v>
      </c>
      <c r="I21" s="14"/>
    </row>
    <row r="22" spans="1:9" ht="12.75">
      <c r="A22" s="69"/>
      <c r="B22" s="21"/>
      <c r="C22" s="21"/>
      <c r="D22" s="21"/>
      <c r="E22" s="21"/>
      <c r="F22" s="355"/>
      <c r="G22" s="21"/>
      <c r="H22" s="358"/>
      <c r="I22" s="14"/>
    </row>
    <row r="23" spans="1:9" ht="12.75">
      <c r="A23" s="69" t="s">
        <v>15</v>
      </c>
      <c r="B23" s="21">
        <f>SUM('Schedule 4 Expenditures by Dept'!C61)</f>
        <v>47063623.43666671</v>
      </c>
      <c r="C23" s="21">
        <f>SUM('Schedule 4 Expenditures by Dept'!D61)</f>
        <v>48730048.383333325</v>
      </c>
      <c r="D23" s="21">
        <f>SUM('Schedule 4 Expenditures by Dept'!E61)</f>
        <v>39389779.82666667</v>
      </c>
      <c r="E23" s="21">
        <f>SUM('Schedule 4 Expenditures by Dept'!F61)</f>
        <v>11952511.999999998</v>
      </c>
      <c r="F23" s="355">
        <f>'Schedule 6 Expends Dept Detail'!F454</f>
        <v>51342291.82666666</v>
      </c>
      <c r="G23" s="21">
        <f>SUM('Schedule 4 Expenditures by Dept'!H61)</f>
        <v>51726666.66666667</v>
      </c>
      <c r="H23" s="358">
        <f t="shared" si="0"/>
        <v>-384374.840000011</v>
      </c>
      <c r="I23" s="14"/>
    </row>
    <row r="24" spans="1:9" ht="12.75">
      <c r="A24" s="69"/>
      <c r="B24" s="21"/>
      <c r="C24" s="21"/>
      <c r="D24" s="21"/>
      <c r="E24" s="21"/>
      <c r="F24" s="355"/>
      <c r="G24" s="21"/>
      <c r="H24" s="358"/>
      <c r="I24" s="14"/>
    </row>
    <row r="25" spans="1:9" ht="12.75">
      <c r="A25" s="69" t="s">
        <v>376</v>
      </c>
      <c r="B25" s="21">
        <f>SUM('Schedule 4 Expenditures by Dept'!C71)</f>
        <v>29495257.799999997</v>
      </c>
      <c r="C25" s="21">
        <f>SUM('Schedule 4 Expenditures by Dept'!D71)</f>
        <v>30463831.94</v>
      </c>
      <c r="D25" s="21">
        <f>SUM('Schedule 4 Expenditures by Dept'!E71)</f>
        <v>25477381.016666662</v>
      </c>
      <c r="E25" s="21">
        <f>SUM('Schedule 4 Expenditures by Dept'!F71)</f>
        <v>4300205.920000001</v>
      </c>
      <c r="F25" s="355">
        <f>SUM(D25:E25)</f>
        <v>29777586.936666664</v>
      </c>
      <c r="G25" s="21">
        <f>SUM('Schedule 4 Expenditures by Dept'!H71)</f>
        <v>29772604.666666664</v>
      </c>
      <c r="H25" s="358">
        <f t="shared" si="0"/>
        <v>4982.269999999553</v>
      </c>
      <c r="I25" s="14"/>
    </row>
    <row r="26" spans="1:9" ht="12.75">
      <c r="A26" s="69" t="s">
        <v>377</v>
      </c>
      <c r="B26" s="21"/>
      <c r="C26" s="21"/>
      <c r="D26" s="21"/>
      <c r="E26" s="21"/>
      <c r="F26" s="355"/>
      <c r="G26" s="21"/>
      <c r="H26" s="358"/>
      <c r="I26" s="14"/>
    </row>
    <row r="27" spans="1:9" ht="12.75">
      <c r="A27" s="69"/>
      <c r="B27" s="21"/>
      <c r="C27" s="21"/>
      <c r="D27" s="21"/>
      <c r="E27" s="21"/>
      <c r="F27" s="355"/>
      <c r="G27" s="21"/>
      <c r="H27" s="358"/>
      <c r="I27" s="14"/>
    </row>
    <row r="28" spans="1:9" ht="12.75">
      <c r="A28" s="69" t="s">
        <v>30</v>
      </c>
      <c r="B28" s="21">
        <f>SUM('Schedule 4 Expenditures by Dept'!C74)</f>
        <v>14573894.333333334</v>
      </c>
      <c r="C28" s="21">
        <f>SUM('Schedule 4 Expenditures by Dept'!D74)</f>
        <v>14683754.36</v>
      </c>
      <c r="D28" s="21">
        <f>SUM('Schedule 4 Expenditures by Dept'!E74)</f>
        <v>12367813.68</v>
      </c>
      <c r="E28" s="21">
        <f>SUM('Schedule 4 Expenditures by Dept'!F74)</f>
        <v>2517119.653333334</v>
      </c>
      <c r="F28" s="355">
        <f>SUM(D28:E28)</f>
        <v>14884933.333333334</v>
      </c>
      <c r="G28" s="21">
        <f>SUM('Schedule 4 Expenditures by Dept'!H74)</f>
        <v>14884933.333333334</v>
      </c>
      <c r="H28" s="358">
        <f t="shared" si="0"/>
        <v>0</v>
      </c>
      <c r="I28" s="14"/>
    </row>
    <row r="29" spans="1:9" ht="13.5" thickBot="1">
      <c r="A29" s="241"/>
      <c r="B29" s="242"/>
      <c r="C29" s="242"/>
      <c r="D29" s="242"/>
      <c r="E29" s="242"/>
      <c r="F29" s="356"/>
      <c r="G29" s="242"/>
      <c r="H29" s="359"/>
      <c r="I29" s="14"/>
    </row>
    <row r="30" spans="1:8" s="1" customFormat="1" ht="13.5" thickBot="1">
      <c r="A30" s="237" t="s">
        <v>120</v>
      </c>
      <c r="B30" s="357">
        <f>SUM(B11:B29)</f>
        <v>115525697.09333336</v>
      </c>
      <c r="C30" s="357">
        <f aca="true" t="shared" si="1" ref="C30:H30">SUM(C11:C29)</f>
        <v>119175793.22666664</v>
      </c>
      <c r="D30" s="357">
        <f t="shared" si="1"/>
        <v>98435274.86666667</v>
      </c>
      <c r="E30" s="357">
        <f t="shared" si="1"/>
        <v>24704445.720167775</v>
      </c>
      <c r="F30" s="357">
        <f t="shared" si="1"/>
        <v>123139720.58683443</v>
      </c>
      <c r="G30" s="357">
        <f t="shared" si="1"/>
        <v>123405876.33333333</v>
      </c>
      <c r="H30" s="357">
        <f t="shared" si="1"/>
        <v>-266155.74649890116</v>
      </c>
    </row>
    <row r="31" spans="1:8" s="1" customFormat="1" ht="13.5" thickTop="1">
      <c r="A31" s="520"/>
      <c r="B31" s="521"/>
      <c r="C31" s="521"/>
      <c r="D31" s="521"/>
      <c r="E31" s="521"/>
      <c r="F31" s="521"/>
      <c r="G31" s="521"/>
      <c r="H31" s="521"/>
    </row>
    <row r="32" spans="1:8" s="1" customFormat="1" ht="15">
      <c r="A32" s="520"/>
      <c r="B32" s="41"/>
      <c r="C32" s="537" t="s">
        <v>552</v>
      </c>
      <c r="D32" s="503"/>
      <c r="E32" s="503"/>
      <c r="F32" s="503"/>
      <c r="G32" s="521"/>
      <c r="H32" s="521"/>
    </row>
    <row r="33" spans="1:8" s="1" customFormat="1" ht="6" customHeight="1">
      <c r="A33" s="520"/>
      <c r="B33" s="41"/>
      <c r="C33" s="7"/>
      <c r="D33" s="7"/>
      <c r="E33" s="7"/>
      <c r="F33" s="7"/>
      <c r="G33" s="521"/>
      <c r="H33" s="521"/>
    </row>
    <row r="34" spans="1:8" s="1" customFormat="1" ht="12.75">
      <c r="A34" s="520"/>
      <c r="B34" s="41"/>
      <c r="C34" s="504" t="s">
        <v>553</v>
      </c>
      <c r="D34" s="7"/>
      <c r="E34" s="7"/>
      <c r="F34" s="7"/>
      <c r="G34" s="521"/>
      <c r="H34" s="521"/>
    </row>
    <row r="35" spans="1:8" s="1" customFormat="1" ht="6" customHeight="1">
      <c r="A35" s="520"/>
      <c r="B35" s="41"/>
      <c r="C35" s="505"/>
      <c r="D35" s="7"/>
      <c r="E35" s="7"/>
      <c r="F35" s="7"/>
      <c r="G35" s="521"/>
      <c r="H35" s="521"/>
    </row>
    <row r="36" spans="1:8" s="1" customFormat="1" ht="25.5" customHeight="1">
      <c r="A36" s="520"/>
      <c r="B36" s="41"/>
      <c r="C36" s="506" t="s">
        <v>554</v>
      </c>
      <c r="D36" s="7"/>
      <c r="E36" s="7"/>
      <c r="F36" s="7"/>
      <c r="G36" s="522"/>
      <c r="H36" s="521"/>
    </row>
    <row r="37" spans="1:8" s="1" customFormat="1" ht="7.5" customHeight="1">
      <c r="A37" s="520"/>
      <c r="B37" s="41"/>
      <c r="C37" s="505"/>
      <c r="D37" s="7"/>
      <c r="E37" s="7"/>
      <c r="F37" s="7"/>
      <c r="G37" s="521"/>
      <c r="H37" s="521"/>
    </row>
    <row r="38" spans="1:8" s="1" customFormat="1" ht="25.5">
      <c r="A38" s="520"/>
      <c r="B38" s="41"/>
      <c r="C38" s="507" t="s">
        <v>555</v>
      </c>
      <c r="D38" s="7"/>
      <c r="E38" s="7"/>
      <c r="F38" s="7"/>
      <c r="G38" s="521"/>
      <c r="H38" s="521"/>
    </row>
    <row r="39" spans="1:8" s="1" customFormat="1" ht="12.75">
      <c r="A39" s="520"/>
      <c r="B39" s="41"/>
      <c r="C39" s="523"/>
      <c r="D39" s="7"/>
      <c r="E39" s="7"/>
      <c r="F39" s="7"/>
      <c r="G39" s="521"/>
      <c r="H39" s="521"/>
    </row>
    <row r="40" spans="1:8" s="1" customFormat="1" ht="25.5">
      <c r="A40" s="520"/>
      <c r="B40" s="41"/>
      <c r="C40" s="508" t="s">
        <v>556</v>
      </c>
      <c r="D40" s="7"/>
      <c r="E40" s="7"/>
      <c r="F40" s="7"/>
      <c r="G40" s="521"/>
      <c r="H40" s="521"/>
    </row>
    <row r="41" spans="2:9" ht="5.25" customHeight="1">
      <c r="B41" s="79"/>
      <c r="C41" s="505"/>
      <c r="D41" s="7"/>
      <c r="E41" s="7"/>
      <c r="F41" s="496"/>
      <c r="I41" s="14"/>
    </row>
    <row r="42" spans="2:9" ht="18">
      <c r="B42" s="14"/>
      <c r="C42" s="14"/>
      <c r="D42" s="7"/>
      <c r="E42" s="496"/>
      <c r="F42" s="496"/>
      <c r="I42" s="14"/>
    </row>
    <row r="43" spans="2:9" ht="18">
      <c r="B43" s="7"/>
      <c r="C43" s="7"/>
      <c r="D43" s="501"/>
      <c r="E43" s="496"/>
      <c r="F43" s="496"/>
      <c r="G43" s="7"/>
      <c r="H43" s="496"/>
      <c r="I43" s="496"/>
    </row>
    <row r="44" spans="2:9" ht="18">
      <c r="B44" s="7"/>
      <c r="C44" s="14"/>
      <c r="D44" s="14"/>
      <c r="E44" s="14"/>
      <c r="F44" s="14"/>
      <c r="G44" s="503"/>
      <c r="H44" s="503"/>
      <c r="I44" s="496"/>
    </row>
    <row r="45" spans="2:9" ht="6.75" customHeight="1">
      <c r="B45" s="7"/>
      <c r="C45" s="14"/>
      <c r="D45" s="14"/>
      <c r="E45" s="14"/>
      <c r="F45" s="14"/>
      <c r="G45" s="7"/>
      <c r="H45" s="7"/>
      <c r="I45" s="496"/>
    </row>
    <row r="46" spans="2:9" ht="18">
      <c r="B46" s="7"/>
      <c r="C46" s="14"/>
      <c r="D46" s="14"/>
      <c r="E46" s="14"/>
      <c r="F46" s="14"/>
      <c r="G46" s="7"/>
      <c r="H46" s="7"/>
      <c r="I46" s="496"/>
    </row>
    <row r="47" spans="2:9" ht="6" customHeight="1">
      <c r="B47" s="7"/>
      <c r="C47" s="14"/>
      <c r="D47" s="14"/>
      <c r="E47" s="14"/>
      <c r="F47" s="14"/>
      <c r="G47" s="7"/>
      <c r="H47" s="7"/>
      <c r="I47" s="496"/>
    </row>
    <row r="48" spans="2:9" ht="18">
      <c r="B48" s="7"/>
      <c r="C48" s="14"/>
      <c r="D48" s="14"/>
      <c r="E48" s="14"/>
      <c r="F48" s="14"/>
      <c r="G48" s="7"/>
      <c r="H48" s="7"/>
      <c r="I48" s="496"/>
    </row>
    <row r="49" spans="2:9" ht="6.75" customHeight="1">
      <c r="B49" s="7"/>
      <c r="C49" s="14"/>
      <c r="D49" s="14"/>
      <c r="E49" s="14"/>
      <c r="F49" s="14"/>
      <c r="G49" s="7"/>
      <c r="H49" s="7"/>
      <c r="I49" s="496"/>
    </row>
    <row r="50" spans="2:9" ht="18">
      <c r="B50" s="7"/>
      <c r="C50" s="14"/>
      <c r="D50" s="14"/>
      <c r="E50" s="14"/>
      <c r="F50" s="14"/>
      <c r="G50" s="7"/>
      <c r="H50" s="7"/>
      <c r="I50" s="496"/>
    </row>
    <row r="51" spans="2:9" ht="9.75" customHeight="1">
      <c r="B51" s="7"/>
      <c r="C51" s="14"/>
      <c r="D51" s="14"/>
      <c r="E51" s="14"/>
      <c r="F51" s="14"/>
      <c r="G51" s="7"/>
      <c r="H51" s="496"/>
      <c r="I51" s="496"/>
    </row>
    <row r="52" spans="2:9" ht="18">
      <c r="B52" s="7"/>
      <c r="C52" s="14"/>
      <c r="D52" s="14"/>
      <c r="E52" s="14"/>
      <c r="F52" s="14"/>
      <c r="G52" s="496"/>
      <c r="H52" s="496"/>
      <c r="I52" s="496"/>
    </row>
    <row r="53" spans="2:9" ht="18">
      <c r="B53" s="7"/>
      <c r="C53" s="7"/>
      <c r="D53" s="501"/>
      <c r="E53" s="496"/>
      <c r="F53" s="496"/>
      <c r="G53" s="7"/>
      <c r="H53" s="496"/>
      <c r="I53" s="496"/>
    </row>
    <row r="57" ht="12.75">
      <c r="A57" s="14" t="s">
        <v>132</v>
      </c>
    </row>
  </sheetData>
  <printOptions horizontalCentered="1" verticalCentered="1"/>
  <pageMargins left="0.17" right="0.17" top="0.7" bottom="0.25" header="0.5" footer="0.52"/>
  <pageSetup horizontalDpi="300" verticalDpi="300" orientation="landscape" r:id="rId1"/>
  <headerFooter alignWithMargins="0">
    <oddFooter>&amp;L&amp;D&amp;REXPENDITURE SUMMARY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="75" zoomScaleNormal="75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5" sqref="D15"/>
    </sheetView>
  </sheetViews>
  <sheetFormatPr defaultColWidth="9.140625" defaultRowHeight="12.75"/>
  <cols>
    <col min="1" max="1" width="9.140625" style="14" customWidth="1"/>
    <col min="2" max="2" width="30.140625" style="14" customWidth="1"/>
    <col min="3" max="4" width="15.140625" style="18" customWidth="1"/>
    <col min="5" max="5" width="16.00390625" style="18" bestFit="1" customWidth="1"/>
    <col min="6" max="6" width="16.28125" style="18" customWidth="1"/>
    <col min="7" max="8" width="15.00390625" style="18" bestFit="1" customWidth="1"/>
    <col min="9" max="9" width="13.8515625" style="18" customWidth="1"/>
    <col min="10" max="16384" width="9.140625" style="14" customWidth="1"/>
  </cols>
  <sheetData>
    <row r="1" spans="2:8" ht="20.25">
      <c r="B1" s="269" t="s">
        <v>366</v>
      </c>
      <c r="C1" s="79"/>
      <c r="D1" s="63"/>
      <c r="E1" s="42"/>
      <c r="F1" s="42" t="s">
        <v>475</v>
      </c>
      <c r="G1" s="42"/>
      <c r="H1" s="65"/>
    </row>
    <row r="2" spans="3:8" ht="4.5" customHeight="1">
      <c r="C2" s="79"/>
      <c r="D2" s="69"/>
      <c r="E2" s="21"/>
      <c r="F2" s="21"/>
      <c r="G2" s="21"/>
      <c r="H2" s="70"/>
    </row>
    <row r="3" spans="3:8" ht="16.5" thickBot="1">
      <c r="C3" s="80"/>
      <c r="D3" s="71"/>
      <c r="E3" s="72"/>
      <c r="F3" s="72" t="s">
        <v>123</v>
      </c>
      <c r="G3" s="72"/>
      <c r="H3" s="73"/>
    </row>
    <row r="4" spans="3:4" ht="16.5" thickBot="1">
      <c r="C4" s="45"/>
      <c r="D4" s="45"/>
    </row>
    <row r="5" spans="1:9" ht="12.75">
      <c r="A5" s="245"/>
      <c r="B5" s="243"/>
      <c r="C5" s="81" t="s">
        <v>375</v>
      </c>
      <c r="D5" s="64"/>
      <c r="E5" s="54" t="s">
        <v>318</v>
      </c>
      <c r="F5" s="64"/>
      <c r="G5" s="64"/>
      <c r="H5" s="64"/>
      <c r="I5" s="65"/>
    </row>
    <row r="6" spans="1:9" s="1" customFormat="1" ht="12.75">
      <c r="A6" s="246" t="s">
        <v>388</v>
      </c>
      <c r="B6" s="41"/>
      <c r="C6" s="38"/>
      <c r="D6" s="82"/>
      <c r="E6" s="57" t="s">
        <v>11</v>
      </c>
      <c r="F6" s="57" t="s">
        <v>8</v>
      </c>
      <c r="G6" s="57" t="s">
        <v>36</v>
      </c>
      <c r="H6" s="57" t="s">
        <v>112</v>
      </c>
      <c r="I6" s="58" t="s">
        <v>9</v>
      </c>
    </row>
    <row r="7" spans="1:9" s="1" customFormat="1" ht="13.5" thickBot="1">
      <c r="A7" s="247" t="s">
        <v>389</v>
      </c>
      <c r="B7" s="244" t="s">
        <v>10</v>
      </c>
      <c r="C7" s="67" t="s">
        <v>289</v>
      </c>
      <c r="D7" s="67" t="s">
        <v>316</v>
      </c>
      <c r="E7" s="67" t="str">
        <f>'Schedule 2 Revenue Summary'!D7</f>
        <v>As of 4/30/09</v>
      </c>
      <c r="F7" s="67" t="str">
        <f>'Schedule 2 Revenue Summary'!E7</f>
        <v>2 months</v>
      </c>
      <c r="G7" s="67" t="s">
        <v>12</v>
      </c>
      <c r="H7" s="67" t="s">
        <v>13</v>
      </c>
      <c r="I7" s="68" t="s">
        <v>14</v>
      </c>
    </row>
    <row r="8" spans="1:9" ht="13.5" thickBot="1">
      <c r="A8" s="248"/>
      <c r="B8" s="15"/>
      <c r="C8" s="20"/>
      <c r="D8" s="20"/>
      <c r="F8" s="20"/>
      <c r="G8" s="20"/>
      <c r="H8" s="20"/>
      <c r="I8" s="20"/>
    </row>
    <row r="9" spans="1:9" ht="12.75">
      <c r="A9" s="248"/>
      <c r="B9" s="63"/>
      <c r="C9" s="64"/>
      <c r="D9" s="64"/>
      <c r="E9" s="64"/>
      <c r="F9" s="64"/>
      <c r="G9" s="64"/>
      <c r="H9" s="64"/>
      <c r="I9" s="65"/>
    </row>
    <row r="10" spans="1:9" ht="12.75">
      <c r="A10" s="248"/>
      <c r="B10" s="59" t="s">
        <v>99</v>
      </c>
      <c r="C10" s="21"/>
      <c r="D10" s="21"/>
      <c r="E10" s="21"/>
      <c r="F10" s="249"/>
      <c r="G10" s="249"/>
      <c r="H10" s="21"/>
      <c r="I10" s="70"/>
    </row>
    <row r="11" spans="1:9" ht="12.75">
      <c r="A11" s="248"/>
      <c r="B11" s="69" t="s">
        <v>522</v>
      </c>
      <c r="C11" s="21">
        <f>SUM('Schedule 6 Expends Dept Detail'!B18)</f>
        <v>171551</v>
      </c>
      <c r="D11" s="21">
        <f>SUM('Schedule 6 Expends Dept Detail'!C18)</f>
        <v>159188</v>
      </c>
      <c r="E11" s="21">
        <f>SUM('Schedule 6 Expends Dept Detail'!D18)</f>
        <v>153967</v>
      </c>
      <c r="F11" s="21">
        <f>SUM('Schedule 6 Expends Dept Detail'!E18)</f>
        <v>48749.26989</v>
      </c>
      <c r="G11" s="355">
        <f aca="true" t="shared" si="0" ref="G11:G16">SUM(E11:F11)</f>
        <v>202716.26989</v>
      </c>
      <c r="H11" s="21">
        <f>SUM('Schedule 6 Expends Dept Detail'!G18)</f>
        <v>219185</v>
      </c>
      <c r="I11" s="358">
        <f aca="true" t="shared" si="1" ref="I11:I16">SUM(G11-H11)</f>
        <v>-16468.730110000004</v>
      </c>
    </row>
    <row r="12" spans="1:9" ht="12.75">
      <c r="A12" s="248"/>
      <c r="B12" s="69" t="s">
        <v>523</v>
      </c>
      <c r="C12" s="21">
        <f>SUM('Schedule 6 Expends Dept Detail'!B34)</f>
        <v>20222</v>
      </c>
      <c r="D12" s="21">
        <f>SUM('Schedule 6 Expends Dept Detail'!C34)</f>
        <v>19778</v>
      </c>
      <c r="E12" s="21">
        <f>SUM('Schedule 6 Expends Dept Detail'!D34)</f>
        <v>17886</v>
      </c>
      <c r="F12" s="21">
        <f>SUM('Schedule 6 Expends Dept Detail'!E34)</f>
        <v>4697</v>
      </c>
      <c r="G12" s="355">
        <f t="shared" si="0"/>
        <v>22583</v>
      </c>
      <c r="H12" s="21">
        <f>SUM('Schedule 6 Expends Dept Detail'!G34)</f>
        <v>22583</v>
      </c>
      <c r="I12" s="358">
        <f t="shared" si="1"/>
        <v>0</v>
      </c>
    </row>
    <row r="13" spans="1:9" ht="12.75">
      <c r="A13" s="248"/>
      <c r="B13" s="69" t="s">
        <v>72</v>
      </c>
      <c r="C13" s="21">
        <f>SUM('Schedule 6 Expends Dept Detail'!B53)</f>
        <v>489952.3166666666</v>
      </c>
      <c r="D13" s="21">
        <f>SUM('Schedule 6 Expends Dept Detail'!C53)</f>
        <v>556119.7799999999</v>
      </c>
      <c r="E13" s="21">
        <f>SUM('Schedule 6 Expends Dept Detail'!D53)</f>
        <v>399538.9633333334</v>
      </c>
      <c r="F13" s="21">
        <f>SUM('Schedule 6 Expends Dept Detail'!E53)</f>
        <v>187045.08666666667</v>
      </c>
      <c r="G13" s="355">
        <f t="shared" si="0"/>
        <v>586584.05</v>
      </c>
      <c r="H13" s="21">
        <f>SUM('Schedule 6 Expends Dept Detail'!G53)</f>
        <v>589997</v>
      </c>
      <c r="I13" s="358">
        <f t="shared" si="1"/>
        <v>-3412.9499999999534</v>
      </c>
    </row>
    <row r="14" spans="1:9" ht="12.75">
      <c r="A14" s="248"/>
      <c r="B14" s="69" t="s">
        <v>524</v>
      </c>
      <c r="C14" s="21">
        <f>SUM('Schedule 6 Expends Dept Detail'!B74)</f>
        <v>187544.12666666665</v>
      </c>
      <c r="D14" s="21">
        <f>SUM('Schedule 6 Expends Dept Detail'!C74)</f>
        <v>189419.57333333336</v>
      </c>
      <c r="E14" s="21">
        <f>SUM('Schedule 6 Expends Dept Detail'!D74)</f>
        <v>144870.77999999997</v>
      </c>
      <c r="F14" s="21">
        <f>SUM('Schedule 6 Expends Dept Detail'!E74)</f>
        <v>56382.54666666666</v>
      </c>
      <c r="G14" s="355">
        <f t="shared" si="0"/>
        <v>201253.32666666663</v>
      </c>
      <c r="H14" s="21">
        <f>SUM('Schedule 6 Expends Dept Detail'!G74)</f>
        <v>201417.33333333334</v>
      </c>
      <c r="I14" s="358">
        <f t="shared" si="1"/>
        <v>-164.00666666671168</v>
      </c>
    </row>
    <row r="15" spans="1:9" ht="12.75">
      <c r="A15" s="248"/>
      <c r="B15" s="69" t="s">
        <v>378</v>
      </c>
      <c r="C15" s="21">
        <f>SUM('Schedule 6 Expends Dept Detail'!B98)</f>
        <v>256145.7533333333</v>
      </c>
      <c r="D15" s="21">
        <f>SUM('Schedule 6 Expends Dept Detail'!C98)</f>
        <v>254365.57000000004</v>
      </c>
      <c r="E15" s="21">
        <f>SUM('Schedule 6 Expends Dept Detail'!D98)</f>
        <v>207365.8533333333</v>
      </c>
      <c r="F15" s="21">
        <f>SUM('Schedule 6 Expends Dept Detail'!E98)</f>
        <v>76846.72666666667</v>
      </c>
      <c r="G15" s="355">
        <f t="shared" si="0"/>
        <v>284212.57999999996</v>
      </c>
      <c r="H15" s="21">
        <f>SUM('Schedule 6 Expends Dept Detail'!G98)</f>
        <v>284143</v>
      </c>
      <c r="I15" s="358">
        <f t="shared" si="1"/>
        <v>69.57999999995809</v>
      </c>
    </row>
    <row r="16" spans="1:9" ht="12.75">
      <c r="A16" s="248"/>
      <c r="B16" s="69" t="s">
        <v>379</v>
      </c>
      <c r="C16" s="21">
        <f>SUM('Schedule 6 Expends Dept Detail'!B120)</f>
        <v>98962.19666666668</v>
      </c>
      <c r="D16" s="21">
        <f>SUM('Schedule 6 Expends Dept Detail'!C120)</f>
        <v>123233.91666666664</v>
      </c>
      <c r="E16" s="21">
        <f>SUM('Schedule 6 Expends Dept Detail'!D120)</f>
        <v>100173.15333333332</v>
      </c>
      <c r="F16" s="21">
        <f>SUM('Schedule 6 Expends Dept Detail'!E120)</f>
        <v>18460</v>
      </c>
      <c r="G16" s="355">
        <f t="shared" si="0"/>
        <v>118633.15333333332</v>
      </c>
      <c r="H16" s="21">
        <f>SUM('Schedule 6 Expends Dept Detail'!G120)</f>
        <v>118645</v>
      </c>
      <c r="I16" s="358">
        <f t="shared" si="1"/>
        <v>-11.846666666679084</v>
      </c>
    </row>
    <row r="17" spans="1:9" ht="12.75">
      <c r="A17" s="248"/>
      <c r="B17" s="69" t="s">
        <v>100</v>
      </c>
      <c r="C17" s="360">
        <f aca="true" t="shared" si="2" ref="C17:I17">SUM(C11:C16)</f>
        <v>1224377.3933333335</v>
      </c>
      <c r="D17" s="360">
        <f t="shared" si="2"/>
        <v>1302104.84</v>
      </c>
      <c r="E17" s="360">
        <f t="shared" si="2"/>
        <v>1023801.75</v>
      </c>
      <c r="F17" s="360">
        <f t="shared" si="2"/>
        <v>392180.62989</v>
      </c>
      <c r="G17" s="360">
        <f t="shared" si="2"/>
        <v>1415982.37989</v>
      </c>
      <c r="H17" s="360">
        <f t="shared" si="2"/>
        <v>1435970.3333333335</v>
      </c>
      <c r="I17" s="361">
        <f t="shared" si="2"/>
        <v>-19987.95344333339</v>
      </c>
    </row>
    <row r="18" spans="1:9" ht="12.75">
      <c r="A18" s="248"/>
      <c r="B18" s="69"/>
      <c r="C18" s="21"/>
      <c r="D18" s="21"/>
      <c r="E18" s="21"/>
      <c r="F18" s="21"/>
      <c r="G18" s="21"/>
      <c r="H18" s="21"/>
      <c r="I18" s="70"/>
    </row>
    <row r="19" spans="1:9" ht="12.75">
      <c r="A19" s="248"/>
      <c r="B19" s="69"/>
      <c r="C19" s="21"/>
      <c r="D19" s="21"/>
      <c r="E19" s="21"/>
      <c r="F19" s="21"/>
      <c r="G19" s="21"/>
      <c r="H19" s="21"/>
      <c r="I19" s="70"/>
    </row>
    <row r="20" spans="1:9" ht="12.75">
      <c r="A20" s="248"/>
      <c r="B20" s="69"/>
      <c r="C20" s="21"/>
      <c r="D20" s="21"/>
      <c r="E20" s="21"/>
      <c r="F20" s="21"/>
      <c r="G20" s="21"/>
      <c r="H20" s="21"/>
      <c r="I20" s="70"/>
    </row>
    <row r="21" spans="1:9" ht="12.75">
      <c r="A21" s="248"/>
      <c r="B21" s="69"/>
      <c r="C21" s="21"/>
      <c r="D21" s="21"/>
      <c r="E21" s="21"/>
      <c r="F21" s="21"/>
      <c r="G21" s="21"/>
      <c r="H21" s="21"/>
      <c r="I21" s="70"/>
    </row>
    <row r="22" spans="1:9" ht="12.75">
      <c r="A22" s="248"/>
      <c r="B22" s="59" t="s">
        <v>102</v>
      </c>
      <c r="C22" s="21"/>
      <c r="D22" s="21"/>
      <c r="E22" s="21"/>
      <c r="F22" s="21"/>
      <c r="G22" s="21"/>
      <c r="H22" s="21"/>
      <c r="I22" s="70"/>
    </row>
    <row r="23" spans="1:9" ht="12.75">
      <c r="A23" s="248"/>
      <c r="B23" s="69" t="s">
        <v>380</v>
      </c>
      <c r="C23" s="21">
        <f>SUM('Schedule 6 Expends Dept Detail'!B141)</f>
        <v>380413.30333333334</v>
      </c>
      <c r="D23" s="21">
        <f>SUM('Schedule 6 Expends Dept Detail'!C141)</f>
        <v>409534.29</v>
      </c>
      <c r="E23" s="21">
        <f>SUM('Schedule 6 Expends Dept Detail'!D141)</f>
        <v>341815.53666666656</v>
      </c>
      <c r="F23" s="21">
        <f>SUM('Schedule 6 Expends Dept Detail'!E141)</f>
        <v>100431</v>
      </c>
      <c r="G23" s="355">
        <f aca="true" t="shared" si="3" ref="G23:G28">SUM(E23:F23)</f>
        <v>442246.53666666656</v>
      </c>
      <c r="H23" s="21">
        <f>SUM('Schedule 6 Expends Dept Detail'!G141)</f>
        <v>442441.00000000006</v>
      </c>
      <c r="I23" s="358">
        <f aca="true" t="shared" si="4" ref="I23:I28">SUM(G23-H23)</f>
        <v>-194.4633333334932</v>
      </c>
    </row>
    <row r="24" spans="1:9" ht="12.75">
      <c r="A24" s="248"/>
      <c r="B24" s="69" t="s">
        <v>381</v>
      </c>
      <c r="C24" s="21">
        <f>SUM('Schedule 6 Expends Dept Detail'!B164)</f>
        <v>253709.33666666664</v>
      </c>
      <c r="D24" s="21">
        <f>SUM('Schedule 6 Expends Dept Detail'!C164)</f>
        <v>278112.8966666667</v>
      </c>
      <c r="E24" s="21">
        <f>SUM('Schedule 6 Expends Dept Detail'!D164)</f>
        <v>220186.84666666662</v>
      </c>
      <c r="F24" s="21">
        <f>SUM('Schedule 6 Expends Dept Detail'!E164)</f>
        <v>69914.30666666667</v>
      </c>
      <c r="G24" s="355">
        <f t="shared" si="3"/>
        <v>290101.1533333333</v>
      </c>
      <c r="H24" s="21">
        <f>SUM('Schedule 6 Expends Dept Detail'!G164)</f>
        <v>293195</v>
      </c>
      <c r="I24" s="358">
        <f t="shared" si="4"/>
        <v>-3093.846666666679</v>
      </c>
    </row>
    <row r="25" spans="1:9" ht="12.75">
      <c r="A25" s="248"/>
      <c r="B25" s="69" t="s">
        <v>382</v>
      </c>
      <c r="C25" s="21">
        <f>SUM('Schedule 6 Expends Dept Detail'!B186)</f>
        <v>357985.7433333334</v>
      </c>
      <c r="D25" s="21">
        <f>SUM('Schedule 6 Expends Dept Detail'!C186)</f>
        <v>346486.9199999999</v>
      </c>
      <c r="E25" s="21">
        <f>SUM('Schedule 6 Expends Dept Detail'!D186)</f>
        <v>304200.5233333333</v>
      </c>
      <c r="F25" s="21">
        <f>SUM('Schedule 6 Expends Dept Detail'!E186)</f>
        <v>126646.97666666665</v>
      </c>
      <c r="G25" s="355">
        <f t="shared" si="3"/>
        <v>430847.5</v>
      </c>
      <c r="H25" s="21">
        <f>SUM('Schedule 6 Expends Dept Detail'!G186)</f>
        <v>432862.99999999994</v>
      </c>
      <c r="I25" s="358">
        <f t="shared" si="4"/>
        <v>-2015.4999999999418</v>
      </c>
    </row>
    <row r="26" spans="1:9" ht="12.75">
      <c r="A26" s="248"/>
      <c r="B26" s="69" t="s">
        <v>383</v>
      </c>
      <c r="C26" s="21">
        <f>SUM('Schedule 6 Expends Dept Detail'!B206)</f>
        <v>66053.88</v>
      </c>
      <c r="D26" s="21">
        <f>SUM('Schedule 6 Expends Dept Detail'!C206)</f>
        <v>74078.27666666667</v>
      </c>
      <c r="E26" s="21">
        <f>SUM('Schedule 6 Expends Dept Detail'!D206)</f>
        <v>61186.29333333334</v>
      </c>
      <c r="F26" s="21">
        <f>SUM('Schedule 6 Expends Dept Detail'!E206)</f>
        <v>16218.653333333332</v>
      </c>
      <c r="G26" s="355">
        <f t="shared" si="3"/>
        <v>77404.94666666667</v>
      </c>
      <c r="H26" s="21">
        <f>SUM('Schedule 6 Expends Dept Detail'!G206)</f>
        <v>77517.66666666666</v>
      </c>
      <c r="I26" s="358">
        <f t="shared" si="4"/>
        <v>-112.71999999998661</v>
      </c>
    </row>
    <row r="27" spans="1:9" ht="12.75">
      <c r="A27" s="248"/>
      <c r="B27" s="69" t="s">
        <v>525</v>
      </c>
      <c r="C27" s="21">
        <f>SUM('Schedule 6 Expends Dept Detail'!B226)</f>
        <v>57698</v>
      </c>
      <c r="D27" s="21">
        <f>SUM('Schedule 6 Expends Dept Detail'!C226)</f>
        <v>54277</v>
      </c>
      <c r="E27" s="21">
        <f>SUM('Schedule 6 Expends Dept Detail'!D226)</f>
        <v>44908</v>
      </c>
      <c r="F27" s="21">
        <f>SUM('Schedule 6 Expends Dept Detail'!E226)</f>
        <v>11787</v>
      </c>
      <c r="G27" s="355">
        <f t="shared" si="3"/>
        <v>56695</v>
      </c>
      <c r="H27" s="21">
        <f>SUM('Schedule 6 Expends Dept Detail'!G226)</f>
        <v>57564</v>
      </c>
      <c r="I27" s="358">
        <f t="shared" si="4"/>
        <v>-869</v>
      </c>
    </row>
    <row r="28" spans="1:9" ht="12.75">
      <c r="A28" s="248"/>
      <c r="B28" s="69" t="s">
        <v>384</v>
      </c>
      <c r="C28" s="21">
        <f>SUM('Schedule 6 Expends Dept Detail'!B249)</f>
        <v>344071.8733333334</v>
      </c>
      <c r="D28" s="21">
        <f>SUM('Schedule 6 Expends Dept Detail'!C249)</f>
        <v>327301.74333333335</v>
      </c>
      <c r="E28" s="21">
        <f>SUM('Schedule 6 Expends Dept Detail'!D249)</f>
        <v>255650.06333333332</v>
      </c>
      <c r="F28" s="21">
        <f>SUM('Schedule 6 Expends Dept Detail'!E249)</f>
        <v>124644.67333333334</v>
      </c>
      <c r="G28" s="355">
        <f t="shared" si="3"/>
        <v>380294.7366666667</v>
      </c>
      <c r="H28" s="21">
        <f>SUM('Schedule 6 Expends Dept Detail'!G249)</f>
        <v>396078</v>
      </c>
      <c r="I28" s="358">
        <f t="shared" si="4"/>
        <v>-15783.263333333307</v>
      </c>
    </row>
    <row r="29" spans="1:9" ht="12.75">
      <c r="A29" s="248"/>
      <c r="B29" s="69" t="s">
        <v>101</v>
      </c>
      <c r="C29" s="360">
        <f aca="true" t="shared" si="5" ref="C29:I29">SUM(C23:C28)</f>
        <v>1459932.1366666667</v>
      </c>
      <c r="D29" s="360">
        <f t="shared" si="5"/>
        <v>1489791.1266666667</v>
      </c>
      <c r="E29" s="360">
        <f t="shared" si="5"/>
        <v>1227947.2633333332</v>
      </c>
      <c r="F29" s="360">
        <f t="shared" si="5"/>
        <v>449642.61</v>
      </c>
      <c r="G29" s="360">
        <f t="shared" si="5"/>
        <v>1677589.8733333335</v>
      </c>
      <c r="H29" s="360">
        <f t="shared" si="5"/>
        <v>1699658.6666666667</v>
      </c>
      <c r="I29" s="361">
        <f t="shared" si="5"/>
        <v>-22068.793333333408</v>
      </c>
    </row>
    <row r="30" spans="2:9" ht="13.5" thickBot="1">
      <c r="B30" s="241"/>
      <c r="C30" s="242"/>
      <c r="D30" s="242"/>
      <c r="E30" s="242"/>
      <c r="F30" s="242"/>
      <c r="G30" s="242"/>
      <c r="H30" s="242"/>
      <c r="I30" s="73"/>
    </row>
    <row r="31" spans="1:9" ht="12.75">
      <c r="A31" s="248"/>
      <c r="B31" s="69"/>
      <c r="C31" s="21"/>
      <c r="D31" s="21"/>
      <c r="E31" s="21"/>
      <c r="F31" s="21"/>
      <c r="G31" s="21"/>
      <c r="H31" s="21"/>
      <c r="I31" s="70"/>
    </row>
    <row r="32" spans="1:9" ht="12.75">
      <c r="A32" s="248"/>
      <c r="B32" s="59" t="s">
        <v>103</v>
      </c>
      <c r="C32" s="79"/>
      <c r="D32" s="79"/>
      <c r="E32" s="21"/>
      <c r="F32" s="249"/>
      <c r="G32" s="249"/>
      <c r="H32" s="21"/>
      <c r="I32" s="70"/>
    </row>
    <row r="33" spans="1:9" ht="12.75">
      <c r="A33" s="248"/>
      <c r="B33" s="69" t="s">
        <v>385</v>
      </c>
      <c r="C33" s="21">
        <f>SUM('Schedule 6 Expends Dept Detail'!B272)</f>
        <v>8238735.506666666</v>
      </c>
      <c r="D33" s="21">
        <f>SUM('Schedule 6 Expends Dept Detail'!C272)</f>
        <v>8396250.829999998</v>
      </c>
      <c r="E33" s="21">
        <f>SUM('Schedule 6 Expends Dept Detail'!D272)</f>
        <v>7011159.353333332</v>
      </c>
      <c r="F33" s="21">
        <f>SUM('Schedule 6 Expends Dept Detail'!E272)</f>
        <v>1981503.513611111</v>
      </c>
      <c r="G33" s="355">
        <f>SUM(E33:F33)</f>
        <v>8992662.866944443</v>
      </c>
      <c r="H33" s="355">
        <f>SUM('Schedule 6 Expends Dept Detail'!G272)</f>
        <v>8850343</v>
      </c>
      <c r="I33" s="70">
        <f>SUM(G33-H33)</f>
        <v>142319.86694444343</v>
      </c>
    </row>
    <row r="34" spans="1:9" ht="12.75">
      <c r="A34" s="248"/>
      <c r="B34" s="69" t="s">
        <v>386</v>
      </c>
      <c r="C34" s="21">
        <f>SUM('Schedule 6 Expends Dept Detail'!B305)</f>
        <v>5897882.44</v>
      </c>
      <c r="D34" s="21">
        <f>SUM('Schedule 6 Expends Dept Detail'!C305)</f>
        <v>6057810.553333333</v>
      </c>
      <c r="E34" s="21">
        <f>SUM('Schedule 6 Expends Dept Detail'!D305)</f>
        <v>4985577.8</v>
      </c>
      <c r="F34" s="21">
        <f>SUM('Schedule 6 Expends Dept Detail'!E305)</f>
        <v>1084614</v>
      </c>
      <c r="G34" s="355">
        <f>SUM(E34:F34)</f>
        <v>6070191.8</v>
      </c>
      <c r="H34" s="355">
        <f>SUM('Schedule 6 Expends Dept Detail'!G305)</f>
        <v>6094825</v>
      </c>
      <c r="I34" s="70">
        <f>SUM(G34-H34)</f>
        <v>-24633.200000000186</v>
      </c>
    </row>
    <row r="35" spans="1:9" ht="12.75">
      <c r="A35" s="248"/>
      <c r="B35" s="69" t="s">
        <v>101</v>
      </c>
      <c r="C35" s="360">
        <f aca="true" t="shared" si="6" ref="C35:I35">SUM(C33:C34)</f>
        <v>14136617.946666665</v>
      </c>
      <c r="D35" s="360">
        <f t="shared" si="6"/>
        <v>14454061.383333331</v>
      </c>
      <c r="E35" s="360">
        <f t="shared" si="6"/>
        <v>11996737.153333332</v>
      </c>
      <c r="F35" s="360">
        <f t="shared" si="6"/>
        <v>3066117.513611111</v>
      </c>
      <c r="G35" s="360">
        <f t="shared" si="6"/>
        <v>15062854.666944444</v>
      </c>
      <c r="H35" s="360">
        <f t="shared" si="6"/>
        <v>14945168</v>
      </c>
      <c r="I35" s="361">
        <f t="shared" si="6"/>
        <v>117686.66694444325</v>
      </c>
    </row>
    <row r="36" spans="1:9" ht="12.75">
      <c r="A36" s="248"/>
      <c r="B36" s="69"/>
      <c r="C36" s="21"/>
      <c r="D36" s="21"/>
      <c r="E36" s="21"/>
      <c r="F36" s="21"/>
      <c r="G36" s="21"/>
      <c r="H36" s="21"/>
      <c r="I36" s="70"/>
    </row>
    <row r="37" spans="1:9" ht="12.75">
      <c r="A37" s="248"/>
      <c r="B37" s="69"/>
      <c r="C37" s="21"/>
      <c r="D37" s="21"/>
      <c r="E37" s="21"/>
      <c r="F37" s="21"/>
      <c r="G37" s="21"/>
      <c r="H37" s="21"/>
      <c r="I37" s="70"/>
    </row>
    <row r="38" spans="1:9" ht="12.75">
      <c r="A38" s="248"/>
      <c r="B38" s="69"/>
      <c r="C38" s="21"/>
      <c r="D38" s="21"/>
      <c r="E38" s="21"/>
      <c r="F38" s="21"/>
      <c r="G38" s="21"/>
      <c r="H38" s="21"/>
      <c r="I38" s="70"/>
    </row>
    <row r="39" spans="1:9" ht="12.75">
      <c r="A39" s="248"/>
      <c r="B39" s="59" t="s">
        <v>104</v>
      </c>
      <c r="C39" s="21"/>
      <c r="D39" s="21"/>
      <c r="E39" s="21"/>
      <c r="F39" s="21"/>
      <c r="G39" s="21"/>
      <c r="H39" s="21"/>
      <c r="I39" s="70"/>
    </row>
    <row r="40" spans="1:9" ht="12.75">
      <c r="A40" s="248"/>
      <c r="B40" s="69" t="s">
        <v>387</v>
      </c>
      <c r="C40" s="250">
        <f>SUM('Schedule 6 Expends Dept Detail'!B338)</f>
        <v>5726322.086666666</v>
      </c>
      <c r="D40" s="21">
        <f>SUM('Schedule 6 Expends Dept Detail'!C338)</f>
        <v>5962944.136666668</v>
      </c>
      <c r="E40" s="21">
        <f>SUM('Schedule 6 Expends Dept Detail'!D338)</f>
        <v>5200562.166666667</v>
      </c>
      <c r="F40" s="21">
        <f>SUM('Schedule 6 Expends Dept Detail'!E338)</f>
        <v>1465395.3933333335</v>
      </c>
      <c r="G40" s="355">
        <f>SUM(E40:F40)</f>
        <v>6665957.5600000005</v>
      </c>
      <c r="H40" s="21">
        <f>SUM('Schedule 6 Expends Dept Detail'!G338)</f>
        <v>6635841.333333334</v>
      </c>
      <c r="I40" s="358">
        <f>SUM(G40-H40)</f>
        <v>30116.226666666567</v>
      </c>
    </row>
    <row r="41" spans="1:9" ht="12.75">
      <c r="A41" s="248"/>
      <c r="B41" s="69" t="s">
        <v>101</v>
      </c>
      <c r="C41" s="360">
        <f aca="true" t="shared" si="7" ref="C41:I41">SUM(C40:C40)</f>
        <v>5726322.086666666</v>
      </c>
      <c r="D41" s="360">
        <f t="shared" si="7"/>
        <v>5962944.136666668</v>
      </c>
      <c r="E41" s="360">
        <f t="shared" si="7"/>
        <v>5200562.166666667</v>
      </c>
      <c r="F41" s="360">
        <f t="shared" si="7"/>
        <v>1465395.3933333335</v>
      </c>
      <c r="G41" s="360">
        <f t="shared" si="7"/>
        <v>6665957.5600000005</v>
      </c>
      <c r="H41" s="360">
        <f t="shared" si="7"/>
        <v>6635841.333333334</v>
      </c>
      <c r="I41" s="361">
        <f t="shared" si="7"/>
        <v>30116.226666666567</v>
      </c>
    </row>
    <row r="42" spans="1:9" ht="12.75">
      <c r="A42" s="248"/>
      <c r="B42" s="69"/>
      <c r="C42" s="21"/>
      <c r="D42" s="21"/>
      <c r="E42" s="21"/>
      <c r="F42" s="21"/>
      <c r="G42" s="21"/>
      <c r="H42" s="21"/>
      <c r="I42" s="70"/>
    </row>
    <row r="43" spans="1:9" ht="12.75">
      <c r="A43" s="248"/>
      <c r="B43" s="69"/>
      <c r="C43" s="21"/>
      <c r="D43" s="21"/>
      <c r="E43" s="21"/>
      <c r="F43" s="21"/>
      <c r="G43" s="21"/>
      <c r="H43" s="21"/>
      <c r="I43" s="70"/>
    </row>
    <row r="44" spans="1:9" ht="12.75">
      <c r="A44" s="248"/>
      <c r="B44" s="69"/>
      <c r="C44" s="21"/>
      <c r="D44" s="21"/>
      <c r="E44" s="21"/>
      <c r="F44" s="21"/>
      <c r="G44" s="21"/>
      <c r="H44" s="21"/>
      <c r="I44" s="70"/>
    </row>
    <row r="45" spans="1:9" ht="12.75">
      <c r="A45" s="248"/>
      <c r="B45" s="59" t="s">
        <v>121</v>
      </c>
      <c r="C45" s="21"/>
      <c r="D45" s="21"/>
      <c r="E45" s="251"/>
      <c r="F45" s="251"/>
      <c r="G45" s="251"/>
      <c r="H45" s="21"/>
      <c r="I45" s="70"/>
    </row>
    <row r="46" spans="1:9" ht="12.75">
      <c r="A46" s="248"/>
      <c r="B46" s="69" t="s">
        <v>526</v>
      </c>
      <c r="C46" s="21">
        <f>SUM('Schedule 6 Expends Dept Detail'!B365)</f>
        <v>86082.61666666667</v>
      </c>
      <c r="D46" s="21">
        <f>SUM('Schedule 6 Expends Dept Detail'!C365)</f>
        <v>111213.45666666668</v>
      </c>
      <c r="E46" s="21">
        <f>SUM('Schedule 6 Expends Dept Detail'!D365)</f>
        <v>98639.99666666666</v>
      </c>
      <c r="F46" s="21">
        <f>SUM('Schedule 6 Expends Dept Detail'!E365)</f>
        <v>31492</v>
      </c>
      <c r="G46" s="355">
        <f>SUM(E46:F46)</f>
        <v>130131.99666666666</v>
      </c>
      <c r="H46" s="21">
        <f>SUM('Schedule 6 Expends Dept Detail'!G365)</f>
        <v>133875.33333333334</v>
      </c>
      <c r="I46" s="358">
        <f>SUM(G46-H46)</f>
        <v>-3743.3366666666843</v>
      </c>
    </row>
    <row r="47" spans="1:9" ht="12.75">
      <c r="A47" s="248"/>
      <c r="B47" s="69" t="s">
        <v>527</v>
      </c>
      <c r="C47" s="21">
        <f>SUM('Schedule 6 Expends Dept Detail'!B387)</f>
        <v>207845.7033333333</v>
      </c>
      <c r="D47" s="21">
        <f>SUM('Schedule 6 Expends Dept Detail'!C387)</f>
        <v>239254.06333333335</v>
      </c>
      <c r="E47" s="21">
        <f>SUM('Schedule 6 Expends Dept Detail'!D387)</f>
        <v>194710.90666666665</v>
      </c>
      <c r="F47" s="21">
        <f>SUM('Schedule 6 Expends Dept Detail'!E387)</f>
        <v>52190</v>
      </c>
      <c r="G47" s="355">
        <f>SUM(E47:F47)</f>
        <v>246900.90666666665</v>
      </c>
      <c r="H47" s="21">
        <f>SUM('Schedule 6 Expends Dept Detail'!G387)</f>
        <v>264954.6666666666</v>
      </c>
      <c r="I47" s="358">
        <f>SUM(G47-H47)</f>
        <v>-18053.75999999998</v>
      </c>
    </row>
    <row r="48" spans="1:9" ht="12.75">
      <c r="A48" s="248"/>
      <c r="B48" s="69" t="s">
        <v>101</v>
      </c>
      <c r="C48" s="360">
        <f>SUM(C46:C47)</f>
        <v>293928.31999999995</v>
      </c>
      <c r="D48" s="360">
        <f aca="true" t="shared" si="8" ref="D48:I48">SUM(D46:D47)</f>
        <v>350467.52</v>
      </c>
      <c r="E48" s="360">
        <f t="shared" si="8"/>
        <v>293350.9033333333</v>
      </c>
      <c r="F48" s="360">
        <f t="shared" si="8"/>
        <v>83682</v>
      </c>
      <c r="G48" s="360">
        <f t="shared" si="8"/>
        <v>377032.9033333333</v>
      </c>
      <c r="H48" s="360">
        <f t="shared" si="8"/>
        <v>398830</v>
      </c>
      <c r="I48" s="361">
        <f t="shared" si="8"/>
        <v>-21797.096666666665</v>
      </c>
    </row>
    <row r="49" spans="1:9" ht="12.75">
      <c r="A49" s="248"/>
      <c r="B49" s="69"/>
      <c r="C49" s="21"/>
      <c r="D49" s="21"/>
      <c r="E49" s="21"/>
      <c r="F49" s="21"/>
      <c r="G49" s="21"/>
      <c r="H49" s="21"/>
      <c r="I49" s="70"/>
    </row>
    <row r="50" spans="1:9" ht="12.75">
      <c r="A50" s="248"/>
      <c r="B50" s="69"/>
      <c r="C50" s="21"/>
      <c r="D50" s="21"/>
      <c r="E50" s="21"/>
      <c r="F50" s="21"/>
      <c r="G50" s="21"/>
      <c r="H50" s="21"/>
      <c r="I50" s="70"/>
    </row>
    <row r="51" spans="1:9" ht="12.75">
      <c r="A51" s="248"/>
      <c r="B51" s="69"/>
      <c r="C51" s="21"/>
      <c r="D51" s="21"/>
      <c r="E51" s="21"/>
      <c r="F51" s="21"/>
      <c r="G51" s="21"/>
      <c r="H51" s="21"/>
      <c r="I51" s="70"/>
    </row>
    <row r="52" spans="1:9" ht="12.75">
      <c r="A52" s="248"/>
      <c r="B52" s="59" t="s">
        <v>105</v>
      </c>
      <c r="C52" s="21"/>
      <c r="D52" s="21"/>
      <c r="E52" s="21"/>
      <c r="F52" s="21"/>
      <c r="G52" s="21"/>
      <c r="H52" s="21"/>
      <c r="I52" s="70"/>
    </row>
    <row r="53" spans="1:9" ht="12.75">
      <c r="A53" s="248"/>
      <c r="B53" s="69" t="s">
        <v>351</v>
      </c>
      <c r="C53" s="21">
        <f>SUM('Schedule 6 Expends Dept Detail'!B408)</f>
        <v>994712.8000000002</v>
      </c>
      <c r="D53" s="21">
        <f>SUM('Schedule 6 Expends Dept Detail'!C408)</f>
        <v>1092498.7966666664</v>
      </c>
      <c r="E53" s="21">
        <f>SUM('Schedule 6 Expends Dept Detail'!D408)</f>
        <v>911282.32</v>
      </c>
      <c r="F53" s="21">
        <f>SUM('Schedule 6 Expends Dept Detail'!E408)</f>
        <v>306212</v>
      </c>
      <c r="G53" s="355">
        <f>SUM(E53:F53)</f>
        <v>1217494.3199999998</v>
      </c>
      <c r="H53" s="21">
        <f>SUM('Schedule 6 Expends Dept Detail'!G408)</f>
        <v>1191148.9999999998</v>
      </c>
      <c r="I53" s="358">
        <f>SUM(G53-H53)</f>
        <v>26345.320000000065</v>
      </c>
    </row>
    <row r="54" spans="1:9" ht="12.75">
      <c r="A54" s="248"/>
      <c r="B54" s="69" t="s">
        <v>548</v>
      </c>
      <c r="C54" s="21">
        <f>SUM('Schedule 6 Expends Dept Detail'!B429)</f>
        <v>557030.8399999999</v>
      </c>
      <c r="D54" s="21">
        <f>SUM('Schedule 6 Expends Dept Detail'!C429)</f>
        <v>646290.74</v>
      </c>
      <c r="E54" s="21">
        <f>SUM('Schedule 6 Expends Dept Detail'!D429)</f>
        <v>546618.7866666666</v>
      </c>
      <c r="F54" s="21">
        <f>SUM('Schedule 6 Expends Dept Detail'!E429)</f>
        <v>171378</v>
      </c>
      <c r="G54" s="355">
        <f>SUM(E54:F54)</f>
        <v>717996.7866666666</v>
      </c>
      <c r="H54" s="21">
        <f>SUM('Schedule 6 Expends Dept Detail'!G429)</f>
        <v>715054.3333333333</v>
      </c>
      <c r="I54" s="358">
        <f>SUM(G54-H54)</f>
        <v>2942.4533333333675</v>
      </c>
    </row>
    <row r="55" spans="1:9" ht="12.75">
      <c r="A55" s="248"/>
      <c r="B55" s="69" t="s">
        <v>101</v>
      </c>
      <c r="C55" s="360">
        <f aca="true" t="shared" si="9" ref="C55:I55">SUM(C53:C54)</f>
        <v>1551743.6400000001</v>
      </c>
      <c r="D55" s="360">
        <f t="shared" si="9"/>
        <v>1738789.5366666664</v>
      </c>
      <c r="E55" s="360">
        <f t="shared" si="9"/>
        <v>1457901.1066666665</v>
      </c>
      <c r="F55" s="360">
        <f t="shared" si="9"/>
        <v>477590</v>
      </c>
      <c r="G55" s="360">
        <f t="shared" si="9"/>
        <v>1935491.1066666665</v>
      </c>
      <c r="H55" s="360">
        <f t="shared" si="9"/>
        <v>1906203.333333333</v>
      </c>
      <c r="I55" s="361">
        <f t="shared" si="9"/>
        <v>29287.773333333433</v>
      </c>
    </row>
    <row r="56" spans="1:9" ht="12.75">
      <c r="A56" s="248"/>
      <c r="B56" s="69"/>
      <c r="C56" s="21"/>
      <c r="D56" s="21"/>
      <c r="E56" s="21"/>
      <c r="F56" s="21"/>
      <c r="G56" s="21"/>
      <c r="H56" s="21"/>
      <c r="I56" s="70"/>
    </row>
    <row r="57" spans="1:9" ht="12.75">
      <c r="A57" s="248"/>
      <c r="B57" s="69"/>
      <c r="C57" s="21"/>
      <c r="D57" s="21"/>
      <c r="E57" s="21"/>
      <c r="F57" s="21"/>
      <c r="G57" s="21"/>
      <c r="H57" s="21"/>
      <c r="I57" s="70"/>
    </row>
    <row r="58" spans="1:9" ht="12.75">
      <c r="A58" s="248"/>
      <c r="B58" s="69"/>
      <c r="C58" s="21"/>
      <c r="D58" s="21"/>
      <c r="E58" s="21"/>
      <c r="F58" s="21"/>
      <c r="G58" s="21"/>
      <c r="H58" s="21"/>
      <c r="I58" s="70"/>
    </row>
    <row r="59" spans="1:9" ht="12.75">
      <c r="A59" s="248"/>
      <c r="B59" s="59" t="s">
        <v>106</v>
      </c>
      <c r="C59" s="21"/>
      <c r="D59" s="21"/>
      <c r="E59" s="21"/>
      <c r="F59" s="249"/>
      <c r="G59" s="249"/>
      <c r="H59" s="21"/>
      <c r="I59" s="70"/>
    </row>
    <row r="60" spans="1:9" ht="12.75">
      <c r="A60" s="248"/>
      <c r="B60" s="69" t="s">
        <v>352</v>
      </c>
      <c r="C60" s="21">
        <f>SUM('Schedule 6 Expends Dept Detail'!B454)</f>
        <v>47063623.43666671</v>
      </c>
      <c r="D60" s="21">
        <f>SUM('Schedule 6 Expends Dept Detail'!C454)</f>
        <v>48730048.383333325</v>
      </c>
      <c r="E60" s="21">
        <f>SUM('Schedule 6 Expends Dept Detail'!D454)</f>
        <v>39389779.82666667</v>
      </c>
      <c r="F60" s="21">
        <f>SUM('Schedule 6 Expends Dept Detail'!E454)</f>
        <v>11952511.999999998</v>
      </c>
      <c r="G60" s="355">
        <f>SUM('Schedule 6 Expends Dept Detail'!F454)</f>
        <v>51342291.82666666</v>
      </c>
      <c r="H60" s="21">
        <f>SUM('Schedule 6 Expends Dept Detail'!G454)</f>
        <v>51726666.66666667</v>
      </c>
      <c r="I60" s="358">
        <f>SUM('Schedule 6 Expends Dept Detail'!H454)</f>
        <v>-384374.8400000021</v>
      </c>
    </row>
    <row r="61" spans="1:9" ht="12.75">
      <c r="A61" s="248"/>
      <c r="B61" s="69" t="s">
        <v>100</v>
      </c>
      <c r="C61" s="360">
        <f aca="true" t="shared" si="10" ref="C61:I61">SUM(C60:C60)</f>
        <v>47063623.43666671</v>
      </c>
      <c r="D61" s="360">
        <f t="shared" si="10"/>
        <v>48730048.383333325</v>
      </c>
      <c r="E61" s="360">
        <f t="shared" si="10"/>
        <v>39389779.82666667</v>
      </c>
      <c r="F61" s="360">
        <f t="shared" si="10"/>
        <v>11952511.999999998</v>
      </c>
      <c r="G61" s="360">
        <f t="shared" si="10"/>
        <v>51342291.82666666</v>
      </c>
      <c r="H61" s="360">
        <f t="shared" si="10"/>
        <v>51726666.66666667</v>
      </c>
      <c r="I61" s="361">
        <f t="shared" si="10"/>
        <v>-384374.8400000021</v>
      </c>
    </row>
    <row r="62" spans="1:9" ht="13.5" thickBot="1">
      <c r="A62" s="248"/>
      <c r="B62" s="241"/>
      <c r="C62" s="242"/>
      <c r="D62" s="242"/>
      <c r="E62" s="242"/>
      <c r="F62" s="242"/>
      <c r="G62" s="242"/>
      <c r="H62" s="242"/>
      <c r="I62" s="73"/>
    </row>
    <row r="63" spans="1:9" ht="12.75">
      <c r="A63" s="248"/>
      <c r="B63" s="69"/>
      <c r="C63" s="21"/>
      <c r="D63" s="21"/>
      <c r="E63" s="21"/>
      <c r="F63" s="21"/>
      <c r="G63" s="21"/>
      <c r="H63" s="21"/>
      <c r="I63" s="70"/>
    </row>
    <row r="64" spans="1:9" ht="17.25" customHeight="1">
      <c r="A64" s="248"/>
      <c r="B64" s="59" t="s">
        <v>107</v>
      </c>
      <c r="C64" s="21"/>
      <c r="D64" s="21"/>
      <c r="E64" s="21"/>
      <c r="F64" s="21"/>
      <c r="G64" s="21"/>
      <c r="H64" s="21"/>
      <c r="I64" s="70"/>
    </row>
    <row r="65" spans="1:9" ht="12.75">
      <c r="A65" s="248"/>
      <c r="B65" s="69" t="s">
        <v>353</v>
      </c>
      <c r="C65" s="21"/>
      <c r="D65" s="21"/>
      <c r="E65" s="21"/>
      <c r="F65" s="21"/>
      <c r="G65" s="21"/>
      <c r="H65" s="21"/>
      <c r="I65" s="70"/>
    </row>
    <row r="66" spans="1:9" ht="12.75">
      <c r="A66" s="248"/>
      <c r="B66" s="252" t="str">
        <f>'Schedule 6 Expends Dept Detail'!A466</f>
        <v>Employee Benefits </v>
      </c>
      <c r="C66" s="21">
        <f>SUM('Schedule 6 Expends Dept Detail'!B467:B473)</f>
        <v>18436885.499999996</v>
      </c>
      <c r="D66" s="21">
        <f>SUM('Schedule 6 Expends Dept Detail'!C467:C473)</f>
        <v>20444857.63</v>
      </c>
      <c r="E66" s="21">
        <f>SUM('Schedule 6 Expends Dept Detail'!D467:D473)</f>
        <v>17252035.349999998</v>
      </c>
      <c r="F66" s="250">
        <f>SUM('Schedule 6 Expends Dept Detail'!E467:E473)</f>
        <v>3527082.6500000013</v>
      </c>
      <c r="G66" s="355">
        <f>SUM(E66:F66)</f>
        <v>20779118</v>
      </c>
      <c r="H66" s="21">
        <f>SUM('Schedule 6 Expends Dept Detail'!G467:G473)</f>
        <v>20774117.999999996</v>
      </c>
      <c r="I66" s="358">
        <f>SUM(G66-H66)</f>
        <v>5000.000000003725</v>
      </c>
    </row>
    <row r="67" spans="1:9" ht="12.75">
      <c r="A67" s="248"/>
      <c r="B67" s="69" t="str">
        <f>'Schedule 6 Expends Dept Detail'!A475</f>
        <v>Purchased Prof. Services </v>
      </c>
      <c r="C67" s="21">
        <f>SUM('Schedule 6 Expends Dept Detail'!B476:B477)</f>
        <v>76494</v>
      </c>
      <c r="D67" s="21">
        <f>SUM('Schedule 6 Expends Dept Detail'!C476:C477)</f>
        <v>108297.93666666666</v>
      </c>
      <c r="E67" s="21">
        <f>SUM('Schedule 6 Expends Dept Detail'!D476:D477)</f>
        <v>64932.25</v>
      </c>
      <c r="F67" s="250">
        <f>SUM('Schedule 6 Expends Dept Detail'!E476:E477)</f>
        <v>25924.75</v>
      </c>
      <c r="G67" s="355">
        <f>SUM(E67:F67)</f>
        <v>90857</v>
      </c>
      <c r="H67" s="21">
        <f>SUM('Schedule 6 Expends Dept Detail'!G476:G477)</f>
        <v>90857</v>
      </c>
      <c r="I67" s="358">
        <f>SUM(G67-H67)</f>
        <v>0</v>
      </c>
    </row>
    <row r="68" spans="1:9" ht="12.75">
      <c r="A68" s="248"/>
      <c r="B68" s="69" t="str">
        <f>'Schedule 6 Expends Dept Detail'!A479</f>
        <v>Purch. Other Services </v>
      </c>
      <c r="C68" s="21">
        <f>SUM('Schedule 6 Expends Dept Detail'!B480:B482)</f>
        <v>846135</v>
      </c>
      <c r="D68" s="21">
        <f>SUM('Schedule 6 Expends Dept Detail'!C480:C482)</f>
        <v>765021</v>
      </c>
      <c r="E68" s="21">
        <f>SUM('Schedule 6 Expends Dept Detail'!D480:D482)</f>
        <v>462537.43333333335</v>
      </c>
      <c r="F68" s="250">
        <f>SUM('Schedule 6 Expends Dept Detail'!E480:E482)</f>
        <v>63612.233333333315</v>
      </c>
      <c r="G68" s="355">
        <f>SUM('Schedule 6 Expends Dept Detail'!F480:F482)</f>
        <v>526149.6666666666</v>
      </c>
      <c r="H68" s="21">
        <f>SUM('Schedule 6 Expends Dept Detail'!G480:G482)</f>
        <v>526149.6666666666</v>
      </c>
      <c r="I68" s="358">
        <f>SUM(G68-H68)</f>
        <v>0</v>
      </c>
    </row>
    <row r="69" spans="1:9" ht="12.75">
      <c r="A69" s="248"/>
      <c r="B69" s="69" t="str">
        <f>'Schedule 6 Expends Dept Detail'!A484</f>
        <v>Other Objects </v>
      </c>
      <c r="C69" s="21">
        <f>SUM('Schedule 6 Expends Dept Detail'!B485:B487)</f>
        <v>2833480.300000003</v>
      </c>
      <c r="D69" s="21">
        <f>SUM('Schedule 6 Expends Dept Detail'!C485:C487)</f>
        <v>3045974.3733333335</v>
      </c>
      <c r="E69" s="21">
        <f>SUM('Schedule 6 Expends Dept Detail'!D485:D487)</f>
        <v>2834476.3766666665</v>
      </c>
      <c r="F69" s="250">
        <f>SUM('Schedule 6 Expends Dept Detail'!E485:E487)</f>
        <v>575061.2266666666</v>
      </c>
      <c r="G69" s="355">
        <f>SUM(E69:F69)</f>
        <v>3409537.603333333</v>
      </c>
      <c r="H69" s="21">
        <f>SUM('Schedule 6 Expends Dept Detail'!G485:G487)</f>
        <v>3409555.333333333</v>
      </c>
      <c r="I69" s="358">
        <f>SUM(G69-H69)</f>
        <v>-17.729999999981374</v>
      </c>
    </row>
    <row r="70" spans="1:9" ht="12.75">
      <c r="A70" s="248"/>
      <c r="B70" s="69" t="str">
        <f>'Schedule 6 Expends Dept Detail'!A489</f>
        <v>Other Uses </v>
      </c>
      <c r="C70" s="21">
        <f>SUM('Schedule 6 Expends Dept Detail'!B490:B496)</f>
        <v>7302262.999999996</v>
      </c>
      <c r="D70" s="21">
        <f>SUM('Schedule 6 Expends Dept Detail'!C490:C496)</f>
        <v>6099681</v>
      </c>
      <c r="E70" s="21">
        <f>SUM('Schedule 6 Expends Dept Detail'!D490:D496)</f>
        <v>4863399.606666666</v>
      </c>
      <c r="F70" s="250">
        <f>SUM('Schedule 6 Expends Dept Detail'!E490:E496)</f>
        <v>108525.06</v>
      </c>
      <c r="G70" s="355">
        <f>SUM(E70:F70)</f>
        <v>4971924.666666666</v>
      </c>
      <c r="H70" s="21">
        <f>SUM('Schedule 6 Expends Dept Detail'!G490:G496)</f>
        <v>4971924.666666667</v>
      </c>
      <c r="I70" s="358">
        <f>SUM(G70-H70)</f>
        <v>-9.313225746154785E-10</v>
      </c>
    </row>
    <row r="71" spans="1:9" ht="12.75">
      <c r="A71" s="248"/>
      <c r="B71" s="69" t="s">
        <v>101</v>
      </c>
      <c r="C71" s="360">
        <f>SUM(C66:C70)</f>
        <v>29495257.799999997</v>
      </c>
      <c r="D71" s="360">
        <f aca="true" t="shared" si="11" ref="D71:I71">SUM(D66:D70)</f>
        <v>30463831.94</v>
      </c>
      <c r="E71" s="360">
        <f t="shared" si="11"/>
        <v>25477381.016666662</v>
      </c>
      <c r="F71" s="360">
        <f t="shared" si="11"/>
        <v>4300205.920000001</v>
      </c>
      <c r="G71" s="360">
        <f t="shared" si="11"/>
        <v>29777586.936666667</v>
      </c>
      <c r="H71" s="360">
        <f t="shared" si="11"/>
        <v>29772604.666666664</v>
      </c>
      <c r="I71" s="361">
        <f t="shared" si="11"/>
        <v>4982.270000002813</v>
      </c>
    </row>
    <row r="72" spans="1:9" ht="12.75">
      <c r="A72" s="248"/>
      <c r="B72" s="69"/>
      <c r="C72" s="21"/>
      <c r="D72" s="21"/>
      <c r="E72" s="21"/>
      <c r="F72" s="21"/>
      <c r="G72" s="21"/>
      <c r="H72" s="21"/>
      <c r="I72" s="70"/>
    </row>
    <row r="73" spans="1:9" ht="12.75">
      <c r="A73" s="248"/>
      <c r="B73" s="69"/>
      <c r="C73" s="21"/>
      <c r="D73" s="21"/>
      <c r="E73" s="21"/>
      <c r="F73" s="21"/>
      <c r="G73" s="21"/>
      <c r="H73" s="21"/>
      <c r="I73" s="70"/>
    </row>
    <row r="74" spans="1:9" ht="12.75">
      <c r="A74" s="248"/>
      <c r="B74" s="69" t="s">
        <v>30</v>
      </c>
      <c r="C74" s="21">
        <f>SUM('Schedule 6 Expends Dept Detail'!B512)</f>
        <v>14573894.333333334</v>
      </c>
      <c r="D74" s="21">
        <f>SUM('Schedule 6 Expends Dept Detail'!C512)</f>
        <v>14683754.36</v>
      </c>
      <c r="E74" s="21">
        <f>SUM('Schedule 6 Expends Dept Detail'!D512)</f>
        <v>12367813.68</v>
      </c>
      <c r="F74" s="21">
        <f>SUM('Schedule 6 Expends Dept Detail'!E512)</f>
        <v>2517119.653333334</v>
      </c>
      <c r="G74" s="355">
        <f>SUM(E74:F74)</f>
        <v>14884933.333333334</v>
      </c>
      <c r="H74" s="21">
        <f>SUM('Schedule 6 Expends Dept Detail'!G512)</f>
        <v>14884933.333333334</v>
      </c>
      <c r="I74" s="358">
        <f>SUM(G74-H74)</f>
        <v>0</v>
      </c>
    </row>
    <row r="75" spans="1:9" ht="13.5" thickBot="1">
      <c r="A75" s="248"/>
      <c r="B75" s="241"/>
      <c r="C75" s="242"/>
      <c r="D75" s="242"/>
      <c r="E75" s="242"/>
      <c r="F75" s="242"/>
      <c r="G75" s="242"/>
      <c r="H75" s="242"/>
      <c r="I75" s="73"/>
    </row>
    <row r="76" spans="1:9" ht="13.5" thickBot="1">
      <c r="A76" s="248"/>
      <c r="B76" s="486"/>
      <c r="C76" s="487"/>
      <c r="D76" s="487"/>
      <c r="E76" s="488"/>
      <c r="F76" s="488"/>
      <c r="G76" s="488"/>
      <c r="H76" s="488"/>
      <c r="I76" s="489"/>
    </row>
    <row r="77" spans="1:9" ht="13.5" thickBot="1">
      <c r="A77" s="79"/>
      <c r="B77" s="485" t="s">
        <v>497</v>
      </c>
      <c r="C77" s="362">
        <f aca="true" t="shared" si="12" ref="C77:I77">SUM(C17+C29+C48+C35+C41+C55+C61+C71+C74)</f>
        <v>115525697.09333336</v>
      </c>
      <c r="D77" s="362">
        <f t="shared" si="12"/>
        <v>119175793.22666664</v>
      </c>
      <c r="E77" s="362">
        <f t="shared" si="12"/>
        <v>98435274.86666667</v>
      </c>
      <c r="F77" s="362">
        <f t="shared" si="12"/>
        <v>24704445.720167775</v>
      </c>
      <c r="G77" s="362">
        <f t="shared" si="12"/>
        <v>123139720.58683443</v>
      </c>
      <c r="H77" s="362">
        <f t="shared" si="12"/>
        <v>123405876.33333333</v>
      </c>
      <c r="I77" s="363">
        <f t="shared" si="12"/>
        <v>-266155.7464988895</v>
      </c>
    </row>
    <row r="78" spans="1:9" ht="12.75">
      <c r="A78" s="79"/>
      <c r="B78" s="41"/>
      <c r="C78" s="521"/>
      <c r="D78" s="521"/>
      <c r="E78" s="521"/>
      <c r="F78" s="521"/>
      <c r="G78" s="521"/>
      <c r="H78" s="521"/>
      <c r="I78" s="521"/>
    </row>
    <row r="79" spans="1:9" ht="12.75">
      <c r="A79" s="79"/>
      <c r="B79" s="41"/>
      <c r="C79" s="537" t="s">
        <v>552</v>
      </c>
      <c r="D79" s="21"/>
      <c r="E79" s="521"/>
      <c r="F79" s="521"/>
      <c r="G79" s="521"/>
      <c r="H79" s="521"/>
      <c r="I79" s="521"/>
    </row>
    <row r="80" spans="1:9" ht="6" customHeight="1">
      <c r="A80" s="79"/>
      <c r="B80" s="41"/>
      <c r="C80" s="7"/>
      <c r="D80" s="21"/>
      <c r="E80" s="521"/>
      <c r="F80" s="521"/>
      <c r="G80" s="521"/>
      <c r="H80" s="521"/>
      <c r="I80" s="521"/>
    </row>
    <row r="81" spans="1:9" ht="12.75">
      <c r="A81" s="79"/>
      <c r="B81" s="41"/>
      <c r="C81" s="504" t="s">
        <v>553</v>
      </c>
      <c r="D81" s="21"/>
      <c r="E81" s="521"/>
      <c r="F81" s="521"/>
      <c r="G81" s="521"/>
      <c r="H81" s="521"/>
      <c r="I81" s="521"/>
    </row>
    <row r="82" spans="1:9" ht="6" customHeight="1">
      <c r="A82" s="79"/>
      <c r="B82" s="41"/>
      <c r="C82" s="505"/>
      <c r="D82" s="21"/>
      <c r="E82" s="521"/>
      <c r="F82" s="521"/>
      <c r="G82" s="521"/>
      <c r="H82" s="521"/>
      <c r="I82" s="521"/>
    </row>
    <row r="83" spans="1:9" ht="25.5">
      <c r="A83" s="79"/>
      <c r="B83" s="41"/>
      <c r="C83" s="506" t="s">
        <v>554</v>
      </c>
      <c r="D83" s="21"/>
      <c r="E83" s="521"/>
      <c r="F83" s="521"/>
      <c r="G83" s="521"/>
      <c r="H83" s="521"/>
      <c r="I83" s="521"/>
    </row>
    <row r="84" spans="1:9" ht="12.75">
      <c r="A84" s="79"/>
      <c r="B84" s="41"/>
      <c r="C84" s="505"/>
      <c r="D84" s="21"/>
      <c r="E84" s="521"/>
      <c r="F84" s="521"/>
      <c r="G84" s="521"/>
      <c r="H84" s="521"/>
      <c r="I84" s="521"/>
    </row>
    <row r="85" spans="1:9" ht="25.5">
      <c r="A85" s="79"/>
      <c r="B85" s="41"/>
      <c r="C85" s="507" t="s">
        <v>555</v>
      </c>
      <c r="D85" s="21"/>
      <c r="E85" s="521"/>
      <c r="F85" s="521"/>
      <c r="G85" s="521"/>
      <c r="H85" s="521"/>
      <c r="I85" s="521"/>
    </row>
    <row r="86" spans="1:9" ht="7.5" customHeight="1">
      <c r="A86" s="79"/>
      <c r="B86" s="41"/>
      <c r="C86" s="79"/>
      <c r="D86" s="21"/>
      <c r="E86" s="521"/>
      <c r="F86" s="521"/>
      <c r="G86" s="521"/>
      <c r="H86" s="521"/>
      <c r="I86" s="521"/>
    </row>
    <row r="87" spans="1:9" ht="14.25" customHeight="1">
      <c r="A87" s="79"/>
      <c r="B87" s="41"/>
      <c r="C87" s="508" t="s">
        <v>556</v>
      </c>
      <c r="D87" s="21"/>
      <c r="E87" s="521"/>
      <c r="F87" s="521"/>
      <c r="G87" s="521"/>
      <c r="H87" s="521"/>
      <c r="I87" s="521"/>
    </row>
    <row r="88" spans="2:7" ht="14.25">
      <c r="B88" s="531"/>
      <c r="C88" s="79"/>
      <c r="D88" s="21"/>
      <c r="E88" s="532"/>
      <c r="F88" s="532"/>
      <c r="G88" s="46"/>
    </row>
    <row r="89" spans="1:6" ht="15">
      <c r="A89" s="525"/>
      <c r="C89" s="79"/>
      <c r="D89" s="505"/>
      <c r="E89" s="503"/>
      <c r="F89" s="503"/>
    </row>
    <row r="90" spans="1:6" ht="12.75">
      <c r="A90" s="79"/>
      <c r="B90" s="79"/>
      <c r="C90" s="79"/>
      <c r="D90" s="7"/>
      <c r="E90" s="7"/>
      <c r="F90" s="7"/>
    </row>
    <row r="91" spans="1:6" ht="12.75">
      <c r="A91" s="79"/>
      <c r="B91" s="79"/>
      <c r="C91" s="79"/>
      <c r="D91" s="7"/>
      <c r="E91" s="7"/>
      <c r="F91" s="7"/>
    </row>
    <row r="92" spans="1:6" ht="12.75">
      <c r="A92" s="79"/>
      <c r="B92" s="79"/>
      <c r="C92" s="79"/>
      <c r="D92" s="7"/>
      <c r="E92" s="7"/>
      <c r="F92" s="7"/>
    </row>
    <row r="93" spans="1:6" ht="12.75">
      <c r="A93" s="79"/>
      <c r="B93" s="79"/>
      <c r="C93" s="79"/>
      <c r="D93" s="7"/>
      <c r="E93" s="7"/>
      <c r="F93" s="7"/>
    </row>
    <row r="94" spans="1:6" ht="12.75">
      <c r="A94" s="79"/>
      <c r="B94" s="79"/>
      <c r="C94" s="79"/>
      <c r="D94" s="7"/>
      <c r="E94" s="7"/>
      <c r="F94" s="7"/>
    </row>
    <row r="95" spans="1:6" ht="12.75">
      <c r="A95" s="79"/>
      <c r="B95" s="79"/>
      <c r="C95" s="79"/>
      <c r="D95" s="7"/>
      <c r="E95" s="7"/>
      <c r="F95" s="7"/>
    </row>
    <row r="96" spans="1:6" ht="12.75">
      <c r="A96" s="79"/>
      <c r="B96" s="79"/>
      <c r="C96" s="79"/>
      <c r="D96" s="7"/>
      <c r="E96" s="7"/>
      <c r="F96" s="7"/>
    </row>
    <row r="97" spans="1:6" ht="12.75">
      <c r="A97" s="79"/>
      <c r="B97" s="79"/>
      <c r="C97" s="79"/>
      <c r="D97" s="7"/>
      <c r="E97" s="7"/>
      <c r="F97" s="7"/>
    </row>
    <row r="98" spans="1:6" ht="18">
      <c r="A98" s="79"/>
      <c r="B98" s="79"/>
      <c r="C98" s="79"/>
      <c r="D98" s="7"/>
      <c r="E98" s="7"/>
      <c r="F98" s="496"/>
    </row>
    <row r="99" spans="1:4" ht="12.75">
      <c r="A99" s="79"/>
      <c r="B99" s="79"/>
      <c r="C99" s="21"/>
      <c r="D99" s="21"/>
    </row>
  </sheetData>
  <printOptions/>
  <pageMargins left="0.17" right="0.27" top="0.84" bottom="0.55" header="0.29" footer="0.33"/>
  <pageSetup horizontalDpi="600" verticalDpi="600" orientation="landscape" r:id="rId1"/>
  <headerFooter alignWithMargins="0">
    <oddHeader>&amp;C&amp;A</oddHeader>
    <oddFooter>&amp;L&amp;D&amp;REXPENDITURE  SUMMARY
BUDGET CATEGORIES</oddFooter>
  </headerFooter>
  <rowBreaks count="2" manualBreakCount="2">
    <brk id="30" max="255" man="1"/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I21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2" sqref="P12"/>
    </sheetView>
  </sheetViews>
  <sheetFormatPr defaultColWidth="9.140625" defaultRowHeight="12.75"/>
  <cols>
    <col min="1" max="1" width="13.421875" style="28" customWidth="1"/>
    <col min="2" max="2" width="39.28125" style="0" customWidth="1"/>
    <col min="3" max="3" width="16.00390625" style="36" bestFit="1" customWidth="1"/>
    <col min="4" max="4" width="15.28125" style="36" customWidth="1"/>
    <col min="5" max="5" width="13.8515625" style="40" customWidth="1"/>
    <col min="6" max="6" width="16.00390625" style="40" customWidth="1"/>
    <col min="7" max="7" width="15.28125" style="40" customWidth="1"/>
    <col min="8" max="8" width="15.00390625" style="140" customWidth="1"/>
    <col min="9" max="9" width="12.00390625" style="5" customWidth="1"/>
    <col min="10" max="11" width="9.140625" style="5" customWidth="1"/>
    <col min="12" max="12" width="16.421875" style="5" customWidth="1"/>
    <col min="13" max="14" width="9.140625" style="5" customWidth="1"/>
    <col min="15" max="15" width="9.57421875" style="5" customWidth="1"/>
    <col min="16" max="35" width="9.140625" style="5" customWidth="1"/>
  </cols>
  <sheetData>
    <row r="2" ht="18">
      <c r="B2" s="543"/>
    </row>
    <row r="3" spans="1:35" s="84" customFormat="1" ht="18.75" thickBot="1">
      <c r="A3" s="546"/>
      <c r="B3" s="543" t="s">
        <v>560</v>
      </c>
      <c r="C3" s="225"/>
      <c r="D3" s="225"/>
      <c r="E3" s="190"/>
      <c r="F3" s="190"/>
      <c r="G3" s="225"/>
      <c r="H3" s="547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s="84" customFormat="1" ht="15.75">
      <c r="A4" s="544"/>
      <c r="B4" s="86" t="s">
        <v>44</v>
      </c>
      <c r="C4" s="155" t="s">
        <v>46</v>
      </c>
      <c r="D4" s="155" t="s">
        <v>45</v>
      </c>
      <c r="E4" s="186" t="s">
        <v>89</v>
      </c>
      <c r="F4" s="186" t="s">
        <v>89</v>
      </c>
      <c r="G4" s="155" t="s">
        <v>91</v>
      </c>
      <c r="H4" s="545" t="s">
        <v>125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s="84" customFormat="1" ht="12.75" thickBot="1">
      <c r="A5" s="85" t="s">
        <v>410</v>
      </c>
      <c r="B5" s="87" t="s">
        <v>317</v>
      </c>
      <c r="C5" s="156" t="str">
        <f>'Schedule 2 Revenue Summary'!C7</f>
        <v>FY08 Actual</v>
      </c>
      <c r="D5" s="156" t="str">
        <f>'Schedule 2 Revenue Summary'!D7</f>
        <v>As of 4/30/09</v>
      </c>
      <c r="E5" s="187" t="str">
        <f>'Schedule 2 Revenue Summary'!E7</f>
        <v>2 months</v>
      </c>
      <c r="F5" s="187" t="s">
        <v>90</v>
      </c>
      <c r="G5" s="156" t="s">
        <v>46</v>
      </c>
      <c r="H5" s="188" t="s">
        <v>126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</row>
    <row r="6" spans="1:35" s="84" customFormat="1" ht="12">
      <c r="A6" s="171"/>
      <c r="B6" s="171"/>
      <c r="C6" s="189"/>
      <c r="D6" s="189"/>
      <c r="E6" s="190"/>
      <c r="F6" s="190"/>
      <c r="G6" s="225"/>
      <c r="H6" s="191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8" ht="12.75">
      <c r="B8" s="1" t="s">
        <v>217</v>
      </c>
    </row>
    <row r="9" spans="1:35" s="139" customFormat="1" ht="12.75">
      <c r="A9" s="138"/>
      <c r="B9" s="139" t="s">
        <v>47</v>
      </c>
      <c r="C9" s="40">
        <f>'Appendix 1 Tax Collection Rpt'!C26</f>
        <v>62578316.53</v>
      </c>
      <c r="D9" s="40">
        <f>'Appendix 1 Tax Collection Rpt'!D20</f>
        <v>66995942.419999994</v>
      </c>
      <c r="E9" s="353">
        <f>SUM(F9-D9)</f>
        <v>366666.6666666642</v>
      </c>
      <c r="F9" s="40">
        <f>'Appendix 1 Tax Collection Rpt'!D36</f>
        <v>67362609.08666666</v>
      </c>
      <c r="G9" s="40">
        <f>'Appendix 1 Tax Collection Rpt'!D43</f>
        <v>66361590.333333336</v>
      </c>
      <c r="H9" s="353">
        <f>SUM(F9-G9)</f>
        <v>1001018.7533333227</v>
      </c>
      <c r="I9" s="36"/>
      <c r="J9" s="36"/>
      <c r="K9" s="36"/>
      <c r="L9" s="36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2:12" ht="12.75">
      <c r="B10" t="s">
        <v>119</v>
      </c>
      <c r="C10" s="40">
        <f>'Appendix 1 Tax Collection Rpt'!E36</f>
        <v>1499083.8866666667</v>
      </c>
      <c r="D10" s="40">
        <f>'Appendix 1 Tax Collection Rpt'!F20</f>
        <v>1312491.2333333334</v>
      </c>
      <c r="E10" s="353">
        <f>SUM(F10-D10)</f>
        <v>44003.666666666744</v>
      </c>
      <c r="F10" s="40">
        <f>'Appendix 1 Tax Collection Rpt'!F36</f>
        <v>1356494.9000000001</v>
      </c>
      <c r="G10" s="40">
        <f>'Appendix 1 Tax Collection Rpt'!F43</f>
        <v>1266666.6666666667</v>
      </c>
      <c r="H10" s="353">
        <f aca="true" t="shared" si="0" ref="H10:H16">SUM(F10-G10)</f>
        <v>89828.2333333334</v>
      </c>
      <c r="I10" s="36"/>
      <c r="K10" s="40"/>
      <c r="L10" s="36"/>
    </row>
    <row r="11" spans="2:12" ht="12.75">
      <c r="B11" t="s">
        <v>48</v>
      </c>
      <c r="C11" s="40">
        <f>'Appendix 1 Tax Collection Rpt'!G36</f>
        <v>791287.4733333334</v>
      </c>
      <c r="D11" s="40">
        <f>'Appendix 1 Tax Collection Rpt'!H20</f>
        <v>519364.2633333333</v>
      </c>
      <c r="E11" s="353">
        <f>SUM(F11-D11)</f>
        <v>23333.333333333372</v>
      </c>
      <c r="F11" s="40">
        <f>'Appendix 1 Tax Collection Rpt'!H36</f>
        <v>542697.5966666667</v>
      </c>
      <c r="G11" s="40">
        <f>'Appendix 1 Tax Collection Rpt'!H43</f>
        <v>533333.3333333334</v>
      </c>
      <c r="H11" s="353">
        <f t="shared" si="0"/>
        <v>9364.263333333307</v>
      </c>
      <c r="I11" s="36" t="s">
        <v>132</v>
      </c>
      <c r="K11" s="40"/>
      <c r="L11" s="36"/>
    </row>
    <row r="12" spans="2:12" ht="12.75">
      <c r="B12" t="s">
        <v>51</v>
      </c>
      <c r="C12" s="40">
        <f>'Appendix 1 Tax Collection Rpt'!I36</f>
        <v>338283.7266666667</v>
      </c>
      <c r="D12" s="40">
        <f>'Appendix 1 Tax Collection Rpt'!J20</f>
        <v>273825.14666666667</v>
      </c>
      <c r="E12" s="353">
        <f>SUM(F12-D12)</f>
        <v>61666.666666666686</v>
      </c>
      <c r="F12" s="40">
        <f>'Appendix 1 Tax Collection Rpt'!J36</f>
        <v>335491.81333333335</v>
      </c>
      <c r="G12" s="40">
        <f>'Appendix 1 Tax Collection Rpt'!J43</f>
        <v>333333.3333333333</v>
      </c>
      <c r="H12" s="353">
        <f>SUM(F12-G12)</f>
        <v>2158.4800000000396</v>
      </c>
      <c r="I12" s="36"/>
      <c r="K12" s="40"/>
      <c r="L12" s="36"/>
    </row>
    <row r="13" spans="2:12" ht="12.75">
      <c r="B13" t="s">
        <v>52</v>
      </c>
      <c r="C13" s="40">
        <f>'Appendix 1 Tax Collection Rpt'!K36</f>
        <v>537745.2066666665</v>
      </c>
      <c r="D13" s="40">
        <f>'Appendix 1 Tax Collection Rpt'!L20</f>
        <v>404889.89666666667</v>
      </c>
      <c r="E13" s="353">
        <f>SUM(F13-D13)</f>
        <v>31666.666666666686</v>
      </c>
      <c r="F13" s="40">
        <f>'Appendix 1 Tax Collection Rpt'!L36</f>
        <v>436556.56333333335</v>
      </c>
      <c r="G13" s="40">
        <f>'Appendix 1 Tax Collection Rpt'!L43</f>
        <v>600000</v>
      </c>
      <c r="H13" s="353">
        <f>SUM(F13-G13)</f>
        <v>-163443.43666666665</v>
      </c>
      <c r="I13" s="36"/>
      <c r="K13" s="40"/>
      <c r="L13" s="36"/>
    </row>
    <row r="14" spans="2:12" ht="12.75">
      <c r="B14" t="s">
        <v>49</v>
      </c>
      <c r="C14" s="368">
        <v>291808.3133333333</v>
      </c>
      <c r="D14" s="277">
        <v>292270.6</v>
      </c>
      <c r="E14" s="277">
        <v>0</v>
      </c>
      <c r="F14" s="366">
        <f>SUM(D14:E14)</f>
        <v>292270.6</v>
      </c>
      <c r="G14" s="368">
        <v>310000</v>
      </c>
      <c r="H14" s="353">
        <f t="shared" si="0"/>
        <v>-17729.400000000023</v>
      </c>
      <c r="I14" s="36" t="s">
        <v>132</v>
      </c>
      <c r="K14" s="40"/>
      <c r="L14" s="36"/>
    </row>
    <row r="15" spans="2:12" ht="12.75">
      <c r="B15" t="s">
        <v>50</v>
      </c>
      <c r="C15" s="368">
        <v>67801.87666666666</v>
      </c>
      <c r="D15" s="277">
        <v>37950.51666666667</v>
      </c>
      <c r="E15" s="277">
        <v>0</v>
      </c>
      <c r="F15" s="366">
        <f>SUM(D15:E15)</f>
        <v>37950.51666666667</v>
      </c>
      <c r="G15" s="368">
        <v>60660</v>
      </c>
      <c r="H15" s="353">
        <f t="shared" si="0"/>
        <v>-22709.48333333333</v>
      </c>
      <c r="I15" s="36" t="s">
        <v>132</v>
      </c>
      <c r="K15" s="40"/>
      <c r="L15" s="36"/>
    </row>
    <row r="16" spans="2:12" ht="12.75">
      <c r="B16" t="s">
        <v>512</v>
      </c>
      <c r="C16" s="368">
        <v>66243.33333333333</v>
      </c>
      <c r="D16" s="277">
        <v>0</v>
      </c>
      <c r="E16" s="277">
        <v>67146.66666666667</v>
      </c>
      <c r="F16" s="366">
        <f>SUM(D16:E16)</f>
        <v>67146.66666666667</v>
      </c>
      <c r="G16" s="368">
        <v>61665</v>
      </c>
      <c r="H16" s="353">
        <f t="shared" si="0"/>
        <v>5481.6666666666715</v>
      </c>
      <c r="I16" s="36"/>
      <c r="K16" s="40"/>
      <c r="L16" s="36"/>
    </row>
    <row r="17" spans="1:35" s="1" customFormat="1" ht="12.75">
      <c r="A17" s="33"/>
      <c r="B17" s="1" t="s">
        <v>53</v>
      </c>
      <c r="C17" s="367">
        <f aca="true" t="shared" si="1" ref="C17:H17">SUM(C9:C16)</f>
        <v>66170570.34666667</v>
      </c>
      <c r="D17" s="367">
        <f t="shared" si="1"/>
        <v>69836734.07666664</v>
      </c>
      <c r="E17" s="367">
        <f t="shared" si="1"/>
        <v>594483.6666666643</v>
      </c>
      <c r="F17" s="367">
        <f t="shared" si="1"/>
        <v>70431217.74333332</v>
      </c>
      <c r="G17" s="367">
        <f t="shared" si="1"/>
        <v>69527248.66666666</v>
      </c>
      <c r="H17" s="367">
        <f t="shared" si="1"/>
        <v>903969.076666656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s="1" customFormat="1" ht="12.75">
      <c r="A18" s="33"/>
      <c r="C18" s="36"/>
      <c r="D18" s="36"/>
      <c r="E18" s="150"/>
      <c r="F18" s="150"/>
      <c r="G18" s="150"/>
      <c r="H18" s="150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s="2" customFormat="1" ht="12.75">
      <c r="A19" s="29"/>
      <c r="C19" s="158"/>
      <c r="D19" s="158"/>
      <c r="E19" s="157"/>
      <c r="F19" s="157"/>
      <c r="G19" s="157"/>
      <c r="H19" s="15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8" ht="12.75">
      <c r="A20" s="78" t="s">
        <v>328</v>
      </c>
      <c r="H20" s="40"/>
    </row>
    <row r="21" spans="1:8" ht="12.75">
      <c r="A21" s="78" t="s">
        <v>334</v>
      </c>
      <c r="H21" s="40"/>
    </row>
    <row r="22" spans="1:9" ht="12.75">
      <c r="A22" s="78"/>
      <c r="H22" s="40"/>
      <c r="I22" s="233" t="s">
        <v>132</v>
      </c>
    </row>
    <row r="23" spans="1:8" ht="12.75">
      <c r="A23" s="78"/>
      <c r="H23" s="40"/>
    </row>
    <row r="24" spans="2:8" ht="12.75">
      <c r="B24" s="1" t="s">
        <v>57</v>
      </c>
      <c r="H24" s="40"/>
    </row>
    <row r="25" spans="2:8" ht="12.75">
      <c r="B25" s="2" t="s">
        <v>530</v>
      </c>
      <c r="H25" s="40"/>
    </row>
    <row r="26" spans="1:35" s="14" customFormat="1" ht="12.75" customHeight="1">
      <c r="A26" s="74"/>
      <c r="B26" s="14" t="s">
        <v>239</v>
      </c>
      <c r="C26" s="371">
        <v>35441789.067</v>
      </c>
      <c r="D26" s="280">
        <v>37286081.928</v>
      </c>
      <c r="E26" s="280">
        <v>0</v>
      </c>
      <c r="F26" s="366">
        <f aca="true" t="shared" si="2" ref="F26:F34">SUM(D26:E26)</f>
        <v>37286081.928</v>
      </c>
      <c r="G26" s="371">
        <v>37503186.606</v>
      </c>
      <c r="H26" s="353">
        <f aca="true" t="shared" si="3" ref="H26:H34">SUM(F26-G26)</f>
        <v>-217104.67799999565</v>
      </c>
      <c r="I26" s="130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2:9" ht="12.75">
      <c r="B27" t="s">
        <v>240</v>
      </c>
      <c r="C27" s="371">
        <v>87761.50398000001</v>
      </c>
      <c r="D27" s="280">
        <v>0</v>
      </c>
      <c r="E27" s="280">
        <v>91575</v>
      </c>
      <c r="F27" s="366">
        <f t="shared" si="2"/>
        <v>91575</v>
      </c>
      <c r="G27" s="371">
        <v>113220</v>
      </c>
      <c r="H27" s="353">
        <f t="shared" si="3"/>
        <v>-21645</v>
      </c>
      <c r="I27" s="130"/>
    </row>
    <row r="28" spans="2:9" ht="12.75">
      <c r="B28" t="s">
        <v>87</v>
      </c>
      <c r="C28" s="371">
        <v>191342.46600000001</v>
      </c>
      <c r="D28" s="280">
        <v>217056.72600000002</v>
      </c>
      <c r="E28" s="280">
        <v>0</v>
      </c>
      <c r="F28" s="366">
        <f t="shared" si="2"/>
        <v>217056.72600000002</v>
      </c>
      <c r="G28" s="371">
        <v>199800</v>
      </c>
      <c r="H28" s="353">
        <f t="shared" si="3"/>
        <v>17256.726000000024</v>
      </c>
      <c r="I28" s="130"/>
    </row>
    <row r="29" spans="2:9" ht="12.75">
      <c r="B29" t="s">
        <v>277</v>
      </c>
      <c r="C29" s="371">
        <v>0</v>
      </c>
      <c r="D29" s="280">
        <v>0</v>
      </c>
      <c r="E29" s="280">
        <v>0</v>
      </c>
      <c r="F29" s="366">
        <f t="shared" si="2"/>
        <v>0</v>
      </c>
      <c r="G29" s="371">
        <v>0</v>
      </c>
      <c r="H29" s="353">
        <f t="shared" si="3"/>
        <v>0</v>
      </c>
      <c r="I29" s="130"/>
    </row>
    <row r="30" spans="2:9" ht="12.75">
      <c r="B30" t="s">
        <v>511</v>
      </c>
      <c r="C30" s="371">
        <v>861533.171</v>
      </c>
      <c r="D30" s="280">
        <v>650681.234</v>
      </c>
      <c r="E30" s="280">
        <v>200226.856</v>
      </c>
      <c r="F30" s="366">
        <f t="shared" si="2"/>
        <v>850908.0900000001</v>
      </c>
      <c r="G30" s="371">
        <v>998900</v>
      </c>
      <c r="H30" s="353">
        <f t="shared" si="3"/>
        <v>-147991.90999999992</v>
      </c>
      <c r="I30" s="130"/>
    </row>
    <row r="31" spans="2:9" ht="12.75">
      <c r="B31" t="s">
        <v>241</v>
      </c>
      <c r="C31" s="371">
        <v>310914.50094000006</v>
      </c>
      <c r="D31" s="280">
        <v>219853.77282</v>
      </c>
      <c r="E31" s="280">
        <v>99826.22717999999</v>
      </c>
      <c r="F31" s="366">
        <f t="shared" si="2"/>
        <v>319680</v>
      </c>
      <c r="G31" s="371">
        <v>319680</v>
      </c>
      <c r="H31" s="353">
        <f t="shared" si="3"/>
        <v>0</v>
      </c>
      <c r="I31" s="130"/>
    </row>
    <row r="32" spans="2:9" ht="12.75">
      <c r="B32" t="s">
        <v>242</v>
      </c>
      <c r="C32" s="371">
        <v>40528.77732</v>
      </c>
      <c r="D32" s="280">
        <v>44210.192220000004</v>
      </c>
      <c r="E32" s="280">
        <v>0</v>
      </c>
      <c r="F32" s="366">
        <f t="shared" si="2"/>
        <v>44210.192220000004</v>
      </c>
      <c r="G32" s="371">
        <v>36630</v>
      </c>
      <c r="H32" s="353">
        <f t="shared" si="3"/>
        <v>7580.192220000004</v>
      </c>
      <c r="I32" s="130"/>
    </row>
    <row r="33" spans="2:9" ht="12.75">
      <c r="B33" t="s">
        <v>97</v>
      </c>
      <c r="C33" s="371">
        <v>68528.656</v>
      </c>
      <c r="D33" s="280">
        <v>0</v>
      </c>
      <c r="E33" s="280">
        <v>84695.806</v>
      </c>
      <c r="F33" s="366">
        <f t="shared" si="2"/>
        <v>84695.806</v>
      </c>
      <c r="G33" s="371">
        <v>66847.339</v>
      </c>
      <c r="H33" s="353">
        <f t="shared" si="3"/>
        <v>17848.46699999999</v>
      </c>
      <c r="I33" s="130"/>
    </row>
    <row r="34" spans="2:9" ht="12.75">
      <c r="B34" t="s">
        <v>531</v>
      </c>
      <c r="C34" s="371">
        <v>766595.97</v>
      </c>
      <c r="D34" s="280">
        <v>0</v>
      </c>
      <c r="E34" s="280">
        <v>734357.281</v>
      </c>
      <c r="F34" s="366">
        <f t="shared" si="2"/>
        <v>734357.281</v>
      </c>
      <c r="G34" s="371">
        <v>765734.832</v>
      </c>
      <c r="H34" s="353">
        <f t="shared" si="3"/>
        <v>-31377.551000000094</v>
      </c>
      <c r="I34" s="130"/>
    </row>
    <row r="35" spans="2:8" ht="12.75">
      <c r="B35" s="2" t="s">
        <v>532</v>
      </c>
      <c r="H35" s="40"/>
    </row>
    <row r="36" spans="2:12" ht="12.75">
      <c r="B36" t="s">
        <v>96</v>
      </c>
      <c r="C36" s="368">
        <v>0</v>
      </c>
      <c r="D36" s="277">
        <v>0</v>
      </c>
      <c r="E36" s="277">
        <v>12333.333333333334</v>
      </c>
      <c r="F36" s="366">
        <f>SUM(D36:E36)</f>
        <v>12333.333333333334</v>
      </c>
      <c r="G36" s="368">
        <v>12321</v>
      </c>
      <c r="H36" s="353">
        <f aca="true" t="shared" si="4" ref="H36:H41">SUM(F36-G36)</f>
        <v>12.33333333333394</v>
      </c>
      <c r="I36" s="129"/>
      <c r="J36" s="129"/>
      <c r="K36" s="129"/>
      <c r="L36" s="129"/>
    </row>
    <row r="37" spans="2:12" ht="12.75">
      <c r="B37" t="s">
        <v>259</v>
      </c>
      <c r="C37" s="368">
        <v>4704.28434</v>
      </c>
      <c r="D37" s="277">
        <v>4704.28434</v>
      </c>
      <c r="E37" s="277">
        <v>4.715659999999843</v>
      </c>
      <c r="F37" s="366">
        <f aca="true" t="shared" si="5" ref="F37:F42">SUM(D37:E37)</f>
        <v>4709</v>
      </c>
      <c r="G37" s="368">
        <v>4704.291</v>
      </c>
      <c r="H37" s="353">
        <f t="shared" si="4"/>
        <v>4.708999999999833</v>
      </c>
      <c r="I37" s="129"/>
      <c r="J37" s="129"/>
      <c r="K37" s="129"/>
      <c r="L37" s="129"/>
    </row>
    <row r="38" spans="2:12" ht="12.75">
      <c r="B38" t="s">
        <v>59</v>
      </c>
      <c r="C38" s="368">
        <v>1450101.114</v>
      </c>
      <c r="D38" s="277">
        <v>1447771.1662800002</v>
      </c>
      <c r="E38" s="277">
        <v>1449.2203866664786</v>
      </c>
      <c r="F38" s="366">
        <f t="shared" si="5"/>
        <v>1449220.3866666667</v>
      </c>
      <c r="G38" s="368">
        <v>1442905.65</v>
      </c>
      <c r="H38" s="353">
        <f t="shared" si="4"/>
        <v>6314.7366666668095</v>
      </c>
      <c r="I38" s="129"/>
      <c r="J38" s="129"/>
      <c r="K38" s="129"/>
      <c r="L38" s="129"/>
    </row>
    <row r="39" spans="2:12" ht="12.75">
      <c r="B39" t="s">
        <v>60</v>
      </c>
      <c r="C39" s="368">
        <v>2791301.22741</v>
      </c>
      <c r="D39" s="277">
        <v>2717086.98614</v>
      </c>
      <c r="E39" s="277">
        <v>2220.20719333318</v>
      </c>
      <c r="F39" s="366">
        <f t="shared" si="5"/>
        <v>2719307.1933333334</v>
      </c>
      <c r="G39" s="368">
        <v>2720326.683</v>
      </c>
      <c r="H39" s="353">
        <f t="shared" si="4"/>
        <v>-1019.4896666668355</v>
      </c>
      <c r="I39" s="129"/>
      <c r="J39" s="129"/>
      <c r="K39" s="129"/>
      <c r="L39" s="129"/>
    </row>
    <row r="40" spans="2:12" ht="12.75">
      <c r="B40" t="s">
        <v>61</v>
      </c>
      <c r="C40" s="368">
        <v>768198.6956700002</v>
      </c>
      <c r="D40" s="277">
        <v>637330.90779</v>
      </c>
      <c r="E40" s="277">
        <v>637.9688766666222</v>
      </c>
      <c r="F40" s="366">
        <f t="shared" si="5"/>
        <v>637968.8766666666</v>
      </c>
      <c r="G40" s="368">
        <v>765900</v>
      </c>
      <c r="H40" s="353">
        <f t="shared" si="4"/>
        <v>-127931.12333333341</v>
      </c>
      <c r="I40" s="129"/>
      <c r="J40" s="129"/>
      <c r="K40" s="129"/>
      <c r="L40" s="129"/>
    </row>
    <row r="41" spans="2:12" ht="12.75">
      <c r="B41" t="s">
        <v>62</v>
      </c>
      <c r="C41" s="368">
        <v>1579531.1177700001</v>
      </c>
      <c r="D41" s="277">
        <v>1045595.9440799999</v>
      </c>
      <c r="E41" s="277">
        <v>524383.7225866668</v>
      </c>
      <c r="F41" s="366">
        <f t="shared" si="5"/>
        <v>1569979.6666666667</v>
      </c>
      <c r="G41" s="368">
        <v>1591214.446</v>
      </c>
      <c r="H41" s="353">
        <f t="shared" si="4"/>
        <v>-21234.779333333252</v>
      </c>
      <c r="I41" s="129"/>
      <c r="J41" s="129"/>
      <c r="K41" s="129"/>
      <c r="L41" s="129"/>
    </row>
    <row r="42" spans="2:12" ht="12.75">
      <c r="B42" t="s">
        <v>131</v>
      </c>
      <c r="C42" s="368">
        <v>13088.25531</v>
      </c>
      <c r="D42" s="277">
        <v>0</v>
      </c>
      <c r="E42" s="277">
        <v>1666.6666666666667</v>
      </c>
      <c r="F42" s="366">
        <f t="shared" si="5"/>
        <v>1666.6666666666667</v>
      </c>
      <c r="G42" s="368">
        <v>3330</v>
      </c>
      <c r="H42" s="353">
        <f>SUM(F42-G42)</f>
        <v>-1663.3333333333333</v>
      </c>
      <c r="I42" s="278" t="s">
        <v>132</v>
      </c>
      <c r="J42" s="129"/>
      <c r="K42" s="129"/>
      <c r="L42" s="129"/>
    </row>
    <row r="43" spans="1:35" s="161" customFormat="1" ht="12.75">
      <c r="A43" s="160"/>
      <c r="B43" s="161" t="s">
        <v>63</v>
      </c>
      <c r="C43" s="484">
        <f aca="true" t="shared" si="6" ref="C43:H43">SUM(C26:C42)</f>
        <v>44375918.80674001</v>
      </c>
      <c r="D43" s="484">
        <f t="shared" si="6"/>
        <v>44270373.14167001</v>
      </c>
      <c r="E43" s="484">
        <f t="shared" si="6"/>
        <v>1753377.0048833329</v>
      </c>
      <c r="F43" s="484">
        <f t="shared" si="6"/>
        <v>46023750.146553345</v>
      </c>
      <c r="G43" s="484">
        <f t="shared" si="6"/>
        <v>46544700.847</v>
      </c>
      <c r="H43" s="484">
        <f t="shared" si="6"/>
        <v>-520950.7004466623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</row>
    <row r="44" ht="12.75">
      <c r="H44" s="40"/>
    </row>
    <row r="45" spans="1:35" s="2" customFormat="1" ht="12.75">
      <c r="A45" s="29"/>
      <c r="B45" s="1" t="s">
        <v>116</v>
      </c>
      <c r="C45" s="158"/>
      <c r="D45" s="158"/>
      <c r="E45" s="157"/>
      <c r="F45" s="157"/>
      <c r="G45" s="157"/>
      <c r="H45" s="4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139" customFormat="1" ht="12.75">
      <c r="A46" s="138"/>
      <c r="B46" s="139" t="s">
        <v>65</v>
      </c>
      <c r="C46" s="370">
        <v>979832.89129</v>
      </c>
      <c r="D46" s="279">
        <v>445290.03246</v>
      </c>
      <c r="E46" s="277">
        <v>44920</v>
      </c>
      <c r="F46" s="366">
        <f>SUM(D46:E46)</f>
        <v>490210.03246</v>
      </c>
      <c r="G46" s="368">
        <v>718000</v>
      </c>
      <c r="H46" s="353">
        <f aca="true" t="shared" si="7" ref="H46:H54">SUM(F46-G46)</f>
        <v>-227789.96753999998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</row>
    <row r="47" spans="2:8" ht="12.75">
      <c r="B47" t="s">
        <v>260</v>
      </c>
      <c r="C47" s="370">
        <v>20579.4</v>
      </c>
      <c r="D47" s="279">
        <v>15588.8955</v>
      </c>
      <c r="E47" s="277">
        <v>4391.1045</v>
      </c>
      <c r="F47" s="366">
        <f aca="true" t="shared" si="8" ref="F47:F54">SUM(D47:E47)</f>
        <v>19980</v>
      </c>
      <c r="G47" s="368">
        <v>19980</v>
      </c>
      <c r="H47" s="353">
        <f t="shared" si="7"/>
        <v>0</v>
      </c>
    </row>
    <row r="48" spans="2:8" ht="12.75">
      <c r="B48" t="s">
        <v>67</v>
      </c>
      <c r="C48" s="370">
        <v>58058.96292</v>
      </c>
      <c r="D48" s="279">
        <v>52458.898590000004</v>
      </c>
      <c r="E48" s="277">
        <v>9990</v>
      </c>
      <c r="F48" s="366">
        <f t="shared" si="8"/>
        <v>62448.898590000004</v>
      </c>
      <c r="G48" s="368">
        <v>54943</v>
      </c>
      <c r="H48" s="353">
        <f t="shared" si="7"/>
        <v>7505.898590000004</v>
      </c>
    </row>
    <row r="49" spans="2:8" ht="12.75">
      <c r="B49" t="s">
        <v>513</v>
      </c>
      <c r="C49" s="370">
        <v>16190.24688</v>
      </c>
      <c r="D49" s="279">
        <v>10715.607</v>
      </c>
      <c r="E49" s="277">
        <v>0</v>
      </c>
      <c r="F49" s="366">
        <f t="shared" si="8"/>
        <v>10715.607</v>
      </c>
      <c r="G49" s="368">
        <v>18315</v>
      </c>
      <c r="H49" s="353">
        <f t="shared" si="7"/>
        <v>-7599.393</v>
      </c>
    </row>
    <row r="50" spans="1:35" s="139" customFormat="1" ht="12.75">
      <c r="A50" s="138"/>
      <c r="B50" s="139" t="s">
        <v>64</v>
      </c>
      <c r="C50" s="370">
        <v>2401721.72748</v>
      </c>
      <c r="D50" s="279">
        <v>1107827.50356</v>
      </c>
      <c r="E50" s="277">
        <v>911078.13644</v>
      </c>
      <c r="F50" s="366">
        <f t="shared" si="8"/>
        <v>2018905.6400000001</v>
      </c>
      <c r="G50" s="368">
        <v>2116705</v>
      </c>
      <c r="H50" s="353">
        <f t="shared" si="7"/>
        <v>-97799.35999999987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</row>
    <row r="51" spans="2:8" ht="12.75">
      <c r="B51" t="s">
        <v>135</v>
      </c>
      <c r="C51" s="370">
        <v>1576089</v>
      </c>
      <c r="D51" s="279">
        <v>0</v>
      </c>
      <c r="E51" s="277">
        <v>333000</v>
      </c>
      <c r="F51" s="366">
        <f t="shared" si="8"/>
        <v>333000</v>
      </c>
      <c r="G51" s="368">
        <v>333000</v>
      </c>
      <c r="H51" s="353">
        <f t="shared" si="7"/>
        <v>0</v>
      </c>
    </row>
    <row r="52" spans="2:8" ht="12.75">
      <c r="B52" t="s">
        <v>58</v>
      </c>
      <c r="C52" s="370">
        <v>87301.68759</v>
      </c>
      <c r="D52" s="279">
        <v>93519.69336</v>
      </c>
      <c r="E52" s="277">
        <v>0</v>
      </c>
      <c r="F52" s="366">
        <f t="shared" si="8"/>
        <v>93519.69336</v>
      </c>
      <c r="G52" s="368">
        <v>99900</v>
      </c>
      <c r="H52" s="353">
        <f t="shared" si="7"/>
        <v>-6380.306639999995</v>
      </c>
    </row>
    <row r="53" spans="2:8" ht="12.75">
      <c r="B53" t="s">
        <v>69</v>
      </c>
      <c r="C53" s="370">
        <v>189119.9574</v>
      </c>
      <c r="D53" s="279">
        <v>155922.43482</v>
      </c>
      <c r="E53" s="279">
        <v>0</v>
      </c>
      <c r="F53" s="366">
        <f t="shared" si="8"/>
        <v>155922.43482</v>
      </c>
      <c r="G53" s="368">
        <v>183150</v>
      </c>
      <c r="H53" s="353">
        <f t="shared" si="7"/>
        <v>-27227.565180000005</v>
      </c>
    </row>
    <row r="54" spans="1:35" s="139" customFormat="1" ht="12.75">
      <c r="A54" s="138"/>
      <c r="B54" s="139" t="s">
        <v>66</v>
      </c>
      <c r="C54" s="370">
        <v>13543.776</v>
      </c>
      <c r="D54" s="279">
        <v>8499.825</v>
      </c>
      <c r="E54" s="279">
        <v>0</v>
      </c>
      <c r="F54" s="366">
        <f t="shared" si="8"/>
        <v>8499.825</v>
      </c>
      <c r="G54" s="370">
        <v>8300</v>
      </c>
      <c r="H54" s="353">
        <f t="shared" si="7"/>
        <v>199.82500000000073</v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</row>
    <row r="55" spans="1:35" s="1" customFormat="1" ht="14.25" customHeight="1">
      <c r="A55" s="33"/>
      <c r="B55" s="1" t="s">
        <v>117</v>
      </c>
      <c r="C55" s="367">
        <f aca="true" t="shared" si="9" ref="C55:H55">SUM(C46:C54)</f>
        <v>5342437.64956</v>
      </c>
      <c r="D55" s="367">
        <f t="shared" si="9"/>
        <v>1889822.89029</v>
      </c>
      <c r="E55" s="367">
        <f t="shared" si="9"/>
        <v>1303379.24094</v>
      </c>
      <c r="F55" s="367">
        <f t="shared" si="9"/>
        <v>3193202.1312300004</v>
      </c>
      <c r="G55" s="367">
        <f t="shared" si="9"/>
        <v>3552293</v>
      </c>
      <c r="H55" s="367">
        <f t="shared" si="9"/>
        <v>-359090.8687699999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ht="12.75">
      <c r="H56" s="40"/>
    </row>
    <row r="57" spans="2:8" ht="12.75">
      <c r="B57" s="1" t="s">
        <v>54</v>
      </c>
      <c r="H57" s="40"/>
    </row>
    <row r="58" spans="1:35" s="139" customFormat="1" ht="12.75">
      <c r="A58" s="138"/>
      <c r="B58" s="139" t="s">
        <v>355</v>
      </c>
      <c r="C58" s="370">
        <v>1269511.218</v>
      </c>
      <c r="D58" s="279">
        <v>177879.51243</v>
      </c>
      <c r="E58" s="279">
        <v>0</v>
      </c>
      <c r="F58" s="366">
        <f aca="true" t="shared" si="10" ref="F58:F63">SUM(D58:E58)</f>
        <v>177879.51243</v>
      </c>
      <c r="G58" s="370">
        <v>0</v>
      </c>
      <c r="H58" s="273">
        <f aca="true" t="shared" si="11" ref="H58:H63">SUM(F58-G58)</f>
        <v>177879.51243</v>
      </c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</row>
    <row r="59" spans="2:9" ht="12.75">
      <c r="B59" t="s">
        <v>55</v>
      </c>
      <c r="C59" s="370">
        <v>283050</v>
      </c>
      <c r="D59" s="279">
        <v>189810</v>
      </c>
      <c r="E59" s="279">
        <v>43290</v>
      </c>
      <c r="F59" s="366">
        <f t="shared" si="10"/>
        <v>233100</v>
      </c>
      <c r="G59" s="370">
        <v>233100</v>
      </c>
      <c r="H59" s="273">
        <f t="shared" si="11"/>
        <v>0</v>
      </c>
      <c r="I59" s="140"/>
    </row>
    <row r="60" spans="2:9" ht="12.75">
      <c r="B60" t="s">
        <v>56</v>
      </c>
      <c r="C60" s="370">
        <v>149850</v>
      </c>
      <c r="D60" s="279">
        <v>124875</v>
      </c>
      <c r="E60" s="279">
        <v>24975</v>
      </c>
      <c r="F60" s="366">
        <f t="shared" si="10"/>
        <v>149850</v>
      </c>
      <c r="G60" s="370">
        <v>149850</v>
      </c>
      <c r="H60" s="273">
        <f t="shared" si="11"/>
        <v>0</v>
      </c>
      <c r="I60" s="140"/>
    </row>
    <row r="61" spans="2:9" ht="12.75">
      <c r="B61" t="s">
        <v>354</v>
      </c>
      <c r="C61" s="370">
        <v>77394.195</v>
      </c>
      <c r="D61" s="279">
        <v>0</v>
      </c>
      <c r="E61" s="279">
        <v>83250</v>
      </c>
      <c r="F61" s="366">
        <f t="shared" si="10"/>
        <v>83250</v>
      </c>
      <c r="G61" s="370">
        <v>83250</v>
      </c>
      <c r="H61" s="273">
        <f t="shared" si="11"/>
        <v>0</v>
      </c>
      <c r="I61" s="140"/>
    </row>
    <row r="62" spans="2:9" ht="12.75">
      <c r="B62" t="s">
        <v>70</v>
      </c>
      <c r="C62" s="370">
        <v>547244.208</v>
      </c>
      <c r="D62" s="279">
        <v>461218.89276</v>
      </c>
      <c r="E62" s="279">
        <v>92243.75724000002</v>
      </c>
      <c r="F62" s="366">
        <f t="shared" si="10"/>
        <v>553462.65</v>
      </c>
      <c r="G62" s="370">
        <v>553462.65</v>
      </c>
      <c r="H62" s="273">
        <f t="shared" si="11"/>
        <v>0</v>
      </c>
      <c r="I62" s="140"/>
    </row>
    <row r="63" spans="2:9" ht="12.75">
      <c r="B63" t="s">
        <v>71</v>
      </c>
      <c r="C63" s="370">
        <v>435797.433</v>
      </c>
      <c r="D63" s="279">
        <v>284582.36277</v>
      </c>
      <c r="E63" s="279">
        <v>56916.79623000002</v>
      </c>
      <c r="F63" s="366">
        <f t="shared" si="10"/>
        <v>341499.15900000004</v>
      </c>
      <c r="G63" s="370">
        <v>341499.15900000004</v>
      </c>
      <c r="H63" s="273">
        <f t="shared" si="11"/>
        <v>0</v>
      </c>
      <c r="I63" s="140"/>
    </row>
    <row r="64" spans="1:35" s="1" customFormat="1" ht="12.75">
      <c r="A64" s="33"/>
      <c r="B64" s="1" t="s">
        <v>543</v>
      </c>
      <c r="C64" s="367">
        <f aca="true" t="shared" si="12" ref="C64:H64">SUM(C58:C63)</f>
        <v>2762847.0540000005</v>
      </c>
      <c r="D64" s="367">
        <f t="shared" si="12"/>
        <v>1238365.76796</v>
      </c>
      <c r="E64" s="367">
        <f t="shared" si="12"/>
        <v>300675.55347000004</v>
      </c>
      <c r="F64" s="367">
        <f t="shared" si="12"/>
        <v>1539041.32143</v>
      </c>
      <c r="G64" s="367">
        <f t="shared" si="12"/>
        <v>1361161.8090000001</v>
      </c>
      <c r="H64" s="367">
        <f t="shared" si="12"/>
        <v>177879.51243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6" spans="1:35" s="1" customFormat="1" ht="14.25" customHeight="1">
      <c r="A66" s="33"/>
      <c r="C66" s="36"/>
      <c r="D66" s="36"/>
      <c r="E66" s="150"/>
      <c r="F66" s="150"/>
      <c r="G66" s="150"/>
      <c r="H66" s="150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s="1" customFormat="1" ht="14.25" customHeight="1" thickBot="1">
      <c r="A67" s="88"/>
      <c r="B67" s="89" t="s">
        <v>218</v>
      </c>
      <c r="C67" s="349">
        <f aca="true" t="shared" si="13" ref="C67:H67">+C43+C55+C64</f>
        <v>52481203.5103</v>
      </c>
      <c r="D67" s="349">
        <f t="shared" si="13"/>
        <v>47398561.79992001</v>
      </c>
      <c r="E67" s="349">
        <f t="shared" si="13"/>
        <v>3357431.799293333</v>
      </c>
      <c r="F67" s="349">
        <f t="shared" si="13"/>
        <v>50755993.59921335</v>
      </c>
      <c r="G67" s="349">
        <f t="shared" si="13"/>
        <v>51458155.656</v>
      </c>
      <c r="H67" s="349">
        <f t="shared" si="13"/>
        <v>-702162.0567866622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 s="1" customFormat="1" ht="14.25" customHeight="1" thickTop="1">
      <c r="A68" s="172"/>
      <c r="B68" s="41"/>
      <c r="C68" s="37"/>
      <c r="D68" s="37"/>
      <c r="E68" s="159"/>
      <c r="F68" s="159"/>
      <c r="G68" s="159"/>
      <c r="H68" s="15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s="3" customFormat="1" ht="12.75">
      <c r="A69" s="31"/>
      <c r="C69" s="158"/>
      <c r="D69" s="158"/>
      <c r="E69" s="158"/>
      <c r="F69" s="158"/>
      <c r="G69" s="158"/>
      <c r="H69" s="4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3" customFormat="1" ht="12.75">
      <c r="A70" s="31"/>
      <c r="C70" s="158"/>
      <c r="D70" s="158"/>
      <c r="E70" s="158"/>
      <c r="F70" s="158"/>
      <c r="G70" s="158"/>
      <c r="H70" s="4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2:8" ht="12.75">
      <c r="B71" s="1" t="s">
        <v>72</v>
      </c>
      <c r="H71" s="40"/>
    </row>
    <row r="72" spans="2:8" ht="12.75">
      <c r="B72" t="s">
        <v>66</v>
      </c>
      <c r="C72" s="372">
        <v>1185</v>
      </c>
      <c r="D72" s="272">
        <v>1184</v>
      </c>
      <c r="E72" s="273">
        <v>500</v>
      </c>
      <c r="F72" s="366">
        <f>SUM(D72:E72)</f>
        <v>1684</v>
      </c>
      <c r="G72" s="369">
        <v>3333</v>
      </c>
      <c r="H72" s="353">
        <f>SUM(F72-G72)</f>
        <v>-1649</v>
      </c>
    </row>
    <row r="73" spans="2:8" ht="12.75">
      <c r="B73" t="s">
        <v>261</v>
      </c>
      <c r="C73" s="372">
        <v>0</v>
      </c>
      <c r="D73" s="272">
        <v>189</v>
      </c>
      <c r="E73" s="273">
        <v>333</v>
      </c>
      <c r="F73" s="366">
        <f>SUM(D73:E73)</f>
        <v>522</v>
      </c>
      <c r="G73" s="369">
        <v>3333</v>
      </c>
      <c r="H73" s="353">
        <f>SUM(F73-G73)</f>
        <v>-2811</v>
      </c>
    </row>
    <row r="74" spans="1:35" s="1" customFormat="1" ht="18" customHeight="1">
      <c r="A74" s="33"/>
      <c r="B74" s="1" t="s">
        <v>92</v>
      </c>
      <c r="C74" s="367">
        <f aca="true" t="shared" si="14" ref="C74:H74">SUM(C72:C73)</f>
        <v>1185</v>
      </c>
      <c r="D74" s="367">
        <f t="shared" si="14"/>
        <v>1373</v>
      </c>
      <c r="E74" s="367">
        <f t="shared" si="14"/>
        <v>833</v>
      </c>
      <c r="F74" s="367">
        <f t="shared" si="14"/>
        <v>2206</v>
      </c>
      <c r="G74" s="367">
        <f t="shared" si="14"/>
        <v>6666</v>
      </c>
      <c r="H74" s="367">
        <f t="shared" si="14"/>
        <v>-4460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 s="3" customFormat="1" ht="12.75">
      <c r="A75" s="31"/>
      <c r="C75" s="158"/>
      <c r="D75" s="158"/>
      <c r="E75" s="158"/>
      <c r="F75" s="158"/>
      <c r="G75" s="158"/>
      <c r="H75" s="4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 s="14" customFormat="1" ht="18" customHeight="1">
      <c r="A76" s="74"/>
      <c r="C76" s="36"/>
      <c r="D76" s="36"/>
      <c r="E76" s="154"/>
      <c r="F76" s="154"/>
      <c r="G76" s="36"/>
      <c r="H76" s="36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2:8" ht="12.75">
      <c r="B77" s="1" t="s">
        <v>549</v>
      </c>
      <c r="H77" s="40"/>
    </row>
    <row r="78" spans="2:9" ht="12.75">
      <c r="B78" t="s">
        <v>242</v>
      </c>
      <c r="C78" s="368">
        <v>3556.1436300000005</v>
      </c>
      <c r="D78" s="277">
        <v>959.04</v>
      </c>
      <c r="E78" s="277">
        <v>0</v>
      </c>
      <c r="F78" s="366">
        <f aca="true" t="shared" si="15" ref="F78:F90">SUM(D78:E78)</f>
        <v>959.04</v>
      </c>
      <c r="G78" s="368">
        <v>0</v>
      </c>
      <c r="H78" s="353">
        <f>SUM(F78-G78)</f>
        <v>959.04</v>
      </c>
      <c r="I78" s="129"/>
    </row>
    <row r="79" spans="2:9" ht="12.75">
      <c r="B79" t="s">
        <v>73</v>
      </c>
      <c r="C79" s="368">
        <v>156394.782</v>
      </c>
      <c r="D79" s="277">
        <v>72973.933</v>
      </c>
      <c r="E79" s="277">
        <v>11312</v>
      </c>
      <c r="F79" s="366">
        <f t="shared" si="15"/>
        <v>84285.933</v>
      </c>
      <c r="G79" s="368">
        <v>150572</v>
      </c>
      <c r="H79" s="353">
        <f aca="true" t="shared" si="16" ref="H79:H90">SUM(F79-G79)</f>
        <v>-66286.067</v>
      </c>
      <c r="I79" s="129"/>
    </row>
    <row r="80" spans="2:9" ht="12.75">
      <c r="B80" t="s">
        <v>219</v>
      </c>
      <c r="C80" s="368">
        <v>1036.296</v>
      </c>
      <c r="D80" s="277">
        <v>735.264</v>
      </c>
      <c r="E80" s="277">
        <v>0</v>
      </c>
      <c r="F80" s="366">
        <f t="shared" si="15"/>
        <v>735.264</v>
      </c>
      <c r="G80" s="368">
        <v>2164.5</v>
      </c>
      <c r="H80" s="353">
        <f t="shared" si="16"/>
        <v>-1429.2359999999999</v>
      </c>
      <c r="I80" s="129"/>
    </row>
    <row r="81" spans="2:9" ht="12.75">
      <c r="B81" t="s">
        <v>74</v>
      </c>
      <c r="C81" s="368">
        <v>452132.84124000004</v>
      </c>
      <c r="D81" s="277">
        <v>342383.66694</v>
      </c>
      <c r="E81" s="277">
        <v>46620</v>
      </c>
      <c r="F81" s="366">
        <f t="shared" si="15"/>
        <v>389003.66694</v>
      </c>
      <c r="G81" s="368">
        <v>516150</v>
      </c>
      <c r="H81" s="353">
        <f t="shared" si="16"/>
        <v>-127146.33305999998</v>
      </c>
      <c r="I81" s="129"/>
    </row>
    <row r="82" spans="2:9" ht="12.75">
      <c r="B82" t="s">
        <v>220</v>
      </c>
      <c r="C82" s="368">
        <v>77335.92</v>
      </c>
      <c r="D82" s="277">
        <v>59678.595</v>
      </c>
      <c r="E82" s="277">
        <v>11322</v>
      </c>
      <c r="F82" s="366">
        <f t="shared" si="15"/>
        <v>71000.595</v>
      </c>
      <c r="G82" s="368">
        <v>83250</v>
      </c>
      <c r="H82" s="353">
        <f t="shared" si="16"/>
        <v>-12249.404999999999</v>
      </c>
      <c r="I82" s="129"/>
    </row>
    <row r="83" spans="2:9" ht="12.75">
      <c r="B83" t="s">
        <v>223</v>
      </c>
      <c r="C83" s="368">
        <v>35157.37743</v>
      </c>
      <c r="D83" s="277">
        <v>30064.678560000004</v>
      </c>
      <c r="E83" s="277">
        <v>5994</v>
      </c>
      <c r="F83" s="366">
        <f t="shared" si="15"/>
        <v>36058.67856</v>
      </c>
      <c r="G83" s="368">
        <v>36630</v>
      </c>
      <c r="H83" s="353">
        <f t="shared" si="16"/>
        <v>-571.3214399999997</v>
      </c>
      <c r="I83" s="129"/>
    </row>
    <row r="84" spans="2:9" ht="12.75">
      <c r="B84" t="s">
        <v>82</v>
      </c>
      <c r="C84" s="368">
        <v>1841.1570000000002</v>
      </c>
      <c r="D84" s="277">
        <v>1620.3780000000002</v>
      </c>
      <c r="E84" s="277">
        <v>333</v>
      </c>
      <c r="F84" s="366">
        <f t="shared" si="15"/>
        <v>1953.3780000000002</v>
      </c>
      <c r="G84" s="368">
        <v>1998</v>
      </c>
      <c r="H84" s="353">
        <f t="shared" si="16"/>
        <v>-44.621999999999844</v>
      </c>
      <c r="I84" s="129"/>
    </row>
    <row r="85" spans="2:9" ht="12.75">
      <c r="B85" t="s">
        <v>75</v>
      </c>
      <c r="C85" s="368">
        <v>1948.2165</v>
      </c>
      <c r="D85" s="277">
        <v>2074.4235000000003</v>
      </c>
      <c r="E85" s="277">
        <v>0</v>
      </c>
      <c r="F85" s="366">
        <f t="shared" si="15"/>
        <v>2074.4235000000003</v>
      </c>
      <c r="G85" s="368">
        <v>2331</v>
      </c>
      <c r="H85" s="353">
        <f t="shared" si="16"/>
        <v>-256.57649999999967</v>
      </c>
      <c r="I85" s="129"/>
    </row>
    <row r="86" spans="2:9" ht="12.75">
      <c r="B86" t="s">
        <v>76</v>
      </c>
      <c r="C86" s="368">
        <v>3881.9475</v>
      </c>
      <c r="D86" s="277">
        <v>-6474.186000000001</v>
      </c>
      <c r="E86" s="277">
        <v>0</v>
      </c>
      <c r="F86" s="366">
        <f t="shared" si="15"/>
        <v>-6474.186000000001</v>
      </c>
      <c r="G86" s="368">
        <v>1665</v>
      </c>
      <c r="H86" s="353">
        <f t="shared" si="16"/>
        <v>-8139.186000000001</v>
      </c>
      <c r="I86" s="129"/>
    </row>
    <row r="87" spans="2:9" ht="12.75">
      <c r="B87" t="s">
        <v>221</v>
      </c>
      <c r="C87" s="368">
        <v>2501.829</v>
      </c>
      <c r="D87" s="277">
        <v>2403.927</v>
      </c>
      <c r="E87" s="277">
        <v>333</v>
      </c>
      <c r="F87" s="366">
        <f t="shared" si="15"/>
        <v>2736.927</v>
      </c>
      <c r="G87" s="368">
        <v>2497.5</v>
      </c>
      <c r="H87" s="353">
        <f t="shared" si="16"/>
        <v>239.42700000000013</v>
      </c>
      <c r="I87" s="129"/>
    </row>
    <row r="88" spans="2:9" ht="12.75">
      <c r="B88" t="s">
        <v>85</v>
      </c>
      <c r="C88" s="368">
        <v>669.33</v>
      </c>
      <c r="D88" s="277">
        <v>594.072</v>
      </c>
      <c r="E88" s="277">
        <v>0</v>
      </c>
      <c r="F88" s="366">
        <f t="shared" si="15"/>
        <v>594.072</v>
      </c>
      <c r="G88" s="368">
        <v>999</v>
      </c>
      <c r="H88" s="353">
        <f t="shared" si="16"/>
        <v>-404.928</v>
      </c>
      <c r="I88" s="129"/>
    </row>
    <row r="89" spans="2:9" ht="12.75">
      <c r="B89" t="s">
        <v>66</v>
      </c>
      <c r="C89" s="368">
        <v>2505.49533</v>
      </c>
      <c r="D89" s="277">
        <v>1903.5611999999999</v>
      </c>
      <c r="E89" s="277">
        <v>376.29</v>
      </c>
      <c r="F89" s="366">
        <f t="shared" si="15"/>
        <v>2279.8512</v>
      </c>
      <c r="G89" s="368">
        <v>4995</v>
      </c>
      <c r="H89" s="353">
        <f t="shared" si="16"/>
        <v>-2715.1488</v>
      </c>
      <c r="I89" s="129"/>
    </row>
    <row r="90" spans="2:9" ht="12.75">
      <c r="B90" t="s">
        <v>222</v>
      </c>
      <c r="C90" s="368">
        <v>27259.459920000005</v>
      </c>
      <c r="D90" s="277">
        <v>25755.00921</v>
      </c>
      <c r="E90" s="277">
        <v>1665</v>
      </c>
      <c r="F90" s="366">
        <f t="shared" si="15"/>
        <v>27420.00921</v>
      </c>
      <c r="G90" s="368">
        <v>24975</v>
      </c>
      <c r="H90" s="353">
        <f t="shared" si="16"/>
        <v>2445.00921</v>
      </c>
      <c r="I90" s="129"/>
    </row>
    <row r="91" spans="1:35" s="1" customFormat="1" ht="21" customHeight="1">
      <c r="A91" s="33"/>
      <c r="B91" s="1" t="s">
        <v>550</v>
      </c>
      <c r="C91" s="367">
        <f aca="true" t="shared" si="17" ref="C91:H91">SUM(C78:C90)</f>
        <v>766220.79555</v>
      </c>
      <c r="D91" s="367">
        <f t="shared" si="17"/>
        <v>534672.3624100001</v>
      </c>
      <c r="E91" s="367">
        <f t="shared" si="17"/>
        <v>77955.29</v>
      </c>
      <c r="F91" s="367">
        <f t="shared" si="17"/>
        <v>612627.6524100002</v>
      </c>
      <c r="G91" s="367">
        <f t="shared" si="17"/>
        <v>828227</v>
      </c>
      <c r="H91" s="367">
        <f t="shared" si="17"/>
        <v>-215599.34758999996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s="3" customFormat="1" ht="15.75" customHeight="1">
      <c r="A92" s="31"/>
      <c r="C92" s="158"/>
      <c r="D92" s="158"/>
      <c r="E92" s="158"/>
      <c r="F92" s="158"/>
      <c r="G92" s="158"/>
      <c r="H92" s="4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1:35" s="1" customFormat="1" ht="12.75">
      <c r="A93" s="33"/>
      <c r="C93" s="150"/>
      <c r="D93" s="150"/>
      <c r="E93" s="150"/>
      <c r="F93" s="150"/>
      <c r="G93" s="150"/>
      <c r="H93" s="150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</row>
    <row r="94" spans="1:35" s="1" customFormat="1" ht="12.75">
      <c r="A94" s="33"/>
      <c r="C94" s="150"/>
      <c r="D94" s="150"/>
      <c r="E94" s="150"/>
      <c r="F94" s="150"/>
      <c r="G94" s="150"/>
      <c r="H94" s="150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</row>
    <row r="95" spans="1:35" s="1" customFormat="1" ht="12.75">
      <c r="A95" s="33"/>
      <c r="C95" s="150"/>
      <c r="D95" s="150"/>
      <c r="E95" s="150"/>
      <c r="F95" s="150"/>
      <c r="G95" s="150"/>
      <c r="H95" s="150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</row>
    <row r="96" spans="2:8" ht="12.75">
      <c r="B96" s="1" t="s">
        <v>356</v>
      </c>
      <c r="E96" s="144"/>
      <c r="H96" s="40"/>
    </row>
    <row r="97" spans="1:35" s="139" customFormat="1" ht="12.75">
      <c r="A97" s="138"/>
      <c r="B97" s="139" t="s">
        <v>224</v>
      </c>
      <c r="C97" s="368">
        <v>12306.348</v>
      </c>
      <c r="D97" s="277">
        <v>6036.267690000001</v>
      </c>
      <c r="E97" s="277">
        <v>0</v>
      </c>
      <c r="F97" s="366">
        <f aca="true" t="shared" si="18" ref="F97:F109">SUM(D97:E97)</f>
        <v>6036.267690000001</v>
      </c>
      <c r="G97" s="368">
        <v>3330</v>
      </c>
      <c r="H97" s="353">
        <f aca="true" t="shared" si="19" ref="H97:H109">SUM(F97-G97)</f>
        <v>2706.2676900000006</v>
      </c>
      <c r="I97" s="276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</row>
    <row r="98" spans="2:9" ht="12.75">
      <c r="B98" t="s">
        <v>225</v>
      </c>
      <c r="C98" s="368">
        <v>3592.737</v>
      </c>
      <c r="D98" s="277">
        <v>3249.7470000000003</v>
      </c>
      <c r="E98" s="277">
        <v>666</v>
      </c>
      <c r="F98" s="366">
        <f t="shared" si="18"/>
        <v>3915.7470000000003</v>
      </c>
      <c r="G98" s="368">
        <v>4995</v>
      </c>
      <c r="H98" s="353">
        <f t="shared" si="19"/>
        <v>-1079.2529999999997</v>
      </c>
      <c r="I98" s="276"/>
    </row>
    <row r="99" spans="2:9" ht="12.75">
      <c r="B99" t="s">
        <v>226</v>
      </c>
      <c r="C99" s="368">
        <v>19788.525</v>
      </c>
      <c r="D99" s="277">
        <v>17216.1</v>
      </c>
      <c r="E99" s="277">
        <v>5328</v>
      </c>
      <c r="F99" s="366">
        <f t="shared" si="18"/>
        <v>22544.1</v>
      </c>
      <c r="G99" s="368">
        <v>19980</v>
      </c>
      <c r="H99" s="353">
        <f t="shared" si="19"/>
        <v>2564.0999999999985</v>
      </c>
      <c r="I99" s="276"/>
    </row>
    <row r="100" spans="2:9" ht="12.75">
      <c r="B100" t="s">
        <v>323</v>
      </c>
      <c r="C100" s="368">
        <v>0</v>
      </c>
      <c r="D100" s="277">
        <v>29.97</v>
      </c>
      <c r="E100" s="277">
        <v>0</v>
      </c>
      <c r="F100" s="366">
        <f t="shared" si="18"/>
        <v>29.97</v>
      </c>
      <c r="G100" s="368">
        <v>0</v>
      </c>
      <c r="H100" s="353">
        <f>SUM(F100-G100)</f>
        <v>29.97</v>
      </c>
      <c r="I100" s="276"/>
    </row>
    <row r="101" spans="2:9" ht="12.75">
      <c r="B101" t="s">
        <v>227</v>
      </c>
      <c r="C101" s="368">
        <v>159188.26239000002</v>
      </c>
      <c r="D101" s="277">
        <v>140623.08615000002</v>
      </c>
      <c r="E101" s="277">
        <v>47541.91385</v>
      </c>
      <c r="F101" s="366">
        <f t="shared" si="18"/>
        <v>188165</v>
      </c>
      <c r="G101" s="368">
        <v>199800</v>
      </c>
      <c r="H101" s="353">
        <f t="shared" si="19"/>
        <v>-11635</v>
      </c>
      <c r="I101" s="276"/>
    </row>
    <row r="102" spans="2:9" ht="12.75">
      <c r="B102" t="s">
        <v>223</v>
      </c>
      <c r="C102" s="368">
        <v>4730.28165</v>
      </c>
      <c r="D102" s="277">
        <v>3879.68976</v>
      </c>
      <c r="E102" s="277">
        <v>799.2</v>
      </c>
      <c r="F102" s="366">
        <f t="shared" si="18"/>
        <v>4678.88976</v>
      </c>
      <c r="G102" s="368">
        <v>6660</v>
      </c>
      <c r="H102" s="353">
        <f t="shared" si="19"/>
        <v>-1981.11024</v>
      </c>
      <c r="I102" s="276"/>
    </row>
    <row r="103" spans="2:9" ht="12.75">
      <c r="B103" t="s">
        <v>141</v>
      </c>
      <c r="C103" s="368">
        <v>6406.886700000001</v>
      </c>
      <c r="D103" s="277">
        <v>4180.76505</v>
      </c>
      <c r="E103" s="277">
        <v>999</v>
      </c>
      <c r="F103" s="366">
        <f t="shared" si="18"/>
        <v>5179.76505</v>
      </c>
      <c r="G103" s="368">
        <v>8325</v>
      </c>
      <c r="H103" s="353">
        <f t="shared" si="19"/>
        <v>-3145.23495</v>
      </c>
      <c r="I103" s="276"/>
    </row>
    <row r="104" spans="2:9" ht="12.75">
      <c r="B104" t="s">
        <v>295</v>
      </c>
      <c r="C104" s="368">
        <v>3065.598</v>
      </c>
      <c r="D104" s="277">
        <v>2747.25</v>
      </c>
      <c r="E104" s="277">
        <v>0</v>
      </c>
      <c r="F104" s="366">
        <f t="shared" si="18"/>
        <v>2747.25</v>
      </c>
      <c r="G104" s="368">
        <v>0</v>
      </c>
      <c r="H104" s="353">
        <f>SUM(F104-G104)</f>
        <v>2747.25</v>
      </c>
      <c r="I104" s="276"/>
    </row>
    <row r="105" spans="2:9" ht="12.75">
      <c r="B105" t="s">
        <v>170</v>
      </c>
      <c r="C105" s="368">
        <v>0</v>
      </c>
      <c r="D105" s="277">
        <v>0</v>
      </c>
      <c r="E105" s="277">
        <v>0</v>
      </c>
      <c r="F105" s="366">
        <f t="shared" si="18"/>
        <v>0</v>
      </c>
      <c r="G105" s="368">
        <v>0</v>
      </c>
      <c r="H105" s="353">
        <f t="shared" si="19"/>
        <v>0</v>
      </c>
      <c r="I105" s="276"/>
    </row>
    <row r="106" spans="2:11" ht="12.75">
      <c r="B106" t="s">
        <v>357</v>
      </c>
      <c r="C106" s="368">
        <v>208068.39</v>
      </c>
      <c r="D106" s="277">
        <v>179067.087</v>
      </c>
      <c r="E106" s="277">
        <v>35298</v>
      </c>
      <c r="F106" s="366">
        <f t="shared" si="18"/>
        <v>214365.087</v>
      </c>
      <c r="G106" s="368">
        <v>208791</v>
      </c>
      <c r="H106" s="353">
        <f t="shared" si="19"/>
        <v>5574.0869999999995</v>
      </c>
      <c r="I106" s="276"/>
      <c r="K106" s="40"/>
    </row>
    <row r="107" spans="2:11" ht="12.75">
      <c r="B107" t="s">
        <v>136</v>
      </c>
      <c r="C107" s="368">
        <v>25185.046410000003</v>
      </c>
      <c r="D107" s="277">
        <v>20113.60626</v>
      </c>
      <c r="E107" s="277">
        <v>4995</v>
      </c>
      <c r="F107" s="366">
        <f t="shared" si="18"/>
        <v>25108.60626</v>
      </c>
      <c r="G107" s="368">
        <v>33300</v>
      </c>
      <c r="H107" s="353">
        <f t="shared" si="19"/>
        <v>-8191.3937399999995</v>
      </c>
      <c r="I107" s="276"/>
      <c r="K107" s="26"/>
    </row>
    <row r="108" spans="2:9" ht="12.75">
      <c r="B108" t="s">
        <v>137</v>
      </c>
      <c r="C108" s="368">
        <v>76091.83866</v>
      </c>
      <c r="D108" s="277">
        <v>61671.83976</v>
      </c>
      <c r="E108" s="277">
        <v>16650</v>
      </c>
      <c r="F108" s="366">
        <f t="shared" si="18"/>
        <v>78321.83976</v>
      </c>
      <c r="G108" s="368">
        <v>81585</v>
      </c>
      <c r="H108" s="353">
        <f t="shared" si="19"/>
        <v>-3263.1602399999974</v>
      </c>
      <c r="I108" s="276"/>
    </row>
    <row r="109" spans="2:9" ht="12.75">
      <c r="B109" t="s">
        <v>66</v>
      </c>
      <c r="C109" s="368">
        <v>4041.63765</v>
      </c>
      <c r="D109" s="277">
        <v>1865.4626700000001</v>
      </c>
      <c r="E109" s="277">
        <v>666</v>
      </c>
      <c r="F109" s="366">
        <f t="shared" si="18"/>
        <v>2531.46267</v>
      </c>
      <c r="G109" s="368">
        <v>8325</v>
      </c>
      <c r="H109" s="353">
        <f t="shared" si="19"/>
        <v>-5793.53733</v>
      </c>
      <c r="I109" s="276"/>
    </row>
    <row r="110" spans="1:35" s="1" customFormat="1" ht="18.75" customHeight="1">
      <c r="A110" s="33"/>
      <c r="B110" s="1" t="s">
        <v>93</v>
      </c>
      <c r="C110" s="367">
        <f aca="true" t="shared" si="20" ref="C110:H110">SUM(C97:C109)</f>
        <v>522465.55146000005</v>
      </c>
      <c r="D110" s="367">
        <f t="shared" si="20"/>
        <v>440680.87134</v>
      </c>
      <c r="E110" s="367">
        <f t="shared" si="20"/>
        <v>112943.11385</v>
      </c>
      <c r="F110" s="367">
        <f t="shared" si="20"/>
        <v>553623.98519</v>
      </c>
      <c r="G110" s="367">
        <f t="shared" si="20"/>
        <v>575091</v>
      </c>
      <c r="H110" s="367">
        <f t="shared" si="20"/>
        <v>-21467.014809999997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1:35" s="1" customFormat="1" ht="18.75" customHeight="1">
      <c r="A111" s="33"/>
      <c r="C111" s="150"/>
      <c r="D111" s="150"/>
      <c r="E111" s="150"/>
      <c r="F111" s="150"/>
      <c r="G111" s="150"/>
      <c r="H111" s="150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</row>
    <row r="112" spans="1:35" s="3" customFormat="1" ht="12.75">
      <c r="A112" s="31"/>
      <c r="C112" s="36"/>
      <c r="D112" s="36"/>
      <c r="E112" s="36"/>
      <c r="F112" s="158"/>
      <c r="G112" s="158"/>
      <c r="H112" s="4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2:8" ht="12.75">
      <c r="B113" s="1" t="s">
        <v>411</v>
      </c>
      <c r="H113" s="40"/>
    </row>
    <row r="114" spans="2:8" ht="12.75">
      <c r="B114" t="s">
        <v>228</v>
      </c>
      <c r="C114" s="370">
        <v>0</v>
      </c>
      <c r="D114" s="279">
        <v>0</v>
      </c>
      <c r="E114" s="279">
        <v>0</v>
      </c>
      <c r="F114" s="366">
        <f aca="true" t="shared" si="21" ref="F114:F120">SUM(D114:E114)</f>
        <v>0</v>
      </c>
      <c r="G114" s="370">
        <v>166.5</v>
      </c>
      <c r="H114" s="353">
        <f aca="true" t="shared" si="22" ref="H114:H119">SUM(F114-G114)</f>
        <v>-166.5</v>
      </c>
    </row>
    <row r="115" spans="2:8" ht="12.75">
      <c r="B115" t="s">
        <v>229</v>
      </c>
      <c r="C115" s="370">
        <v>0</v>
      </c>
      <c r="D115" s="279">
        <v>0</v>
      </c>
      <c r="E115" s="279">
        <v>0</v>
      </c>
      <c r="F115" s="366">
        <f t="shared" si="21"/>
        <v>0</v>
      </c>
      <c r="G115" s="370">
        <v>166.5</v>
      </c>
      <c r="H115" s="353">
        <f t="shared" si="22"/>
        <v>-166.5</v>
      </c>
    </row>
    <row r="116" spans="2:8" ht="12.75">
      <c r="B116" t="s">
        <v>114</v>
      </c>
      <c r="C116" s="370">
        <v>0</v>
      </c>
      <c r="D116" s="279">
        <v>0</v>
      </c>
      <c r="E116" s="279">
        <v>0</v>
      </c>
      <c r="F116" s="366">
        <f t="shared" si="21"/>
        <v>0</v>
      </c>
      <c r="G116" s="370">
        <v>166.5</v>
      </c>
      <c r="H116" s="353">
        <f t="shared" si="22"/>
        <v>-166.5</v>
      </c>
    </row>
    <row r="117" spans="1:35" s="139" customFormat="1" ht="12.75">
      <c r="A117" s="138"/>
      <c r="B117" s="139" t="s">
        <v>138</v>
      </c>
      <c r="C117" s="370">
        <v>11111.78043</v>
      </c>
      <c r="D117" s="279">
        <v>15917.81292</v>
      </c>
      <c r="E117" s="279">
        <v>2331</v>
      </c>
      <c r="F117" s="366">
        <f t="shared" si="21"/>
        <v>18248.81292</v>
      </c>
      <c r="G117" s="370">
        <v>9990</v>
      </c>
      <c r="H117" s="353">
        <f t="shared" si="22"/>
        <v>8258.81292</v>
      </c>
      <c r="I117" s="5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</row>
    <row r="118" spans="1:35" s="139" customFormat="1" ht="12.75">
      <c r="A118" s="138"/>
      <c r="B118" s="139" t="s">
        <v>139</v>
      </c>
      <c r="C118" s="370">
        <v>23419.61028</v>
      </c>
      <c r="D118" s="279">
        <v>15102.382500000002</v>
      </c>
      <c r="E118" s="279">
        <v>2597.4</v>
      </c>
      <c r="F118" s="366">
        <f t="shared" si="21"/>
        <v>17699.7825</v>
      </c>
      <c r="G118" s="370">
        <v>24975</v>
      </c>
      <c r="H118" s="353">
        <f t="shared" si="22"/>
        <v>-7275.217499999999</v>
      </c>
      <c r="I118" s="5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</row>
    <row r="119" spans="1:35" s="139" customFormat="1" ht="12.75">
      <c r="A119" s="28"/>
      <c r="B119" s="139" t="s">
        <v>140</v>
      </c>
      <c r="C119" s="370">
        <v>0</v>
      </c>
      <c r="D119" s="279">
        <v>0</v>
      </c>
      <c r="E119" s="279">
        <v>0</v>
      </c>
      <c r="F119" s="366">
        <f t="shared" si="21"/>
        <v>0</v>
      </c>
      <c r="G119" s="370">
        <v>3330</v>
      </c>
      <c r="H119" s="353">
        <f t="shared" si="22"/>
        <v>-3330</v>
      </c>
      <c r="I119" s="5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</row>
    <row r="120" spans="2:8" ht="12.75">
      <c r="B120" t="s">
        <v>66</v>
      </c>
      <c r="C120" s="370">
        <v>138.195</v>
      </c>
      <c r="D120" s="279">
        <v>0</v>
      </c>
      <c r="E120" s="279">
        <v>0</v>
      </c>
      <c r="F120" s="366">
        <f t="shared" si="21"/>
        <v>0</v>
      </c>
      <c r="G120" s="370">
        <v>83.25</v>
      </c>
      <c r="H120" s="353">
        <f>SUM(F120-G120)</f>
        <v>-83.25</v>
      </c>
    </row>
    <row r="121" spans="1:35" s="1" customFormat="1" ht="15.75" customHeight="1">
      <c r="A121" s="33"/>
      <c r="B121" s="1" t="s">
        <v>94</v>
      </c>
      <c r="C121" s="367">
        <f aca="true" t="shared" si="23" ref="C121:H121">SUM(C114:C120)</f>
        <v>34669.58571</v>
      </c>
      <c r="D121" s="367">
        <f t="shared" si="23"/>
        <v>31020.195420000004</v>
      </c>
      <c r="E121" s="367">
        <f t="shared" si="23"/>
        <v>4928.4</v>
      </c>
      <c r="F121" s="367">
        <f t="shared" si="23"/>
        <v>35948.59542</v>
      </c>
      <c r="G121" s="367">
        <f t="shared" si="23"/>
        <v>38877.75</v>
      </c>
      <c r="H121" s="367">
        <f t="shared" si="23"/>
        <v>-2929.1545799999985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</row>
    <row r="124" spans="2:8" ht="12.75">
      <c r="B124" s="1" t="s">
        <v>358</v>
      </c>
      <c r="H124" s="40"/>
    </row>
    <row r="125" spans="2:9" ht="12.75">
      <c r="B125" t="s">
        <v>223</v>
      </c>
      <c r="C125" s="368">
        <v>219.78</v>
      </c>
      <c r="D125" s="277">
        <v>64.935</v>
      </c>
      <c r="E125" s="277">
        <v>0</v>
      </c>
      <c r="F125" s="366">
        <f aca="true" t="shared" si="24" ref="F125:F132">SUM(D125:E125)</f>
        <v>64.935</v>
      </c>
      <c r="G125" s="368">
        <v>5827.5</v>
      </c>
      <c r="H125" s="353">
        <f aca="true" t="shared" si="25" ref="H125:H132">SUM(F125-G125)</f>
        <v>-5762.565</v>
      </c>
      <c r="I125" s="129"/>
    </row>
    <row r="126" spans="1:35" s="139" customFormat="1" ht="12.75">
      <c r="A126" s="138"/>
      <c r="B126" s="139" t="s">
        <v>77</v>
      </c>
      <c r="C126" s="368">
        <v>65005.439490000004</v>
      </c>
      <c r="D126" s="277">
        <v>52148.68578000001</v>
      </c>
      <c r="E126" s="277">
        <v>10656</v>
      </c>
      <c r="F126" s="366">
        <f t="shared" si="24"/>
        <v>62804.68578000001</v>
      </c>
      <c r="G126" s="368">
        <v>59940</v>
      </c>
      <c r="H126" s="353">
        <f t="shared" si="25"/>
        <v>2864.685780000007</v>
      </c>
      <c r="I126" s="129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</row>
    <row r="127" spans="2:9" ht="12.75">
      <c r="B127" t="s">
        <v>80</v>
      </c>
      <c r="C127" s="368">
        <v>31938.805890000003</v>
      </c>
      <c r="D127" s="277">
        <v>8471.52</v>
      </c>
      <c r="E127" s="277">
        <v>0</v>
      </c>
      <c r="F127" s="366">
        <f t="shared" si="24"/>
        <v>8471.52</v>
      </c>
      <c r="G127" s="368">
        <v>0</v>
      </c>
      <c r="H127" s="353">
        <f t="shared" si="25"/>
        <v>8471.52</v>
      </c>
      <c r="I127" s="129"/>
    </row>
    <row r="128" spans="2:9" ht="12.75">
      <c r="B128" t="s">
        <v>230</v>
      </c>
      <c r="C128" s="368">
        <v>0</v>
      </c>
      <c r="D128" s="277">
        <v>2407.59</v>
      </c>
      <c r="E128" s="277">
        <v>0</v>
      </c>
      <c r="F128" s="366">
        <f t="shared" si="24"/>
        <v>2407.59</v>
      </c>
      <c r="G128" s="368">
        <v>832.5</v>
      </c>
      <c r="H128" s="353">
        <f t="shared" si="25"/>
        <v>1575.0900000000001</v>
      </c>
      <c r="I128" s="129"/>
    </row>
    <row r="129" spans="2:9" ht="12.75">
      <c r="B129" t="s">
        <v>276</v>
      </c>
      <c r="C129" s="368">
        <v>3143.1636900000003</v>
      </c>
      <c r="D129" s="277">
        <v>1876.122</v>
      </c>
      <c r="E129" s="277">
        <v>466.2</v>
      </c>
      <c r="F129" s="366">
        <f t="shared" si="24"/>
        <v>2342.322</v>
      </c>
      <c r="G129" s="368">
        <v>2497.5</v>
      </c>
      <c r="H129" s="353">
        <f t="shared" si="25"/>
        <v>-155.17799999999988</v>
      </c>
      <c r="I129" s="129"/>
    </row>
    <row r="130" spans="2:9" ht="12.75">
      <c r="B130" s="14" t="s">
        <v>152</v>
      </c>
      <c r="C130" s="368">
        <v>1014.3812700000001</v>
      </c>
      <c r="D130" s="277">
        <v>8150.224950000001</v>
      </c>
      <c r="E130" s="277">
        <v>333</v>
      </c>
      <c r="F130" s="366">
        <f t="shared" si="24"/>
        <v>8483.22495</v>
      </c>
      <c r="G130" s="368">
        <v>3330</v>
      </c>
      <c r="H130" s="353">
        <f t="shared" si="25"/>
        <v>5153.22495</v>
      </c>
      <c r="I130" s="129"/>
    </row>
    <row r="131" spans="2:9" ht="12.75">
      <c r="B131" t="s">
        <v>66</v>
      </c>
      <c r="C131" s="368">
        <v>9498.492</v>
      </c>
      <c r="D131" s="277">
        <v>13307.346000000001</v>
      </c>
      <c r="E131" s="277">
        <v>2402.9280000000003</v>
      </c>
      <c r="F131" s="366">
        <f t="shared" si="24"/>
        <v>15710.274000000001</v>
      </c>
      <c r="G131" s="368">
        <v>13486.5</v>
      </c>
      <c r="H131" s="353">
        <f t="shared" si="25"/>
        <v>2223.7740000000013</v>
      </c>
      <c r="I131" s="129"/>
    </row>
    <row r="132" spans="2:9" ht="12.75">
      <c r="B132" t="s">
        <v>243</v>
      </c>
      <c r="C132" s="368">
        <v>0</v>
      </c>
      <c r="D132" s="277">
        <v>0</v>
      </c>
      <c r="E132" s="277">
        <v>11655</v>
      </c>
      <c r="F132" s="366">
        <f t="shared" si="24"/>
        <v>11655</v>
      </c>
      <c r="G132" s="368">
        <v>11655</v>
      </c>
      <c r="H132" s="353">
        <f t="shared" si="25"/>
        <v>0</v>
      </c>
      <c r="I132" s="129"/>
    </row>
    <row r="133" spans="1:35" s="1" customFormat="1" ht="18" customHeight="1">
      <c r="A133" s="33"/>
      <c r="B133" s="1" t="s">
        <v>151</v>
      </c>
      <c r="C133" s="367">
        <f aca="true" t="shared" si="26" ref="C133:H133">SUM(C125:C132)</f>
        <v>110820.06234</v>
      </c>
      <c r="D133" s="367">
        <f t="shared" si="26"/>
        <v>86426.42373000001</v>
      </c>
      <c r="E133" s="367">
        <f t="shared" si="26"/>
        <v>25513.128</v>
      </c>
      <c r="F133" s="367">
        <f t="shared" si="26"/>
        <v>111939.55173</v>
      </c>
      <c r="G133" s="367">
        <f t="shared" si="26"/>
        <v>97569</v>
      </c>
      <c r="H133" s="367">
        <f t="shared" si="26"/>
        <v>14370.55173000001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</row>
    <row r="134" ht="12" customHeight="1">
      <c r="H134" s="40"/>
    </row>
    <row r="135" ht="12.75">
      <c r="H135" s="40"/>
    </row>
    <row r="136" spans="2:8" ht="12.75">
      <c r="B136" s="1" t="s">
        <v>526</v>
      </c>
      <c r="H136" s="40"/>
    </row>
    <row r="137" spans="2:9" ht="12.75">
      <c r="B137" s="14" t="s">
        <v>296</v>
      </c>
      <c r="C137" s="368">
        <v>33.3</v>
      </c>
      <c r="D137" s="277">
        <v>16.65</v>
      </c>
      <c r="E137" s="277">
        <v>0</v>
      </c>
      <c r="F137" s="366">
        <f aca="true" t="shared" si="27" ref="F137:F146">SUM(D137:E137)</f>
        <v>16.65</v>
      </c>
      <c r="G137" s="368">
        <v>249.75</v>
      </c>
      <c r="H137" s="353">
        <f aca="true" t="shared" si="28" ref="H137:H146">SUM(F137-G137)</f>
        <v>-233.1</v>
      </c>
      <c r="I137" s="129"/>
    </row>
    <row r="138" spans="2:9" ht="12.75">
      <c r="B138" s="14" t="s">
        <v>187</v>
      </c>
      <c r="C138" s="368">
        <v>5894.1</v>
      </c>
      <c r="D138" s="277">
        <v>5927.4</v>
      </c>
      <c r="E138" s="277">
        <v>1132.2</v>
      </c>
      <c r="F138" s="366">
        <f t="shared" si="27"/>
        <v>7059.599999999999</v>
      </c>
      <c r="G138" s="368">
        <v>4995</v>
      </c>
      <c r="H138" s="353">
        <f t="shared" si="28"/>
        <v>2064.5999999999995</v>
      </c>
      <c r="I138" s="129"/>
    </row>
    <row r="139" spans="2:9" ht="12.75">
      <c r="B139" s="14" t="s">
        <v>188</v>
      </c>
      <c r="C139" s="368">
        <v>1078.92</v>
      </c>
      <c r="D139" s="277">
        <v>839.16</v>
      </c>
      <c r="E139" s="277">
        <v>153.18</v>
      </c>
      <c r="F139" s="366">
        <f t="shared" si="27"/>
        <v>992.3399999999999</v>
      </c>
      <c r="G139" s="368">
        <v>1831.5</v>
      </c>
      <c r="H139" s="353">
        <f t="shared" si="28"/>
        <v>-839.1600000000001</v>
      </c>
      <c r="I139" s="129"/>
    </row>
    <row r="140" spans="2:9" ht="12.75">
      <c r="B140" s="14" t="s">
        <v>297</v>
      </c>
      <c r="C140" s="368">
        <v>9330.66</v>
      </c>
      <c r="D140" s="277">
        <v>9139.185000000001</v>
      </c>
      <c r="E140" s="277">
        <v>1665</v>
      </c>
      <c r="F140" s="366">
        <f t="shared" si="27"/>
        <v>10804.185000000001</v>
      </c>
      <c r="G140" s="368">
        <v>9990</v>
      </c>
      <c r="H140" s="353">
        <f t="shared" si="28"/>
        <v>814.1850000000013</v>
      </c>
      <c r="I140" s="129"/>
    </row>
    <row r="141" spans="2:9" ht="12.75">
      <c r="B141" s="14" t="s">
        <v>231</v>
      </c>
      <c r="C141" s="368">
        <v>0</v>
      </c>
      <c r="D141" s="277">
        <v>0</v>
      </c>
      <c r="E141" s="277">
        <v>0</v>
      </c>
      <c r="F141" s="366">
        <f t="shared" si="27"/>
        <v>0</v>
      </c>
      <c r="G141" s="368">
        <v>166.5</v>
      </c>
      <c r="H141" s="353">
        <f t="shared" si="28"/>
        <v>-166.5</v>
      </c>
      <c r="I141" s="129"/>
    </row>
    <row r="142" spans="2:9" ht="12.75">
      <c r="B142" s="14" t="s">
        <v>285</v>
      </c>
      <c r="C142" s="368">
        <v>10755.9</v>
      </c>
      <c r="D142" s="277">
        <v>20659.32</v>
      </c>
      <c r="E142" s="277">
        <v>0</v>
      </c>
      <c r="F142" s="366">
        <f t="shared" si="27"/>
        <v>20659.32</v>
      </c>
      <c r="G142" s="368">
        <v>24975</v>
      </c>
      <c r="H142" s="353">
        <f t="shared" si="28"/>
        <v>-4315.68</v>
      </c>
      <c r="I142" s="129"/>
    </row>
    <row r="143" spans="2:9" ht="12.75">
      <c r="B143" s="14" t="s">
        <v>298</v>
      </c>
      <c r="C143" s="368">
        <v>3341.655</v>
      </c>
      <c r="D143" s="277">
        <v>7284.375</v>
      </c>
      <c r="E143" s="277">
        <v>542.79</v>
      </c>
      <c r="F143" s="366">
        <f t="shared" si="27"/>
        <v>7827.165</v>
      </c>
      <c r="G143" s="368">
        <v>3330</v>
      </c>
      <c r="H143" s="353">
        <f t="shared" si="28"/>
        <v>4497.165</v>
      </c>
      <c r="I143" s="129"/>
    </row>
    <row r="144" spans="2:9" ht="12.75">
      <c r="B144" s="14" t="s">
        <v>299</v>
      </c>
      <c r="C144" s="368">
        <v>8441.55</v>
      </c>
      <c r="D144" s="277">
        <v>7316.01</v>
      </c>
      <c r="E144" s="277">
        <v>1208.79</v>
      </c>
      <c r="F144" s="366">
        <f t="shared" si="27"/>
        <v>8524.8</v>
      </c>
      <c r="G144" s="368">
        <v>8325</v>
      </c>
      <c r="H144" s="353">
        <f t="shared" si="28"/>
        <v>199.79999999999927</v>
      </c>
      <c r="I144" s="129"/>
    </row>
    <row r="145" spans="2:9" ht="12.75">
      <c r="B145" s="14" t="s">
        <v>300</v>
      </c>
      <c r="C145" s="368">
        <v>2331</v>
      </c>
      <c r="D145" s="277">
        <v>1048.95</v>
      </c>
      <c r="E145" s="277">
        <v>223.11</v>
      </c>
      <c r="F145" s="366">
        <f t="shared" si="27"/>
        <v>1272.06</v>
      </c>
      <c r="G145" s="368">
        <v>4995</v>
      </c>
      <c r="H145" s="353">
        <f t="shared" si="28"/>
        <v>-3722.94</v>
      </c>
      <c r="I145" s="129"/>
    </row>
    <row r="146" spans="2:9" ht="12.75">
      <c r="B146" t="s">
        <v>66</v>
      </c>
      <c r="C146" s="368">
        <v>890.2755000000001</v>
      </c>
      <c r="D146" s="277">
        <v>662.337</v>
      </c>
      <c r="E146" s="277">
        <v>0</v>
      </c>
      <c r="F146" s="366">
        <f t="shared" si="27"/>
        <v>662.337</v>
      </c>
      <c r="G146" s="368">
        <v>166.5</v>
      </c>
      <c r="H146" s="353">
        <f t="shared" si="28"/>
        <v>495.837</v>
      </c>
      <c r="I146" s="129"/>
    </row>
    <row r="147" spans="1:35" s="14" customFormat="1" ht="15.75" customHeight="1">
      <c r="A147" s="74"/>
      <c r="B147" s="1" t="s">
        <v>542</v>
      </c>
      <c r="C147" s="367">
        <f aca="true" t="shared" si="29" ref="C147:H147">SUM(C137:C146)</f>
        <v>42097.360499999995</v>
      </c>
      <c r="D147" s="367">
        <f t="shared" si="29"/>
        <v>52893.386999999995</v>
      </c>
      <c r="E147" s="367">
        <f t="shared" si="29"/>
        <v>4925.07</v>
      </c>
      <c r="F147" s="367">
        <f t="shared" si="29"/>
        <v>57818.456999999995</v>
      </c>
      <c r="G147" s="367">
        <f t="shared" si="29"/>
        <v>59024.25</v>
      </c>
      <c r="H147" s="367">
        <f t="shared" si="29"/>
        <v>-1205.7930000000006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ht="12.75">
      <c r="H148" s="40"/>
    </row>
    <row r="149" spans="1:35" s="2" customFormat="1" ht="12.75">
      <c r="A149" s="29"/>
      <c r="C149" s="158"/>
      <c r="D149" s="36"/>
      <c r="E149" s="150"/>
      <c r="F149" s="157"/>
      <c r="G149" s="157"/>
      <c r="H149" s="36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1:35" s="2" customFormat="1" ht="12.75">
      <c r="A150" s="29"/>
      <c r="C150" s="158"/>
      <c r="D150" s="36"/>
      <c r="E150" s="36"/>
      <c r="F150" s="36"/>
      <c r="G150" s="157"/>
      <c r="H150" s="157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8" ht="12.75">
      <c r="B151" s="1" t="s">
        <v>527</v>
      </c>
      <c r="H151" s="40"/>
    </row>
    <row r="152" spans="2:9" ht="12.75">
      <c r="B152" t="s">
        <v>68</v>
      </c>
      <c r="C152" s="368">
        <v>99.9</v>
      </c>
      <c r="D152" s="277">
        <v>74.925</v>
      </c>
      <c r="E152" s="277">
        <v>0</v>
      </c>
      <c r="F152" s="366">
        <f aca="true" t="shared" si="30" ref="F152:F162">SUM(D152:E152)</f>
        <v>74.925</v>
      </c>
      <c r="G152" s="368">
        <v>0</v>
      </c>
      <c r="H152" s="353">
        <f aca="true" t="shared" si="31" ref="H152:H162">SUM(F152-G152)</f>
        <v>74.925</v>
      </c>
      <c r="I152" s="129"/>
    </row>
    <row r="153" spans="2:9" ht="12.75">
      <c r="B153" t="s">
        <v>133</v>
      </c>
      <c r="C153" s="368">
        <v>297872.829</v>
      </c>
      <c r="D153" s="277">
        <v>169351.3125</v>
      </c>
      <c r="E153" s="277">
        <v>23310</v>
      </c>
      <c r="F153" s="366">
        <f t="shared" si="30"/>
        <v>192661.3125</v>
      </c>
      <c r="G153" s="368">
        <v>324675</v>
      </c>
      <c r="H153" s="353">
        <f t="shared" si="31"/>
        <v>-132013.6875</v>
      </c>
      <c r="I153" s="129"/>
    </row>
    <row r="154" spans="2:9" ht="12.75">
      <c r="B154" t="s">
        <v>232</v>
      </c>
      <c r="C154" s="368">
        <v>2389.31496</v>
      </c>
      <c r="D154" s="277">
        <v>3613.05</v>
      </c>
      <c r="E154" s="277">
        <v>1332</v>
      </c>
      <c r="F154" s="366">
        <f t="shared" si="30"/>
        <v>4945.05</v>
      </c>
      <c r="G154" s="368">
        <v>3330</v>
      </c>
      <c r="H154" s="353">
        <f t="shared" si="31"/>
        <v>1615.0500000000002</v>
      </c>
      <c r="I154" s="129"/>
    </row>
    <row r="155" spans="2:9" ht="12.75">
      <c r="B155" t="s">
        <v>233</v>
      </c>
      <c r="C155" s="368">
        <v>58036.239</v>
      </c>
      <c r="D155" s="277">
        <v>78378.3765</v>
      </c>
      <c r="E155" s="277">
        <v>9990</v>
      </c>
      <c r="F155" s="366">
        <f t="shared" si="30"/>
        <v>88368.3765</v>
      </c>
      <c r="G155" s="368">
        <v>58275</v>
      </c>
      <c r="H155" s="353">
        <f t="shared" si="31"/>
        <v>30093.3765</v>
      </c>
      <c r="I155" s="129"/>
    </row>
    <row r="156" spans="2:9" ht="12.75">
      <c r="B156" t="s">
        <v>78</v>
      </c>
      <c r="C156" s="368">
        <v>54284.994000000006</v>
      </c>
      <c r="D156" s="277">
        <v>65562.705</v>
      </c>
      <c r="E156" s="277">
        <v>6327</v>
      </c>
      <c r="F156" s="366">
        <f t="shared" si="30"/>
        <v>71889.705</v>
      </c>
      <c r="G156" s="368">
        <v>48285</v>
      </c>
      <c r="H156" s="353">
        <f t="shared" si="31"/>
        <v>23604.705</v>
      </c>
      <c r="I156" s="129"/>
    </row>
    <row r="157" spans="2:9" ht="12.75">
      <c r="B157" t="s">
        <v>234</v>
      </c>
      <c r="C157" s="368">
        <v>10294.322040000001</v>
      </c>
      <c r="D157" s="277">
        <v>6519.307500000001</v>
      </c>
      <c r="E157" s="277">
        <v>1098.9</v>
      </c>
      <c r="F157" s="366">
        <f t="shared" si="30"/>
        <v>7618.2075</v>
      </c>
      <c r="G157" s="368">
        <v>9990</v>
      </c>
      <c r="H157" s="353">
        <f t="shared" si="31"/>
        <v>-2371.7924999999996</v>
      </c>
      <c r="I157" s="129"/>
    </row>
    <row r="158" spans="2:9" ht="12.75">
      <c r="B158" t="s">
        <v>79</v>
      </c>
      <c r="C158" s="368">
        <v>43236.054000000004</v>
      </c>
      <c r="D158" s="277">
        <v>28826.9775</v>
      </c>
      <c r="E158" s="277">
        <v>4329</v>
      </c>
      <c r="F158" s="366">
        <f t="shared" si="30"/>
        <v>33155.9775</v>
      </c>
      <c r="G158" s="368">
        <v>36630</v>
      </c>
      <c r="H158" s="353">
        <f t="shared" si="31"/>
        <v>-3474.022499999999</v>
      </c>
      <c r="I158" s="129"/>
    </row>
    <row r="159" spans="2:9" ht="12.75">
      <c r="B159" t="s">
        <v>235</v>
      </c>
      <c r="C159" s="368">
        <v>6052.275000000001</v>
      </c>
      <c r="D159" s="277">
        <v>5597.73</v>
      </c>
      <c r="E159" s="277">
        <v>333</v>
      </c>
      <c r="F159" s="366">
        <f t="shared" si="30"/>
        <v>5930.73</v>
      </c>
      <c r="G159" s="368">
        <v>4995</v>
      </c>
      <c r="H159" s="353">
        <f t="shared" si="31"/>
        <v>935.7299999999996</v>
      </c>
      <c r="I159" s="129"/>
    </row>
    <row r="160" spans="2:9" ht="12.75">
      <c r="B160" t="s">
        <v>81</v>
      </c>
      <c r="C160" s="368">
        <v>157.09608</v>
      </c>
      <c r="D160" s="277">
        <v>812.11707</v>
      </c>
      <c r="E160" s="277">
        <v>0</v>
      </c>
      <c r="F160" s="366">
        <f t="shared" si="30"/>
        <v>812.11707</v>
      </c>
      <c r="G160" s="368">
        <v>0</v>
      </c>
      <c r="H160" s="353">
        <f t="shared" si="31"/>
        <v>812.11707</v>
      </c>
      <c r="I160" s="129"/>
    </row>
    <row r="161" spans="2:9" ht="12.75">
      <c r="B161" s="14" t="s">
        <v>231</v>
      </c>
      <c r="C161" s="368">
        <v>0</v>
      </c>
      <c r="D161" s="277">
        <v>0</v>
      </c>
      <c r="E161" s="277">
        <v>0</v>
      </c>
      <c r="F161" s="366">
        <f t="shared" si="30"/>
        <v>0</v>
      </c>
      <c r="G161" s="368">
        <v>0</v>
      </c>
      <c r="H161" s="353">
        <f t="shared" si="31"/>
        <v>0</v>
      </c>
      <c r="I161" s="129"/>
    </row>
    <row r="162" spans="2:9" ht="12.75">
      <c r="B162" t="s">
        <v>66</v>
      </c>
      <c r="C162" s="368">
        <v>67.64562</v>
      </c>
      <c r="D162" s="277">
        <v>73.52640000000001</v>
      </c>
      <c r="E162" s="277">
        <v>0</v>
      </c>
      <c r="F162" s="366">
        <f t="shared" si="30"/>
        <v>73.52640000000001</v>
      </c>
      <c r="G162" s="368">
        <v>166.5</v>
      </c>
      <c r="H162" s="353">
        <f t="shared" si="31"/>
        <v>-92.97359999999999</v>
      </c>
      <c r="I162" s="129"/>
    </row>
    <row r="163" spans="1:35" s="1" customFormat="1" ht="21" customHeight="1">
      <c r="A163" s="33"/>
      <c r="B163" s="1" t="s">
        <v>533</v>
      </c>
      <c r="C163" s="367">
        <f aca="true" t="shared" si="32" ref="C163:H163">SUM(C152:C162)</f>
        <v>472490.6697000001</v>
      </c>
      <c r="D163" s="367">
        <f t="shared" si="32"/>
        <v>358810.0274699999</v>
      </c>
      <c r="E163" s="367">
        <f t="shared" si="32"/>
        <v>46719.9</v>
      </c>
      <c r="F163" s="367">
        <f t="shared" si="32"/>
        <v>405529.92746999994</v>
      </c>
      <c r="G163" s="367">
        <f t="shared" si="32"/>
        <v>486346.5</v>
      </c>
      <c r="H163" s="367">
        <f t="shared" si="32"/>
        <v>-80816.57253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1:35" s="2" customFormat="1" ht="12.75">
      <c r="A164" s="29"/>
      <c r="C164" s="36"/>
      <c r="D164" s="36"/>
      <c r="E164" s="157"/>
      <c r="F164" s="157"/>
      <c r="G164" s="157"/>
      <c r="H164" s="157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8" ht="12.75">
      <c r="B165" s="1" t="s">
        <v>359</v>
      </c>
      <c r="H165" s="40"/>
    </row>
    <row r="166" spans="2:9" ht="12.75">
      <c r="B166" t="s">
        <v>223</v>
      </c>
      <c r="C166" s="368">
        <v>111.7215</v>
      </c>
      <c r="D166" s="277">
        <v>87.4125</v>
      </c>
      <c r="E166" s="277">
        <v>0</v>
      </c>
      <c r="F166" s="366">
        <f aca="true" t="shared" si="33" ref="F166:F173">SUM(D166:E166)</f>
        <v>87.4125</v>
      </c>
      <c r="G166" s="368">
        <v>0</v>
      </c>
      <c r="H166" s="353">
        <f>SUM(F166-G166)</f>
        <v>87.4125</v>
      </c>
      <c r="I166" s="129"/>
    </row>
    <row r="167" spans="2:9" ht="12.75">
      <c r="B167" t="s">
        <v>83</v>
      </c>
      <c r="C167" s="368">
        <v>549.45</v>
      </c>
      <c r="D167" s="277">
        <v>166.5</v>
      </c>
      <c r="E167" s="277">
        <v>166.5</v>
      </c>
      <c r="F167" s="366">
        <f t="shared" si="33"/>
        <v>333</v>
      </c>
      <c r="G167" s="368">
        <v>499.5</v>
      </c>
      <c r="H167" s="353">
        <f aca="true" t="shared" si="34" ref="H167:H173">SUM(F167-G167)</f>
        <v>-166.5</v>
      </c>
      <c r="I167" s="129"/>
    </row>
    <row r="168" spans="2:9" ht="12.75">
      <c r="B168" t="s">
        <v>236</v>
      </c>
      <c r="C168" s="368">
        <v>40526.1</v>
      </c>
      <c r="D168" s="277">
        <v>41441.85</v>
      </c>
      <c r="E168" s="277">
        <v>1848.15</v>
      </c>
      <c r="F168" s="366">
        <f t="shared" si="33"/>
        <v>43290</v>
      </c>
      <c r="G168" s="368">
        <v>43290</v>
      </c>
      <c r="H168" s="353">
        <f t="shared" si="34"/>
        <v>0</v>
      </c>
      <c r="I168" s="129"/>
    </row>
    <row r="169" spans="2:9" ht="12.75">
      <c r="B169" t="s">
        <v>237</v>
      </c>
      <c r="C169" s="368">
        <v>1431.9</v>
      </c>
      <c r="D169" s="277">
        <v>1398.6</v>
      </c>
      <c r="E169" s="277">
        <v>99.9</v>
      </c>
      <c r="F169" s="366">
        <f t="shared" si="33"/>
        <v>1498.5</v>
      </c>
      <c r="G169" s="368">
        <v>1665</v>
      </c>
      <c r="H169" s="353">
        <f t="shared" si="34"/>
        <v>-166.5</v>
      </c>
      <c r="I169" s="129"/>
    </row>
    <row r="170" spans="2:9" ht="12.75">
      <c r="B170" t="s">
        <v>238</v>
      </c>
      <c r="C170" s="368">
        <v>1598.4</v>
      </c>
      <c r="D170" s="277">
        <v>1398.6</v>
      </c>
      <c r="E170" s="277">
        <v>99.9</v>
      </c>
      <c r="F170" s="366">
        <f t="shared" si="33"/>
        <v>1498.5</v>
      </c>
      <c r="G170" s="368">
        <v>1665</v>
      </c>
      <c r="H170" s="353">
        <f t="shared" si="34"/>
        <v>-166.5</v>
      </c>
      <c r="I170" s="129"/>
    </row>
    <row r="171" spans="2:9" ht="12.75">
      <c r="B171" t="s">
        <v>84</v>
      </c>
      <c r="C171" s="368">
        <v>1698.3</v>
      </c>
      <c r="D171" s="277">
        <v>815.85</v>
      </c>
      <c r="E171" s="277">
        <v>999</v>
      </c>
      <c r="F171" s="366">
        <f t="shared" si="33"/>
        <v>1814.85</v>
      </c>
      <c r="G171" s="368">
        <v>2164.5</v>
      </c>
      <c r="H171" s="353">
        <f t="shared" si="34"/>
        <v>-349.6500000000001</v>
      </c>
      <c r="I171" s="129"/>
    </row>
    <row r="172" spans="2:9" ht="12.75">
      <c r="B172" t="s">
        <v>66</v>
      </c>
      <c r="C172" s="368">
        <v>3843.13302</v>
      </c>
      <c r="D172" s="277">
        <v>2859.4909800000005</v>
      </c>
      <c r="E172" s="277">
        <v>0</v>
      </c>
      <c r="F172" s="366">
        <f t="shared" si="33"/>
        <v>2859.4909800000005</v>
      </c>
      <c r="G172" s="368">
        <v>666</v>
      </c>
      <c r="H172" s="353">
        <f t="shared" si="34"/>
        <v>2193.4909800000005</v>
      </c>
      <c r="I172" s="129"/>
    </row>
    <row r="173" spans="2:9" ht="12.75">
      <c r="B173" t="s">
        <v>315</v>
      </c>
      <c r="C173" s="368">
        <v>256.4433</v>
      </c>
      <c r="D173" s="277">
        <v>0</v>
      </c>
      <c r="E173" s="277">
        <v>1665</v>
      </c>
      <c r="F173" s="366">
        <f t="shared" si="33"/>
        <v>1665</v>
      </c>
      <c r="G173" s="368">
        <v>8325</v>
      </c>
      <c r="H173" s="353">
        <f t="shared" si="34"/>
        <v>-6660</v>
      </c>
      <c r="I173" s="129"/>
    </row>
    <row r="174" spans="1:35" s="1" customFormat="1" ht="18" customHeight="1">
      <c r="A174" s="33"/>
      <c r="B174" s="1" t="s">
        <v>95</v>
      </c>
      <c r="C174" s="367">
        <f aca="true" t="shared" si="35" ref="C174:H174">SUM(C166:C173)</f>
        <v>50015.44782</v>
      </c>
      <c r="D174" s="367">
        <f t="shared" si="35"/>
        <v>48168.303479999995</v>
      </c>
      <c r="E174" s="367">
        <f t="shared" si="35"/>
        <v>4878.450000000001</v>
      </c>
      <c r="F174" s="367">
        <f t="shared" si="35"/>
        <v>53046.75348</v>
      </c>
      <c r="G174" s="367">
        <f t="shared" si="35"/>
        <v>58275</v>
      </c>
      <c r="H174" s="367">
        <f t="shared" si="35"/>
        <v>-5228.24652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</row>
    <row r="175" spans="1:35" s="1" customFormat="1" ht="18" customHeight="1">
      <c r="A175" s="33"/>
      <c r="C175" s="36"/>
      <c r="D175" s="36"/>
      <c r="E175" s="150"/>
      <c r="F175" s="150"/>
      <c r="G175" s="150"/>
      <c r="H175" s="150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</row>
    <row r="176" ht="12.75">
      <c r="H176" s="40"/>
    </row>
    <row r="177" spans="6:8" ht="12.75">
      <c r="F177" s="207"/>
      <c r="H177" s="40"/>
    </row>
    <row r="178" spans="2:8" ht="12.75">
      <c r="B178" s="1" t="s">
        <v>514</v>
      </c>
      <c r="H178" s="40"/>
    </row>
    <row r="179" spans="1:35" s="14" customFormat="1" ht="12.75">
      <c r="A179" s="74"/>
      <c r="B179" s="14" t="s">
        <v>86</v>
      </c>
      <c r="C179" s="371">
        <v>235389.71799000003</v>
      </c>
      <c r="D179" s="280">
        <v>165725.37207</v>
      </c>
      <c r="E179" s="280">
        <v>42399.62793000001</v>
      </c>
      <c r="F179" s="366">
        <f>SUM(D179:E179)</f>
        <v>208125.00000000003</v>
      </c>
      <c r="G179" s="371">
        <v>208125</v>
      </c>
      <c r="H179" s="353">
        <f>SUM(F179-G179)</f>
        <v>2.9103830456733704E-11</v>
      </c>
      <c r="I179" s="130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2:9" ht="12.75">
      <c r="B180" t="s">
        <v>66</v>
      </c>
      <c r="C180" s="371">
        <v>13204.106010000001</v>
      </c>
      <c r="D180" s="280">
        <v>610.5654900000001</v>
      </c>
      <c r="E180" s="280">
        <v>12709.434510000001</v>
      </c>
      <c r="F180" s="366">
        <f>SUM(D180:E180)</f>
        <v>13320.000000000002</v>
      </c>
      <c r="G180" s="371">
        <v>33300</v>
      </c>
      <c r="H180" s="353">
        <f>SUM(F180-G180)</f>
        <v>-19980</v>
      </c>
      <c r="I180" s="130"/>
    </row>
    <row r="181" spans="2:9" ht="12.75">
      <c r="B181" t="s">
        <v>275</v>
      </c>
      <c r="C181" s="371">
        <v>0</v>
      </c>
      <c r="D181" s="280">
        <v>0</v>
      </c>
      <c r="E181" s="280">
        <v>0</v>
      </c>
      <c r="F181" s="366">
        <f>SUM(D181:E181)</f>
        <v>0</v>
      </c>
      <c r="G181" s="371">
        <v>0</v>
      </c>
      <c r="H181" s="353">
        <f>SUM(F181-G181)</f>
        <v>0</v>
      </c>
      <c r="I181" s="130"/>
    </row>
    <row r="182" spans="1:35" s="14" customFormat="1" ht="12.75">
      <c r="A182" s="74"/>
      <c r="B182" s="14" t="s">
        <v>115</v>
      </c>
      <c r="C182" s="371">
        <v>31445.60625</v>
      </c>
      <c r="D182" s="280">
        <v>21910.517550000004</v>
      </c>
      <c r="E182" s="280">
        <v>4729.482449999999</v>
      </c>
      <c r="F182" s="366">
        <f>SUM(D182:E182)</f>
        <v>26640.000000000004</v>
      </c>
      <c r="G182" s="371">
        <v>26640</v>
      </c>
      <c r="H182" s="353">
        <f>SUM(F182-G182)</f>
        <v>3.637978807091713E-12</v>
      </c>
      <c r="I182" s="130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s="1" customFormat="1" ht="15" customHeight="1">
      <c r="A183" s="33"/>
      <c r="B183" s="1" t="s">
        <v>529</v>
      </c>
      <c r="C183" s="484">
        <f aca="true" t="shared" si="36" ref="C183:H183">SUM(C179:C182)</f>
        <v>280039.43025000003</v>
      </c>
      <c r="D183" s="484">
        <f t="shared" si="36"/>
        <v>188246.45511000004</v>
      </c>
      <c r="E183" s="484">
        <f t="shared" si="36"/>
        <v>59838.544890000005</v>
      </c>
      <c r="F183" s="484">
        <f t="shared" si="36"/>
        <v>248085.00000000003</v>
      </c>
      <c r="G183" s="484">
        <f t="shared" si="36"/>
        <v>268065</v>
      </c>
      <c r="H183" s="484">
        <f t="shared" si="36"/>
        <v>-19979.999999999967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</row>
    <row r="184" spans="1:35" s="1" customFormat="1" ht="15" customHeight="1">
      <c r="A184" s="33"/>
      <c r="C184" s="150"/>
      <c r="D184" s="150"/>
      <c r="E184" s="150"/>
      <c r="F184" s="150"/>
      <c r="G184" s="150"/>
      <c r="H184" s="150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</row>
    <row r="185" spans="1:35" s="1" customFormat="1" ht="15" customHeight="1">
      <c r="A185" s="33"/>
      <c r="B185" s="1" t="s">
        <v>538</v>
      </c>
      <c r="C185" s="36"/>
      <c r="D185" s="36"/>
      <c r="E185" s="40"/>
      <c r="F185" s="40"/>
      <c r="G185" s="40"/>
      <c r="H185" s="40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</row>
    <row r="186" spans="1:35" s="1" customFormat="1" ht="15" customHeight="1">
      <c r="A186" s="33"/>
      <c r="B186" t="s">
        <v>540</v>
      </c>
      <c r="C186" s="368">
        <v>3843.13302</v>
      </c>
      <c r="D186" s="277">
        <v>2859.4909800000005</v>
      </c>
      <c r="E186" s="277">
        <v>0</v>
      </c>
      <c r="F186" s="366">
        <f>SUM(D186:E186)</f>
        <v>2859.4909800000005</v>
      </c>
      <c r="G186" s="368">
        <v>666</v>
      </c>
      <c r="H186" s="353">
        <f>SUM(F186-G186)</f>
        <v>2193.4909800000005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</row>
    <row r="187" spans="1:35" s="1" customFormat="1" ht="15" customHeight="1">
      <c r="A187" s="33"/>
      <c r="B187" t="s">
        <v>541</v>
      </c>
      <c r="C187" s="368">
        <v>256.4433</v>
      </c>
      <c r="D187" s="277">
        <v>0</v>
      </c>
      <c r="E187" s="277">
        <v>1665</v>
      </c>
      <c r="F187" s="366">
        <f>SUM(D187:E187)</f>
        <v>1665</v>
      </c>
      <c r="G187" s="368">
        <v>1665</v>
      </c>
      <c r="H187" s="353">
        <f>SUM(F187-G187)</f>
        <v>0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:35" s="3" customFormat="1" ht="12.75">
      <c r="A188" s="31"/>
      <c r="B188" s="1" t="s">
        <v>539</v>
      </c>
      <c r="C188" s="367">
        <f aca="true" t="shared" si="37" ref="C188:H188">SUM(C186:C187)</f>
        <v>4099.57632</v>
      </c>
      <c r="D188" s="367">
        <f t="shared" si="37"/>
        <v>2859.4909800000005</v>
      </c>
      <c r="E188" s="367">
        <f t="shared" si="37"/>
        <v>1665</v>
      </c>
      <c r="F188" s="367">
        <f t="shared" si="37"/>
        <v>4524.4909800000005</v>
      </c>
      <c r="G188" s="367">
        <f t="shared" si="37"/>
        <v>2331</v>
      </c>
      <c r="H188" s="367">
        <f t="shared" si="37"/>
        <v>2193.4909800000005</v>
      </c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1:35" s="3" customFormat="1" ht="12.75">
      <c r="A189" s="31"/>
      <c r="C189" s="158"/>
      <c r="D189" s="158"/>
      <c r="E189" s="158"/>
      <c r="F189" s="158"/>
      <c r="G189" s="158"/>
      <c r="H189" s="40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1:35" s="1" customFormat="1" ht="13.5" thickBot="1">
      <c r="A190" s="364"/>
      <c r="B190" s="365" t="s">
        <v>88</v>
      </c>
      <c r="C190" s="349">
        <f aca="true" t="shared" si="38" ref="C190:H190">SUM(C17+C43+C64+C55+C74+C91+C110+C121+C133+C147+C163+C174+C183+C188)</f>
        <v>120935877.3366167</v>
      </c>
      <c r="D190" s="349">
        <f t="shared" si="38"/>
        <v>118980446.39352663</v>
      </c>
      <c r="E190" s="349">
        <f t="shared" si="38"/>
        <v>4292115.362699997</v>
      </c>
      <c r="F190" s="349">
        <f t="shared" si="38"/>
        <v>123272561.75622669</v>
      </c>
      <c r="G190" s="349">
        <f t="shared" si="38"/>
        <v>123405876.82266666</v>
      </c>
      <c r="H190" s="349">
        <f t="shared" si="38"/>
        <v>-133315.06644000622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</row>
    <row r="191" spans="1:35" s="1" customFormat="1" ht="13.5" thickTop="1">
      <c r="A191" s="530"/>
      <c r="B191" s="182"/>
      <c r="C191" s="159"/>
      <c r="D191" s="159"/>
      <c r="E191" s="159"/>
      <c r="F191" s="159"/>
      <c r="G191" s="159"/>
      <c r="H191" s="159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</row>
    <row r="192" spans="1:35" s="1" customFormat="1" ht="12.75">
      <c r="A192" s="41"/>
      <c r="B192" s="537" t="s">
        <v>552</v>
      </c>
      <c r="C192" s="21"/>
      <c r="D192" s="521"/>
      <c r="E192" s="521"/>
      <c r="F192" s="159"/>
      <c r="G192" s="159"/>
      <c r="H192" s="159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</row>
    <row r="193" spans="1:35" s="1" customFormat="1" ht="12.75">
      <c r="A193" s="41"/>
      <c r="B193" s="7"/>
      <c r="C193" s="21"/>
      <c r="D193" s="521"/>
      <c r="E193" s="521"/>
      <c r="F193" s="159"/>
      <c r="G193" s="159"/>
      <c r="H193" s="159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</row>
    <row r="194" spans="1:35" s="1" customFormat="1" ht="12.75">
      <c r="A194" s="41"/>
      <c r="B194" s="504" t="s">
        <v>553</v>
      </c>
      <c r="C194" s="21"/>
      <c r="D194" s="521"/>
      <c r="E194" s="521"/>
      <c r="F194" s="159"/>
      <c r="G194" s="159"/>
      <c r="H194" s="159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s="1" customFormat="1" ht="12.75">
      <c r="A195" s="41"/>
      <c r="B195" s="505"/>
      <c r="C195" s="21"/>
      <c r="D195" s="521"/>
      <c r="E195" s="521"/>
      <c r="F195" s="159"/>
      <c r="G195" s="159"/>
      <c r="H195" s="159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</row>
    <row r="196" spans="1:35" s="1" customFormat="1" ht="12.75">
      <c r="A196" s="41"/>
      <c r="B196" s="506" t="s">
        <v>554</v>
      </c>
      <c r="C196" s="21"/>
      <c r="D196" s="521"/>
      <c r="E196" s="521"/>
      <c r="F196" s="159"/>
      <c r="G196" s="159"/>
      <c r="H196" s="159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</row>
    <row r="197" spans="1:35" s="1" customFormat="1" ht="12.75">
      <c r="A197" s="41"/>
      <c r="B197" s="505"/>
      <c r="C197" s="21"/>
      <c r="D197" s="521"/>
      <c r="E197" s="521"/>
      <c r="F197" s="159"/>
      <c r="G197" s="159"/>
      <c r="H197" s="159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</row>
    <row r="198" spans="1:35" s="1" customFormat="1" ht="12.75">
      <c r="A198" s="41"/>
      <c r="B198" s="507" t="s">
        <v>555</v>
      </c>
      <c r="C198" s="21"/>
      <c r="D198" s="521"/>
      <c r="E198" s="521"/>
      <c r="F198" s="159"/>
      <c r="G198" s="159"/>
      <c r="H198" s="159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</row>
    <row r="199" spans="1:35" s="1" customFormat="1" ht="12.75">
      <c r="A199" s="41"/>
      <c r="B199" s="79"/>
      <c r="C199" s="21"/>
      <c r="D199" s="521"/>
      <c r="E199" s="521"/>
      <c r="F199" s="159"/>
      <c r="G199" s="159"/>
      <c r="H199" s="159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</row>
    <row r="200" spans="1:35" s="1" customFormat="1" ht="12.75">
      <c r="A200" s="41"/>
      <c r="B200" s="508" t="s">
        <v>556</v>
      </c>
      <c r="C200" s="21"/>
      <c r="D200" s="521"/>
      <c r="E200" s="521"/>
      <c r="F200" s="159"/>
      <c r="G200" s="159"/>
      <c r="H200" s="159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</row>
    <row r="201" spans="1:35" s="1" customFormat="1" ht="14.25">
      <c r="A201" s="531"/>
      <c r="B201" s="79"/>
      <c r="C201" s="21"/>
      <c r="D201" s="532"/>
      <c r="E201" s="532"/>
      <c r="F201" s="159"/>
      <c r="G201" s="159"/>
      <c r="H201" s="159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</row>
    <row r="202" spans="1:35" s="1" customFormat="1" ht="12.75">
      <c r="A202" s="33"/>
      <c r="C202" s="37"/>
      <c r="D202" s="37"/>
      <c r="E202" s="159"/>
      <c r="F202" s="159"/>
      <c r="G202" s="159"/>
      <c r="H202" s="162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ht="12.75">
      <c r="G203" s="226"/>
    </row>
    <row r="204" ht="12.75">
      <c r="G204" s="226"/>
    </row>
    <row r="205" ht="12.75">
      <c r="G205" s="226"/>
    </row>
    <row r="206" ht="12.75">
      <c r="G206" s="226"/>
    </row>
    <row r="207" ht="12.75">
      <c r="G207" s="226"/>
    </row>
    <row r="211" ht="12.75">
      <c r="G211" s="206"/>
    </row>
    <row r="215" spans="2:8" ht="12.75">
      <c r="B215" s="1"/>
      <c r="H215" s="229"/>
    </row>
    <row r="216" spans="3:8" ht="12.75">
      <c r="C216" s="215"/>
      <c r="H216" s="229"/>
    </row>
    <row r="217" ht="12.75">
      <c r="H217" s="229"/>
    </row>
    <row r="218" spans="1:35" s="2" customFormat="1" ht="12.75">
      <c r="A218" s="29"/>
      <c r="C218" s="158"/>
      <c r="D218" s="158"/>
      <c r="E218" s="157"/>
      <c r="F218" s="157"/>
      <c r="G218" s="157"/>
      <c r="H218" s="2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</sheetData>
  <printOptions horizontalCentered="1"/>
  <pageMargins left="0.17" right="0.17" top="0.81" bottom="0.35" header="0.37" footer="0.17"/>
  <pageSetup horizontalDpi="600" verticalDpi="600" orientation="landscape" scale="95" r:id="rId1"/>
  <headerFooter alignWithMargins="0">
    <oddHeader>&amp;C&amp;A</oddHeader>
    <oddFooter>&amp;L&amp;D&amp;RREVENUE DETAIL</oddFooter>
  </headerFooter>
  <rowBreaks count="6" manualBreakCount="6">
    <brk id="44" max="255" man="1"/>
    <brk id="69" max="255" man="1"/>
    <brk id="94" max="255" man="1"/>
    <brk id="122" max="255" man="1"/>
    <brk id="149" max="255" man="1"/>
    <brk id="17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41"/>
  <sheetViews>
    <sheetView zoomScale="75" zoomScaleNormal="75" workbookViewId="0" topLeftCell="A1">
      <pane xSplit="1" ySplit="7" topLeftCell="B5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10" sqref="M510"/>
    </sheetView>
  </sheetViews>
  <sheetFormatPr defaultColWidth="9.140625" defaultRowHeight="12.75"/>
  <cols>
    <col min="1" max="1" width="33.7109375" style="14" customWidth="1"/>
    <col min="2" max="4" width="14.57421875" style="36" customWidth="1"/>
    <col min="5" max="5" width="14.8515625" style="36" customWidth="1"/>
    <col min="6" max="6" width="15.00390625" style="13" customWidth="1"/>
    <col min="7" max="7" width="14.8515625" style="36" customWidth="1"/>
    <col min="8" max="8" width="15.140625" style="13" customWidth="1"/>
    <col min="9" max="9" width="9.140625" style="14" customWidth="1"/>
    <col min="10" max="10" width="14.57421875" style="14" bestFit="1" customWidth="1"/>
    <col min="11" max="11" width="13.57421875" style="14" bestFit="1" customWidth="1"/>
    <col min="12" max="12" width="11.8515625" style="14" bestFit="1" customWidth="1"/>
    <col min="13" max="14" width="9.140625" style="14" customWidth="1"/>
    <col min="15" max="15" width="15.8515625" style="14" customWidth="1"/>
    <col min="16" max="16" width="16.00390625" style="14" customWidth="1"/>
    <col min="17" max="16384" width="9.140625" style="14" customWidth="1"/>
  </cols>
  <sheetData>
    <row r="1" spans="1:5" ht="20.25">
      <c r="A1" s="269" t="s">
        <v>477</v>
      </c>
      <c r="B1" s="76"/>
      <c r="C1" s="76"/>
      <c r="D1" s="76"/>
      <c r="E1" s="77"/>
    </row>
    <row r="2" spans="1:5" ht="12.75">
      <c r="A2" s="2"/>
      <c r="B2" s="76"/>
      <c r="C2" s="76"/>
      <c r="D2" s="76"/>
      <c r="E2" s="77"/>
    </row>
    <row r="3" spans="1:4" ht="15">
      <c r="A3" s="112" t="s">
        <v>516</v>
      </c>
      <c r="B3" s="254"/>
      <c r="C3" s="254"/>
      <c r="D3" s="254"/>
    </row>
    <row r="4" spans="3:4" ht="12.75">
      <c r="C4" s="254" t="s">
        <v>517</v>
      </c>
      <c r="D4" s="254"/>
    </row>
    <row r="5" spans="1:8" ht="12.75">
      <c r="A5" s="97"/>
      <c r="B5" s="108" t="s">
        <v>288</v>
      </c>
      <c r="C5" s="108" t="s">
        <v>319</v>
      </c>
      <c r="D5" s="99" t="s">
        <v>0</v>
      </c>
      <c r="E5" s="98"/>
      <c r="F5" s="100"/>
      <c r="G5" s="98"/>
      <c r="H5" s="101"/>
    </row>
    <row r="6" spans="1:8" ht="12.75">
      <c r="A6" s="102"/>
      <c r="B6" s="96" t="s">
        <v>280</v>
      </c>
      <c r="C6" s="96" t="s">
        <v>290</v>
      </c>
      <c r="D6" s="95" t="s">
        <v>1</v>
      </c>
      <c r="E6" s="96" t="s">
        <v>8</v>
      </c>
      <c r="F6" s="91" t="s">
        <v>36</v>
      </c>
      <c r="G6" s="96" t="s">
        <v>113</v>
      </c>
      <c r="H6" s="103" t="s">
        <v>9</v>
      </c>
    </row>
    <row r="7" spans="1:8" ht="12.75">
      <c r="A7" s="104" t="s">
        <v>10</v>
      </c>
      <c r="B7" s="105" t="s">
        <v>214</v>
      </c>
      <c r="C7" s="105" t="s">
        <v>124</v>
      </c>
      <c r="D7" s="152" t="str">
        <f>'Schedule 2 Revenue Summary'!D7</f>
        <v>As of 4/30/09</v>
      </c>
      <c r="E7" s="105" t="str">
        <f>'Schedule 2 Revenue Summary'!E7</f>
        <v>2 months</v>
      </c>
      <c r="F7" s="106" t="s">
        <v>29</v>
      </c>
      <c r="G7" s="105" t="s">
        <v>13</v>
      </c>
      <c r="H7" s="107" t="s">
        <v>14</v>
      </c>
    </row>
    <row r="8" spans="1:8" ht="12.75">
      <c r="A8" s="60"/>
      <c r="B8" s="110"/>
      <c r="C8" s="110"/>
      <c r="D8" s="110"/>
      <c r="E8" s="95"/>
      <c r="F8" s="94"/>
      <c r="G8" s="95"/>
      <c r="H8" s="94"/>
    </row>
    <row r="9" spans="1:15" ht="12.75">
      <c r="A9" s="14" t="s">
        <v>2</v>
      </c>
      <c r="B9" s="372">
        <v>155827</v>
      </c>
      <c r="C9" s="372">
        <v>133372</v>
      </c>
      <c r="D9" s="272">
        <v>122006</v>
      </c>
      <c r="E9" s="377">
        <f>G20*'Schedule 1 Summary'!D15+2333+3333</f>
        <v>36921</v>
      </c>
      <c r="F9" s="377">
        <f>SUM(D9:E9)</f>
        <v>158927</v>
      </c>
      <c r="G9" s="372">
        <v>175395</v>
      </c>
      <c r="H9" s="377">
        <f aca="true" t="shared" si="0" ref="H9:H17">SUM(F9-G9)</f>
        <v>-16468</v>
      </c>
      <c r="J9" s="18"/>
      <c r="K9" s="18"/>
      <c r="L9" s="18"/>
      <c r="M9" s="18"/>
      <c r="N9" s="18"/>
      <c r="O9" s="18"/>
    </row>
    <row r="10" spans="1:15" ht="12.75">
      <c r="A10" s="14" t="s">
        <v>3</v>
      </c>
      <c r="B10" s="372">
        <v>0</v>
      </c>
      <c r="C10" s="372">
        <v>0</v>
      </c>
      <c r="D10" s="272">
        <v>0</v>
      </c>
      <c r="E10" s="272">
        <f>SUM(G10-D10)</f>
        <v>0</v>
      </c>
      <c r="F10" s="377">
        <f aca="true" t="shared" si="1" ref="F10:F17">SUM(D10:E10)</f>
        <v>0</v>
      </c>
      <c r="G10" s="372">
        <v>0</v>
      </c>
      <c r="H10" s="377">
        <f t="shared" si="0"/>
        <v>0</v>
      </c>
      <c r="J10" s="18"/>
      <c r="K10" s="18"/>
      <c r="L10" s="18"/>
      <c r="M10" s="18"/>
      <c r="N10" s="18"/>
      <c r="O10" s="18"/>
    </row>
    <row r="11" spans="1:15" ht="12.75">
      <c r="A11" s="14" t="s">
        <v>4</v>
      </c>
      <c r="B11" s="372">
        <v>0</v>
      </c>
      <c r="C11" s="372">
        <v>0</v>
      </c>
      <c r="D11" s="272">
        <v>0</v>
      </c>
      <c r="E11" s="272">
        <f>SUM(G11-D11)</f>
        <v>0</v>
      </c>
      <c r="F11" s="377">
        <f t="shared" si="1"/>
        <v>0</v>
      </c>
      <c r="G11" s="372">
        <v>0</v>
      </c>
      <c r="H11" s="377">
        <f t="shared" si="0"/>
        <v>0</v>
      </c>
      <c r="J11" s="18"/>
      <c r="K11" s="18"/>
      <c r="L11" s="18"/>
      <c r="M11" s="18"/>
      <c r="N11" s="18"/>
      <c r="O11" s="18"/>
    </row>
    <row r="12" spans="1:15" ht="12.75">
      <c r="A12" s="14" t="s">
        <v>5</v>
      </c>
      <c r="B12" s="377">
        <f aca="true" t="shared" si="2" ref="B12:H12">SUM(B9:B11)</f>
        <v>155827</v>
      </c>
      <c r="C12" s="377">
        <f t="shared" si="2"/>
        <v>133372</v>
      </c>
      <c r="D12" s="377">
        <f t="shared" si="2"/>
        <v>122006</v>
      </c>
      <c r="E12" s="377">
        <f t="shared" si="2"/>
        <v>36921</v>
      </c>
      <c r="F12" s="377">
        <f t="shared" si="2"/>
        <v>158927</v>
      </c>
      <c r="G12" s="377">
        <f t="shared" si="2"/>
        <v>175395</v>
      </c>
      <c r="H12" s="377">
        <f t="shared" si="2"/>
        <v>-16468</v>
      </c>
      <c r="J12" s="18"/>
      <c r="K12" s="18"/>
      <c r="L12" s="18"/>
      <c r="M12" s="18"/>
      <c r="N12" s="18"/>
      <c r="O12" s="18"/>
    </row>
    <row r="13" spans="1:15" ht="12.75">
      <c r="A13" s="14" t="s">
        <v>313</v>
      </c>
      <c r="B13" s="372">
        <v>0</v>
      </c>
      <c r="C13" s="372">
        <v>0</v>
      </c>
      <c r="D13" s="272">
        <v>21978</v>
      </c>
      <c r="E13" s="282">
        <v>1998</v>
      </c>
      <c r="F13" s="377">
        <f t="shared" si="1"/>
        <v>23976</v>
      </c>
      <c r="G13" s="372">
        <v>23976</v>
      </c>
      <c r="H13" s="377">
        <f t="shared" si="0"/>
        <v>0</v>
      </c>
      <c r="J13" s="18"/>
      <c r="K13" s="18"/>
      <c r="L13" s="18"/>
      <c r="M13" s="18"/>
      <c r="N13" s="18"/>
      <c r="O13" s="18"/>
    </row>
    <row r="14" spans="1:15" ht="12.75">
      <c r="A14" s="14" t="s">
        <v>173</v>
      </c>
      <c r="B14" s="372">
        <v>166</v>
      </c>
      <c r="C14" s="372">
        <v>180</v>
      </c>
      <c r="D14" s="272">
        <v>0</v>
      </c>
      <c r="E14" s="282">
        <v>333</v>
      </c>
      <c r="F14" s="377">
        <f t="shared" si="1"/>
        <v>333</v>
      </c>
      <c r="G14" s="372">
        <v>333</v>
      </c>
      <c r="H14" s="377">
        <f t="shared" si="0"/>
        <v>0</v>
      </c>
      <c r="J14" s="18"/>
      <c r="K14" s="18"/>
      <c r="L14" s="18"/>
      <c r="M14" s="18"/>
      <c r="N14" s="18"/>
      <c r="O14" s="18"/>
    </row>
    <row r="15" spans="1:15" ht="12.75">
      <c r="A15" s="14" t="s">
        <v>174</v>
      </c>
      <c r="B15" s="372">
        <v>457</v>
      </c>
      <c r="C15" s="372">
        <v>1259</v>
      </c>
      <c r="D15" s="272">
        <v>755</v>
      </c>
      <c r="E15" s="282">
        <v>576.63945</v>
      </c>
      <c r="F15" s="377">
        <f t="shared" si="1"/>
        <v>1331.6394500000001</v>
      </c>
      <c r="G15" s="372">
        <v>1332</v>
      </c>
      <c r="H15" s="377">
        <f t="shared" si="0"/>
        <v>-0.3605499999998756</v>
      </c>
      <c r="J15" s="18"/>
      <c r="K15" s="18"/>
      <c r="L15" s="18"/>
      <c r="M15" s="18"/>
      <c r="N15" s="18"/>
      <c r="O15" s="18"/>
    </row>
    <row r="16" spans="1:15" ht="12.75">
      <c r="A16" s="14" t="s">
        <v>175</v>
      </c>
      <c r="B16" s="372">
        <v>4422</v>
      </c>
      <c r="C16" s="372">
        <v>2137</v>
      </c>
      <c r="D16" s="272">
        <v>1681</v>
      </c>
      <c r="E16" s="282">
        <v>1315.89612</v>
      </c>
      <c r="F16" s="377">
        <f t="shared" si="1"/>
        <v>2996.8961200000003</v>
      </c>
      <c r="G16" s="372">
        <v>2997</v>
      </c>
      <c r="H16" s="377">
        <f t="shared" si="0"/>
        <v>-0.10387999999966269</v>
      </c>
      <c r="J16" s="18"/>
      <c r="K16" s="18"/>
      <c r="L16" s="18"/>
      <c r="M16" s="18"/>
      <c r="N16" s="18"/>
      <c r="O16" s="18"/>
    </row>
    <row r="17" spans="1:15" ht="12.75">
      <c r="A17" s="16" t="s">
        <v>176</v>
      </c>
      <c r="B17" s="376">
        <v>10679</v>
      </c>
      <c r="C17" s="376">
        <v>22240</v>
      </c>
      <c r="D17" s="281">
        <v>7547</v>
      </c>
      <c r="E17" s="282">
        <v>7604.7343200000005</v>
      </c>
      <c r="F17" s="377">
        <f t="shared" si="1"/>
        <v>15151.73432</v>
      </c>
      <c r="G17" s="376">
        <v>15152</v>
      </c>
      <c r="H17" s="379">
        <f t="shared" si="0"/>
        <v>-0.2656800000004296</v>
      </c>
      <c r="J17" s="18"/>
      <c r="K17" s="18"/>
      <c r="L17" s="18"/>
      <c r="M17" s="18"/>
      <c r="N17" s="18"/>
      <c r="O17" s="18"/>
    </row>
    <row r="18" spans="1:8" ht="13.5" thickBot="1">
      <c r="A18" s="111" t="s">
        <v>7</v>
      </c>
      <c r="B18" s="378">
        <f aca="true" t="shared" si="3" ref="B18:H18">SUM(B12:B17)</f>
        <v>171551</v>
      </c>
      <c r="C18" s="378">
        <f t="shared" si="3"/>
        <v>159188</v>
      </c>
      <c r="D18" s="378">
        <f t="shared" si="3"/>
        <v>153967</v>
      </c>
      <c r="E18" s="378">
        <f t="shared" si="3"/>
        <v>48749.26989</v>
      </c>
      <c r="F18" s="378">
        <f t="shared" si="3"/>
        <v>202716.26988999997</v>
      </c>
      <c r="G18" s="378">
        <f t="shared" si="3"/>
        <v>219185</v>
      </c>
      <c r="H18" s="378">
        <f t="shared" si="3"/>
        <v>-16468.73011</v>
      </c>
    </row>
    <row r="19" spans="2:8" ht="13.5" thickTop="1">
      <c r="B19" s="37"/>
      <c r="C19" s="37"/>
      <c r="D19" s="37"/>
      <c r="E19" s="37"/>
      <c r="F19" s="37"/>
      <c r="G19" s="37"/>
      <c r="H19" s="37"/>
    </row>
    <row r="20" spans="1:8" ht="12.75">
      <c r="A20" s="113" t="s">
        <v>478</v>
      </c>
      <c r="B20" s="285"/>
      <c r="C20" s="37"/>
      <c r="D20" s="37"/>
      <c r="E20" s="37"/>
      <c r="F20" s="118" t="s">
        <v>345</v>
      </c>
      <c r="G20" s="283">
        <v>6251</v>
      </c>
      <c r="H20" s="37"/>
    </row>
    <row r="21" spans="1:8" ht="12.75">
      <c r="A21" s="14" t="s">
        <v>412</v>
      </c>
      <c r="B21" s="285"/>
      <c r="C21" s="37"/>
      <c r="D21" s="37"/>
      <c r="E21" s="37"/>
      <c r="F21" s="37"/>
      <c r="G21" s="37"/>
      <c r="H21" s="37"/>
    </row>
    <row r="22" spans="2:8" ht="12.75">
      <c r="B22" s="37"/>
      <c r="C22" s="37"/>
      <c r="D22" s="37"/>
      <c r="E22" s="37"/>
      <c r="F22" s="37"/>
      <c r="G22" s="37"/>
      <c r="H22" s="37"/>
    </row>
    <row r="23" spans="1:8" ht="12.75">
      <c r="A23" s="74"/>
      <c r="B23" s="37"/>
      <c r="C23" s="37"/>
      <c r="D23" s="37"/>
      <c r="E23" s="37"/>
      <c r="F23" s="36"/>
      <c r="G23" s="37"/>
      <c r="H23" s="37"/>
    </row>
    <row r="24" spans="1:8" ht="15">
      <c r="A24" s="112" t="s">
        <v>515</v>
      </c>
      <c r="F24" s="36"/>
      <c r="H24" s="36"/>
    </row>
    <row r="25" spans="6:8" ht="12.75">
      <c r="F25" s="36"/>
      <c r="H25" s="36"/>
    </row>
    <row r="26" spans="1:8" ht="12.75">
      <c r="A26" s="97"/>
      <c r="B26" s="147" t="str">
        <f>$B$5</f>
        <v>6/30/07</v>
      </c>
      <c r="C26" s="147" t="str">
        <f>$C$5</f>
        <v>6/30/08</v>
      </c>
      <c r="D26" s="147" t="str">
        <f>$D$5</f>
        <v>Year to</v>
      </c>
      <c r="E26" s="147"/>
      <c r="F26" s="147"/>
      <c r="G26" s="147"/>
      <c r="H26" s="208"/>
    </row>
    <row r="27" spans="1:8" ht="12.75">
      <c r="A27" s="102"/>
      <c r="B27" s="95" t="str">
        <f>$B$6</f>
        <v>FY07</v>
      </c>
      <c r="C27" s="95" t="str">
        <f>$C$6</f>
        <v>FY08</v>
      </c>
      <c r="D27" s="95" t="str">
        <f>$D$6</f>
        <v>Date</v>
      </c>
      <c r="E27" s="95" t="str">
        <f>$E$6</f>
        <v>Projected</v>
      </c>
      <c r="F27" s="95" t="str">
        <f>$F$6</f>
        <v>Projected at</v>
      </c>
      <c r="G27" s="95" t="str">
        <f>$G$6</f>
        <v>Approved</v>
      </c>
      <c r="H27" s="209" t="str">
        <f>$H$6</f>
        <v>Variance</v>
      </c>
    </row>
    <row r="28" spans="1:8" ht="12.75">
      <c r="A28" s="104" t="s">
        <v>10</v>
      </c>
      <c r="B28" s="141" t="str">
        <f>$B$7</f>
        <v>Audited</v>
      </c>
      <c r="C28" s="141" t="str">
        <f>$C$7</f>
        <v>Unaudited</v>
      </c>
      <c r="D28" s="216" t="str">
        <f>$D$7</f>
        <v>As of 4/30/09</v>
      </c>
      <c r="E28" s="141" t="str">
        <f>$E$7</f>
        <v>2 months</v>
      </c>
      <c r="F28" s="141" t="str">
        <f>$F$7</f>
        <v>Year End</v>
      </c>
      <c r="G28" s="141" t="str">
        <f>$G$7</f>
        <v>Budget</v>
      </c>
      <c r="H28" s="210" t="str">
        <f>$H$7</f>
        <v>Over/(Under)</v>
      </c>
    </row>
    <row r="29" spans="1:8" ht="12.75">
      <c r="A29" s="60"/>
      <c r="B29" s="110"/>
      <c r="C29" s="110"/>
      <c r="D29" s="110"/>
      <c r="E29" s="95"/>
      <c r="F29" s="95"/>
      <c r="G29" s="95"/>
      <c r="H29" s="95"/>
    </row>
    <row r="30" spans="1:8" ht="12.75">
      <c r="A30" s="14" t="s">
        <v>2</v>
      </c>
      <c r="B30" s="372">
        <v>20222</v>
      </c>
      <c r="C30" s="372">
        <v>19778</v>
      </c>
      <c r="D30" s="272">
        <v>17778</v>
      </c>
      <c r="E30" s="272">
        <v>3555</v>
      </c>
      <c r="F30" s="377">
        <f>SUM(D30:E30)</f>
        <v>21333</v>
      </c>
      <c r="G30" s="372">
        <v>21333</v>
      </c>
      <c r="H30" s="377">
        <f>SUM(F30-G30)</f>
        <v>0</v>
      </c>
    </row>
    <row r="31" spans="1:8" ht="12.75">
      <c r="A31" s="14" t="s">
        <v>5</v>
      </c>
      <c r="B31" s="377">
        <f aca="true" t="shared" si="4" ref="B31:G31">SUM(B30:B30)</f>
        <v>20222</v>
      </c>
      <c r="C31" s="377">
        <f t="shared" si="4"/>
        <v>19778</v>
      </c>
      <c r="D31" s="377">
        <f>SUM(D30:D30)</f>
        <v>17778</v>
      </c>
      <c r="E31" s="377">
        <f>SUM(E30:E30)</f>
        <v>3555</v>
      </c>
      <c r="F31" s="377">
        <f t="shared" si="4"/>
        <v>21333</v>
      </c>
      <c r="G31" s="377">
        <f t="shared" si="4"/>
        <v>21333</v>
      </c>
      <c r="H31" s="377">
        <f>SUM(F31-G31)</f>
        <v>0</v>
      </c>
    </row>
    <row r="32" spans="6:8" ht="12.75">
      <c r="F32" s="36"/>
      <c r="H32" s="36"/>
    </row>
    <row r="33" spans="1:8" ht="12.75">
      <c r="A33" s="113" t="s">
        <v>180</v>
      </c>
      <c r="B33" s="372">
        <v>0</v>
      </c>
      <c r="C33" s="372">
        <v>0</v>
      </c>
      <c r="D33" s="272">
        <v>108</v>
      </c>
      <c r="E33" s="272">
        <v>1142</v>
      </c>
      <c r="F33" s="377">
        <f>+D33+E33</f>
        <v>1250</v>
      </c>
      <c r="G33" s="372">
        <v>1250</v>
      </c>
      <c r="H33" s="377">
        <f>SUM(F33-G33)</f>
        <v>0</v>
      </c>
    </row>
    <row r="34" spans="1:8" s="93" customFormat="1" ht="13.5" thickBot="1">
      <c r="A34" s="221" t="s">
        <v>7</v>
      </c>
      <c r="B34" s="378">
        <f aca="true" t="shared" si="5" ref="B34:H34">SUM(+B31+B33)</f>
        <v>20222</v>
      </c>
      <c r="C34" s="378">
        <f t="shared" si="5"/>
        <v>19778</v>
      </c>
      <c r="D34" s="378">
        <f t="shared" si="5"/>
        <v>17886</v>
      </c>
      <c r="E34" s="378">
        <f t="shared" si="5"/>
        <v>4697</v>
      </c>
      <c r="F34" s="378">
        <f t="shared" si="5"/>
        <v>22583</v>
      </c>
      <c r="G34" s="378">
        <f t="shared" si="5"/>
        <v>22583</v>
      </c>
      <c r="H34" s="378">
        <f t="shared" si="5"/>
        <v>0</v>
      </c>
    </row>
    <row r="35" spans="1:8" ht="13.5" thickTop="1">
      <c r="A35" s="74"/>
      <c r="B35" s="37"/>
      <c r="C35" s="37"/>
      <c r="D35" s="37"/>
      <c r="E35" s="37"/>
      <c r="F35" s="37"/>
      <c r="G35" s="37"/>
      <c r="H35" s="37"/>
    </row>
    <row r="36" spans="1:8" ht="12.75">
      <c r="A36" s="74"/>
      <c r="B36" s="37"/>
      <c r="C36" s="37"/>
      <c r="D36" s="37"/>
      <c r="E36" s="37"/>
      <c r="F36" s="37"/>
      <c r="G36" s="37"/>
      <c r="H36" s="37"/>
    </row>
    <row r="37" spans="1:8" ht="12.75">
      <c r="A37" s="74"/>
      <c r="B37" s="37"/>
      <c r="C37" s="37"/>
      <c r="D37" s="37"/>
      <c r="F37" s="36"/>
      <c r="G37" s="37"/>
      <c r="H37" s="37"/>
    </row>
    <row r="38" spans="1:8" ht="15">
      <c r="A38" s="112" t="s">
        <v>252</v>
      </c>
      <c r="F38" s="36"/>
      <c r="H38" s="36"/>
    </row>
    <row r="39" spans="6:8" ht="12.75">
      <c r="F39" s="374"/>
      <c r="H39" s="36"/>
    </row>
    <row r="40" spans="1:8" ht="12.75">
      <c r="A40" s="97"/>
      <c r="B40" s="147" t="str">
        <f>$B$5</f>
        <v>6/30/07</v>
      </c>
      <c r="C40" s="147" t="str">
        <f>$C$5</f>
        <v>6/30/08</v>
      </c>
      <c r="D40" s="147" t="str">
        <f>$D$5</f>
        <v>Year to</v>
      </c>
      <c r="E40" s="147"/>
      <c r="F40" s="147"/>
      <c r="G40" s="147"/>
      <c r="H40" s="208"/>
    </row>
    <row r="41" spans="1:8" ht="12.75">
      <c r="A41" s="102"/>
      <c r="B41" s="95" t="str">
        <f>$B$6</f>
        <v>FY07</v>
      </c>
      <c r="C41" s="95" t="str">
        <f>$C$6</f>
        <v>FY08</v>
      </c>
      <c r="D41" s="95" t="str">
        <f>$D$6</f>
        <v>Date</v>
      </c>
      <c r="E41" s="95" t="str">
        <f>$E$6</f>
        <v>Projected</v>
      </c>
      <c r="F41" s="95" t="str">
        <f>$F$6</f>
        <v>Projected at</v>
      </c>
      <c r="G41" s="95" t="str">
        <f>$G$6</f>
        <v>Approved</v>
      </c>
      <c r="H41" s="209" t="str">
        <f>$H$6</f>
        <v>Variance</v>
      </c>
    </row>
    <row r="42" spans="1:8" ht="12.75">
      <c r="A42" s="104" t="s">
        <v>10</v>
      </c>
      <c r="B42" s="141" t="str">
        <f>$B$7</f>
        <v>Audited</v>
      </c>
      <c r="C42" s="141" t="str">
        <f>$C$7</f>
        <v>Unaudited</v>
      </c>
      <c r="D42" s="216" t="str">
        <f>$D$7</f>
        <v>As of 4/30/09</v>
      </c>
      <c r="E42" s="141" t="str">
        <f>$E$7</f>
        <v>2 months</v>
      </c>
      <c r="F42" s="141" t="str">
        <f>$F$7</f>
        <v>Year End</v>
      </c>
      <c r="G42" s="141" t="str">
        <f>$G$7</f>
        <v>Budget</v>
      </c>
      <c r="H42" s="210" t="str">
        <f>$H$7</f>
        <v>Over/(Under)</v>
      </c>
    </row>
    <row r="43" spans="1:8" ht="12.75">
      <c r="A43" s="60"/>
      <c r="B43" s="110"/>
      <c r="C43" s="110"/>
      <c r="D43" s="110"/>
      <c r="E43" s="95"/>
      <c r="F43" s="95"/>
      <c r="G43" s="95"/>
      <c r="H43" s="95"/>
    </row>
    <row r="44" spans="1:14" ht="12.75">
      <c r="A44" s="14" t="s">
        <v>2</v>
      </c>
      <c r="B44" s="381">
        <v>231968.52666666664</v>
      </c>
      <c r="C44" s="381">
        <v>272087.66333333333</v>
      </c>
      <c r="D44" s="284">
        <v>252844.75666666668</v>
      </c>
      <c r="E44" s="377">
        <f>G55*'Schedule 1 Summary'!D15+4767</f>
        <v>64327</v>
      </c>
      <c r="F44" s="377">
        <f>SUM(D44:E44)</f>
        <v>317171.7566666667</v>
      </c>
      <c r="G44" s="372">
        <v>294765</v>
      </c>
      <c r="H44" s="377">
        <f>SUM(F44-G44)</f>
        <v>22406.75666666671</v>
      </c>
      <c r="J44" s="18"/>
      <c r="L44" s="18"/>
      <c r="M44" s="18"/>
      <c r="N44" s="18"/>
    </row>
    <row r="45" spans="1:14" ht="12.75">
      <c r="A45" s="14" t="s">
        <v>3</v>
      </c>
      <c r="B45" s="381">
        <v>0</v>
      </c>
      <c r="C45" s="381">
        <v>0</v>
      </c>
      <c r="D45" s="284">
        <v>0</v>
      </c>
      <c r="E45" s="272">
        <v>0</v>
      </c>
      <c r="F45" s="377">
        <f>SUM(D45:E45)</f>
        <v>0</v>
      </c>
      <c r="G45" s="372">
        <v>0</v>
      </c>
      <c r="H45" s="377">
        <f>SUM(F45-G45)</f>
        <v>0</v>
      </c>
      <c r="J45" s="18"/>
      <c r="L45" s="18"/>
      <c r="M45" s="18"/>
      <c r="N45" s="18"/>
    </row>
    <row r="46" spans="1:14" ht="12.75">
      <c r="A46" s="14" t="s">
        <v>4</v>
      </c>
      <c r="B46" s="381">
        <v>17854.553333333333</v>
      </c>
      <c r="C46" s="381">
        <v>22463.213333333333</v>
      </c>
      <c r="D46" s="284">
        <v>695.6266666666667</v>
      </c>
      <c r="E46" s="272">
        <v>0</v>
      </c>
      <c r="F46" s="377">
        <f>SUM(D46:E46)</f>
        <v>695.6266666666667</v>
      </c>
      <c r="G46" s="372">
        <v>26514</v>
      </c>
      <c r="H46" s="377">
        <f>SUM(F46-G46)</f>
        <v>-25818.373333333333</v>
      </c>
      <c r="J46" s="18"/>
      <c r="L46" s="18"/>
      <c r="M46" s="18"/>
      <c r="N46" s="18"/>
    </row>
    <row r="47" spans="1:14" ht="12.75">
      <c r="A47" s="14" t="s">
        <v>5</v>
      </c>
      <c r="B47" s="377">
        <f aca="true" t="shared" si="6" ref="B47:H47">SUM(B44:B46)</f>
        <v>249823.08</v>
      </c>
      <c r="C47" s="377">
        <f t="shared" si="6"/>
        <v>294550.87666666665</v>
      </c>
      <c r="D47" s="377">
        <f t="shared" si="6"/>
        <v>253540.38333333336</v>
      </c>
      <c r="E47" s="377">
        <f t="shared" si="6"/>
        <v>64327</v>
      </c>
      <c r="F47" s="377">
        <f t="shared" si="6"/>
        <v>317867.38333333336</v>
      </c>
      <c r="G47" s="377">
        <f t="shared" si="6"/>
        <v>321279</v>
      </c>
      <c r="H47" s="377">
        <f t="shared" si="6"/>
        <v>-3411.6166666666213</v>
      </c>
      <c r="J47" s="18"/>
      <c r="L47" s="18"/>
      <c r="M47" s="18"/>
      <c r="N47" s="18"/>
    </row>
    <row r="48" spans="1:14" ht="12.75">
      <c r="A48" s="14" t="s">
        <v>179</v>
      </c>
      <c r="B48" s="381">
        <v>230936.38333333333</v>
      </c>
      <c r="C48" s="381">
        <v>251687.61</v>
      </c>
      <c r="D48" s="284">
        <v>136420.95333333334</v>
      </c>
      <c r="E48" s="284">
        <v>116245.71333333333</v>
      </c>
      <c r="F48" s="377">
        <f>SUM(D48:E48)</f>
        <v>252666.6666666667</v>
      </c>
      <c r="G48" s="372">
        <v>252667</v>
      </c>
      <c r="H48" s="377">
        <f>SUM(F48-G48)</f>
        <v>-0.3333333333139308</v>
      </c>
      <c r="J48" s="18"/>
      <c r="L48" s="18"/>
      <c r="M48" s="18"/>
      <c r="N48" s="18"/>
    </row>
    <row r="49" spans="1:14" ht="12.75">
      <c r="A49" s="14" t="s">
        <v>173</v>
      </c>
      <c r="B49" s="381">
        <v>518.5133333333333</v>
      </c>
      <c r="C49" s="381">
        <v>344.0466666666667</v>
      </c>
      <c r="D49" s="284">
        <v>604.51</v>
      </c>
      <c r="E49" s="284">
        <v>862.1566666666668</v>
      </c>
      <c r="F49" s="377">
        <f>SUM(D49:E49)</f>
        <v>1466.6666666666667</v>
      </c>
      <c r="G49" s="372">
        <v>1467</v>
      </c>
      <c r="H49" s="377">
        <f>SUM(F49-G49)</f>
        <v>-0.33333333333325754</v>
      </c>
      <c r="J49" s="18"/>
      <c r="L49" s="18"/>
      <c r="M49" s="18"/>
      <c r="N49" s="18"/>
    </row>
    <row r="50" spans="1:14" ht="12.75">
      <c r="A50" s="14" t="s">
        <v>174</v>
      </c>
      <c r="B50" s="381">
        <v>777.2433333333333</v>
      </c>
      <c r="C50" s="381">
        <v>814.9933333333333</v>
      </c>
      <c r="D50" s="284">
        <v>699.5266666666666</v>
      </c>
      <c r="E50" s="284">
        <v>367.14</v>
      </c>
      <c r="F50" s="377">
        <f>SUM(D50:E50)</f>
        <v>1066.6666666666665</v>
      </c>
      <c r="G50" s="372">
        <v>1067</v>
      </c>
      <c r="H50" s="377">
        <f>SUM(F50-G50)</f>
        <v>-0.3333333333334849</v>
      </c>
      <c r="J50" s="18"/>
      <c r="L50" s="18"/>
      <c r="M50" s="18"/>
      <c r="N50" s="18"/>
    </row>
    <row r="51" spans="1:14" ht="12.75">
      <c r="A51" s="14" t="s">
        <v>175</v>
      </c>
      <c r="B51" s="381">
        <v>2892.79</v>
      </c>
      <c r="C51" s="381">
        <v>3321.5733333333333</v>
      </c>
      <c r="D51" s="284">
        <v>3013.943333333333</v>
      </c>
      <c r="E51" s="284">
        <v>3652.7233333333334</v>
      </c>
      <c r="F51" s="377">
        <f>SUM(D51:E51)</f>
        <v>6666.666666666666</v>
      </c>
      <c r="G51" s="372">
        <v>6667</v>
      </c>
      <c r="H51" s="377">
        <f>SUM(F51-G51)</f>
        <v>-0.33333333333393966</v>
      </c>
      <c r="J51" s="18"/>
      <c r="L51" s="18"/>
      <c r="M51" s="18"/>
      <c r="N51" s="18"/>
    </row>
    <row r="52" spans="1:14" ht="12.75">
      <c r="A52" s="16" t="s">
        <v>176</v>
      </c>
      <c r="B52" s="381">
        <v>5004.306666666666</v>
      </c>
      <c r="C52" s="381">
        <v>5400.68</v>
      </c>
      <c r="D52" s="284">
        <v>5259.6466666666665</v>
      </c>
      <c r="E52" s="284">
        <v>1590.3533333333332</v>
      </c>
      <c r="F52" s="377">
        <f>SUM(D52:E52)</f>
        <v>6850</v>
      </c>
      <c r="G52" s="376">
        <v>6850</v>
      </c>
      <c r="H52" s="379">
        <f>SUM(F52-G52)</f>
        <v>0</v>
      </c>
      <c r="J52" s="18"/>
      <c r="L52" s="18"/>
      <c r="M52" s="18"/>
      <c r="N52" s="18"/>
    </row>
    <row r="53" spans="1:8" ht="13.5" thickBot="1">
      <c r="A53" s="111" t="s">
        <v>7</v>
      </c>
      <c r="B53" s="378">
        <f aca="true" t="shared" si="7" ref="B53:H53">SUM(B47:B52)</f>
        <v>489952.3166666666</v>
      </c>
      <c r="C53" s="378">
        <f t="shared" si="7"/>
        <v>556119.7799999999</v>
      </c>
      <c r="D53" s="378">
        <f t="shared" si="7"/>
        <v>399538.9633333334</v>
      </c>
      <c r="E53" s="378">
        <f t="shared" si="7"/>
        <v>187045.08666666667</v>
      </c>
      <c r="F53" s="378">
        <f t="shared" si="7"/>
        <v>586584.0499999999</v>
      </c>
      <c r="G53" s="378">
        <f t="shared" si="7"/>
        <v>589997</v>
      </c>
      <c r="H53" s="378">
        <f t="shared" si="7"/>
        <v>-3412.9499999999357</v>
      </c>
    </row>
    <row r="54" spans="2:8" ht="13.5" thickTop="1">
      <c r="B54" s="37"/>
      <c r="C54" s="37"/>
      <c r="D54" s="37"/>
      <c r="E54" s="37"/>
      <c r="F54" s="37"/>
      <c r="G54" s="37"/>
      <c r="H54" s="37"/>
    </row>
    <row r="55" spans="1:8" ht="12.75">
      <c r="A55" s="14" t="s">
        <v>413</v>
      </c>
      <c r="B55" s="285"/>
      <c r="C55" s="37"/>
      <c r="D55" s="37"/>
      <c r="E55" s="37"/>
      <c r="F55" s="118" t="str">
        <f>$F$20</f>
        <v>Bi-Weekly PP posted 5/22/09</v>
      </c>
      <c r="G55" s="283">
        <v>11912</v>
      </c>
      <c r="H55" s="37"/>
    </row>
    <row r="56" spans="1:8" ht="12.75">
      <c r="A56" s="113" t="s">
        <v>479</v>
      </c>
      <c r="B56" s="37"/>
      <c r="C56" s="37"/>
      <c r="D56" s="37"/>
      <c r="E56" s="37"/>
      <c r="F56" s="76" t="s">
        <v>336</v>
      </c>
      <c r="G56" s="285">
        <v>0</v>
      </c>
      <c r="H56" s="37"/>
    </row>
    <row r="57" spans="1:8" ht="12.75">
      <c r="A57" s="113"/>
      <c r="B57" s="37"/>
      <c r="C57" s="37"/>
      <c r="D57" s="37"/>
      <c r="E57" s="37"/>
      <c r="F57" s="76"/>
      <c r="G57" s="285"/>
      <c r="H57" s="37"/>
    </row>
    <row r="58" spans="2:8" ht="12.75">
      <c r="B58" s="37"/>
      <c r="C58" s="37"/>
      <c r="D58" s="37"/>
      <c r="E58" s="37"/>
      <c r="F58" s="37"/>
      <c r="G58" s="37"/>
      <c r="H58" s="37"/>
    </row>
    <row r="59" spans="1:8" ht="15">
      <c r="A59" s="112" t="s">
        <v>520</v>
      </c>
      <c r="F59" s="36"/>
      <c r="H59" s="36"/>
    </row>
    <row r="60" spans="6:8" ht="12.75">
      <c r="F60" s="36"/>
      <c r="H60" s="36"/>
    </row>
    <row r="61" spans="1:8" ht="12.75">
      <c r="A61" s="97"/>
      <c r="B61" s="147" t="str">
        <f>$B$5</f>
        <v>6/30/07</v>
      </c>
      <c r="C61" s="147" t="str">
        <f>$C$5</f>
        <v>6/30/08</v>
      </c>
      <c r="D61" s="147" t="str">
        <f>$D$5</f>
        <v>Year to</v>
      </c>
      <c r="E61" s="147"/>
      <c r="F61" s="147"/>
      <c r="G61" s="147"/>
      <c r="H61" s="208"/>
    </row>
    <row r="62" spans="1:8" ht="12.75">
      <c r="A62" s="102"/>
      <c r="B62" s="95" t="str">
        <f>$B$6</f>
        <v>FY07</v>
      </c>
      <c r="C62" s="95" t="str">
        <f>$C$6</f>
        <v>FY08</v>
      </c>
      <c r="D62" s="95" t="str">
        <f>$D$6</f>
        <v>Date</v>
      </c>
      <c r="E62" s="95" t="str">
        <f>$E$6</f>
        <v>Projected</v>
      </c>
      <c r="F62" s="95" t="str">
        <f>$F$6</f>
        <v>Projected at</v>
      </c>
      <c r="G62" s="95" t="str">
        <f>$G$6</f>
        <v>Approved</v>
      </c>
      <c r="H62" s="209" t="str">
        <f>$H$6</f>
        <v>Variance</v>
      </c>
    </row>
    <row r="63" spans="1:8" ht="12.75">
      <c r="A63" s="104" t="s">
        <v>10</v>
      </c>
      <c r="B63" s="141" t="str">
        <f>$B$7</f>
        <v>Audited</v>
      </c>
      <c r="C63" s="141" t="str">
        <f>$C$7</f>
        <v>Unaudited</v>
      </c>
      <c r="D63" s="216" t="str">
        <f>$D$7</f>
        <v>As of 4/30/09</v>
      </c>
      <c r="E63" s="141" t="str">
        <f>$E$7</f>
        <v>2 months</v>
      </c>
      <c r="F63" s="141" t="str">
        <f>$F$7</f>
        <v>Year End</v>
      </c>
      <c r="G63" s="141" t="str">
        <f>$G$7</f>
        <v>Budget</v>
      </c>
      <c r="H63" s="210" t="str">
        <f>$H$7</f>
        <v>Over/(Under)</v>
      </c>
    </row>
    <row r="64" spans="1:8" ht="12.75">
      <c r="A64" s="60"/>
      <c r="B64" s="110"/>
      <c r="C64" s="110"/>
      <c r="D64" s="110"/>
      <c r="E64" s="95"/>
      <c r="F64" s="95"/>
      <c r="G64" s="95"/>
      <c r="H64" s="95"/>
    </row>
    <row r="65" spans="1:8" ht="12.75">
      <c r="A65" s="14" t="s">
        <v>2</v>
      </c>
      <c r="B65" s="381">
        <v>110490.91666666667</v>
      </c>
      <c r="C65" s="381">
        <v>129236.53333333333</v>
      </c>
      <c r="D65" s="284">
        <v>100050.07</v>
      </c>
      <c r="E65" s="377">
        <f>G76*'Schedule 1 Summary'!D15+2000</f>
        <v>26015</v>
      </c>
      <c r="F65" s="377">
        <f>SUM(D65:E65)</f>
        <v>126065.07</v>
      </c>
      <c r="G65" s="381">
        <v>122000.66666666667</v>
      </c>
      <c r="H65" s="377">
        <f aca="true" t="shared" si="8" ref="H65:H73">SUM(F65-G65)</f>
        <v>4064.4033333333355</v>
      </c>
    </row>
    <row r="66" spans="1:8" ht="12.75">
      <c r="A66" s="14" t="s">
        <v>3</v>
      </c>
      <c r="B66" s="381">
        <v>1582.493333333333</v>
      </c>
      <c r="C66" s="381">
        <v>716.6866666666666</v>
      </c>
      <c r="D66" s="284">
        <v>1108.6166666666666</v>
      </c>
      <c r="E66" s="272">
        <v>558</v>
      </c>
      <c r="F66" s="377">
        <f>SUM(D66:E66)</f>
        <v>1666.6166666666666</v>
      </c>
      <c r="G66" s="381">
        <v>1666.6666666666667</v>
      </c>
      <c r="H66" s="377">
        <f t="shared" si="8"/>
        <v>-0.0500000000001819</v>
      </c>
    </row>
    <row r="67" spans="1:8" ht="12.75">
      <c r="A67" s="14" t="s">
        <v>4</v>
      </c>
      <c r="B67" s="381">
        <v>0</v>
      </c>
      <c r="C67" s="381">
        <v>0</v>
      </c>
      <c r="D67" s="284">
        <v>771.64</v>
      </c>
      <c r="E67" s="272">
        <v>0</v>
      </c>
      <c r="F67" s="377">
        <f>SUM(D67:E67)</f>
        <v>771.64</v>
      </c>
      <c r="G67" s="381">
        <v>1666.6666666666667</v>
      </c>
      <c r="H67" s="377">
        <f t="shared" si="8"/>
        <v>-895.0266666666668</v>
      </c>
    </row>
    <row r="68" spans="1:8" ht="12.75">
      <c r="A68" s="14" t="s">
        <v>5</v>
      </c>
      <c r="B68" s="377">
        <f aca="true" t="shared" si="9" ref="B68:H68">SUM(B65:B67)</f>
        <v>112073.41</v>
      </c>
      <c r="C68" s="377">
        <f t="shared" si="9"/>
        <v>129953.21999999999</v>
      </c>
      <c r="D68" s="377">
        <f t="shared" si="9"/>
        <v>101930.32666666668</v>
      </c>
      <c r="E68" s="377">
        <f t="shared" si="9"/>
        <v>26573</v>
      </c>
      <c r="F68" s="377">
        <f t="shared" si="9"/>
        <v>128503.32666666668</v>
      </c>
      <c r="G68" s="377">
        <f t="shared" si="9"/>
        <v>125334.00000000001</v>
      </c>
      <c r="H68" s="377">
        <f t="shared" si="9"/>
        <v>3169.3266666666686</v>
      </c>
    </row>
    <row r="69" spans="1:12" ht="12.75">
      <c r="A69" s="14" t="s">
        <v>173</v>
      </c>
      <c r="B69" s="381">
        <v>16945.76</v>
      </c>
      <c r="C69" s="381">
        <v>16624.89</v>
      </c>
      <c r="D69" s="284">
        <v>13132.15</v>
      </c>
      <c r="E69" s="284">
        <v>4534.516666666667</v>
      </c>
      <c r="F69" s="377">
        <f>SUM(D69:E69)</f>
        <v>17666.666666666668</v>
      </c>
      <c r="G69" s="381">
        <v>17666.666666666668</v>
      </c>
      <c r="H69" s="377">
        <f t="shared" si="8"/>
        <v>0</v>
      </c>
      <c r="J69" s="18"/>
      <c r="K69" s="18"/>
      <c r="L69" s="18"/>
    </row>
    <row r="70" spans="1:12" ht="12.75">
      <c r="A70" s="14" t="s">
        <v>174</v>
      </c>
      <c r="B70" s="381">
        <v>47392.32</v>
      </c>
      <c r="C70" s="381">
        <v>32020.523333333334</v>
      </c>
      <c r="D70" s="284">
        <v>20852.806666666667</v>
      </c>
      <c r="E70" s="284">
        <v>20813.86</v>
      </c>
      <c r="F70" s="377">
        <f>SUM(D70:E70)</f>
        <v>41666.66666666667</v>
      </c>
      <c r="G70" s="381">
        <v>45000</v>
      </c>
      <c r="H70" s="377">
        <f t="shared" si="8"/>
        <v>-3333.3333333333285</v>
      </c>
      <c r="J70" s="18"/>
      <c r="K70" s="18"/>
      <c r="L70" s="18"/>
    </row>
    <row r="71" spans="1:12" ht="12.75">
      <c r="A71" s="14" t="s">
        <v>175</v>
      </c>
      <c r="B71" s="381">
        <v>9435.15</v>
      </c>
      <c r="C71" s="381">
        <v>8972.833333333334</v>
      </c>
      <c r="D71" s="284">
        <v>7315.83</v>
      </c>
      <c r="E71" s="284">
        <v>2684.17</v>
      </c>
      <c r="F71" s="377">
        <f>SUM(D71:E71)</f>
        <v>10000</v>
      </c>
      <c r="G71" s="381">
        <v>10000</v>
      </c>
      <c r="H71" s="377">
        <f t="shared" si="8"/>
        <v>0</v>
      </c>
      <c r="J71" s="18"/>
      <c r="K71" s="18"/>
      <c r="L71" s="18"/>
    </row>
    <row r="72" spans="1:12" ht="12.75">
      <c r="A72" s="93" t="s">
        <v>177</v>
      </c>
      <c r="B72" s="381">
        <v>1547.4866666666667</v>
      </c>
      <c r="C72" s="381">
        <v>1599.7733333333333</v>
      </c>
      <c r="D72" s="284">
        <v>1413.6666666666667</v>
      </c>
      <c r="E72" s="284">
        <v>1753</v>
      </c>
      <c r="F72" s="377">
        <f>SUM(D72:E72)</f>
        <v>3166.666666666667</v>
      </c>
      <c r="G72" s="381">
        <v>3166.6666666666665</v>
      </c>
      <c r="H72" s="377">
        <f t="shared" si="8"/>
        <v>4.547473508864641E-13</v>
      </c>
      <c r="J72" s="18"/>
      <c r="K72" s="18"/>
      <c r="L72" s="18"/>
    </row>
    <row r="73" spans="1:12" ht="12.75">
      <c r="A73" s="16" t="s">
        <v>176</v>
      </c>
      <c r="B73" s="381">
        <v>150</v>
      </c>
      <c r="C73" s="381">
        <v>248.33333333333334</v>
      </c>
      <c r="D73" s="284">
        <v>226</v>
      </c>
      <c r="E73" s="284">
        <v>24</v>
      </c>
      <c r="F73" s="377">
        <f>SUM(D73:E73)</f>
        <v>250</v>
      </c>
      <c r="G73" s="381">
        <v>250</v>
      </c>
      <c r="H73" s="379">
        <f t="shared" si="8"/>
        <v>0</v>
      </c>
      <c r="J73" s="18"/>
      <c r="K73" s="18"/>
      <c r="L73" s="18"/>
    </row>
    <row r="74" spans="1:12" ht="13.5" thickBot="1">
      <c r="A74" s="111" t="s">
        <v>7</v>
      </c>
      <c r="B74" s="378">
        <f aca="true" t="shared" si="10" ref="B74:H74">SUM(B68:B73)</f>
        <v>187544.12666666665</v>
      </c>
      <c r="C74" s="378">
        <f t="shared" si="10"/>
        <v>189419.57333333336</v>
      </c>
      <c r="D74" s="378">
        <f t="shared" si="10"/>
        <v>144870.77999999997</v>
      </c>
      <c r="E74" s="378">
        <f t="shared" si="10"/>
        <v>56382.54666666666</v>
      </c>
      <c r="F74" s="378">
        <f t="shared" si="10"/>
        <v>201253.3266666667</v>
      </c>
      <c r="G74" s="378">
        <f t="shared" si="10"/>
        <v>201417.33333333334</v>
      </c>
      <c r="H74" s="378">
        <f t="shared" si="10"/>
        <v>-164.00666666665938</v>
      </c>
      <c r="J74" s="18"/>
      <c r="K74" s="18"/>
      <c r="L74" s="18"/>
    </row>
    <row r="75" spans="6:12" ht="13.5" thickTop="1">
      <c r="F75" s="36"/>
      <c r="H75" s="36"/>
      <c r="J75" s="18"/>
      <c r="K75" s="18"/>
      <c r="L75" s="18"/>
    </row>
    <row r="76" spans="1:12" ht="12.75">
      <c r="A76" s="14" t="s">
        <v>414</v>
      </c>
      <c r="B76" s="272"/>
      <c r="F76" s="118" t="str">
        <f>$F$20</f>
        <v>Bi-Weekly PP posted 5/22/09</v>
      </c>
      <c r="G76" s="283">
        <v>4803</v>
      </c>
      <c r="H76" s="36"/>
      <c r="J76" s="18"/>
      <c r="K76" s="18"/>
      <c r="L76" s="18"/>
    </row>
    <row r="77" spans="6:12" ht="12.75">
      <c r="F77" s="36"/>
      <c r="H77" s="36"/>
      <c r="J77" s="18"/>
      <c r="K77" s="18"/>
      <c r="L77" s="18"/>
    </row>
    <row r="78" spans="2:8" ht="12.75">
      <c r="B78" s="14"/>
      <c r="C78" s="14"/>
      <c r="D78" s="14"/>
      <c r="E78" s="14"/>
      <c r="F78" s="14"/>
      <c r="G78" s="14"/>
      <c r="H78" s="14"/>
    </row>
    <row r="79" spans="2:8" ht="12.75">
      <c r="B79" s="14"/>
      <c r="C79" s="14"/>
      <c r="D79" s="14"/>
      <c r="E79" s="14"/>
      <c r="F79" s="14"/>
      <c r="G79" s="14"/>
      <c r="H79" s="14"/>
    </row>
    <row r="80" spans="2:8" ht="12.75">
      <c r="B80" s="14"/>
      <c r="C80" s="14"/>
      <c r="D80" s="14"/>
      <c r="E80" s="14"/>
      <c r="F80" s="14"/>
      <c r="G80" s="14"/>
      <c r="H80" s="14"/>
    </row>
    <row r="81" spans="2:8" ht="12.75">
      <c r="B81" s="14"/>
      <c r="C81" s="14"/>
      <c r="D81" s="14"/>
      <c r="E81" s="14"/>
      <c r="F81" s="14"/>
      <c r="G81" s="14"/>
      <c r="H81" s="14"/>
    </row>
    <row r="82" spans="1:8" ht="15">
      <c r="A82" s="112" t="s">
        <v>397</v>
      </c>
      <c r="F82" s="36"/>
      <c r="H82" s="36"/>
    </row>
    <row r="83" spans="6:8" ht="12.75">
      <c r="F83" s="36"/>
      <c r="H83" s="36"/>
    </row>
    <row r="84" spans="1:8" ht="12.75">
      <c r="A84" s="97"/>
      <c r="B84" s="147" t="str">
        <f>$B$5</f>
        <v>6/30/07</v>
      </c>
      <c r="C84" s="147" t="str">
        <f>$C$5</f>
        <v>6/30/08</v>
      </c>
      <c r="D84" s="147" t="str">
        <f>$D$5</f>
        <v>Year to</v>
      </c>
      <c r="E84" s="147"/>
      <c r="F84" s="147"/>
      <c r="G84" s="147"/>
      <c r="H84" s="208"/>
    </row>
    <row r="85" spans="1:8" ht="12.75">
      <c r="A85" s="102"/>
      <c r="B85" s="95" t="str">
        <f>$B$6</f>
        <v>FY07</v>
      </c>
      <c r="C85" s="95" t="str">
        <f>$C$6</f>
        <v>FY08</v>
      </c>
      <c r="D85" s="95" t="str">
        <f>$D$6</f>
        <v>Date</v>
      </c>
      <c r="E85" s="95" t="str">
        <f>$E$6</f>
        <v>Projected</v>
      </c>
      <c r="F85" s="95" t="str">
        <f>$F$6</f>
        <v>Projected at</v>
      </c>
      <c r="G85" s="95" t="str">
        <f>$G$6</f>
        <v>Approved</v>
      </c>
      <c r="H85" s="209" t="str">
        <f>$H$6</f>
        <v>Variance</v>
      </c>
    </row>
    <row r="86" spans="1:8" ht="12.75">
      <c r="A86" s="104" t="s">
        <v>10</v>
      </c>
      <c r="B86" s="141" t="str">
        <f>$B$7</f>
        <v>Audited</v>
      </c>
      <c r="C86" s="141" t="str">
        <f>$C$7</f>
        <v>Unaudited</v>
      </c>
      <c r="D86" s="216" t="str">
        <f>$D$7</f>
        <v>As of 4/30/09</v>
      </c>
      <c r="E86" s="141" t="str">
        <f>$E$7</f>
        <v>2 months</v>
      </c>
      <c r="F86" s="141" t="str">
        <f>$F$7</f>
        <v>Year End</v>
      </c>
      <c r="G86" s="141" t="str">
        <f>$G$7</f>
        <v>Budget</v>
      </c>
      <c r="H86" s="210" t="str">
        <f>$H$7</f>
        <v>Over/(Under)</v>
      </c>
    </row>
    <row r="87" spans="1:8" ht="12.75">
      <c r="A87" s="60"/>
      <c r="B87" s="110"/>
      <c r="C87" s="110"/>
      <c r="D87" s="110"/>
      <c r="E87" s="95"/>
      <c r="F87" s="95"/>
      <c r="G87" s="95"/>
      <c r="H87" s="95"/>
    </row>
    <row r="88" spans="1:12" ht="12.75">
      <c r="A88" s="14" t="s">
        <v>2</v>
      </c>
      <c r="B88" s="381">
        <v>204854.55</v>
      </c>
      <c r="C88" s="381">
        <v>203685.59333333335</v>
      </c>
      <c r="D88" s="284">
        <v>168024.40666666665</v>
      </c>
      <c r="E88" s="377">
        <f>G100*'Schedule 1 Summary'!D15+3300</f>
        <v>43220</v>
      </c>
      <c r="F88" s="377">
        <f>SUM(D88:E88)</f>
        <v>211244.40666666665</v>
      </c>
      <c r="G88" s="372">
        <v>211048</v>
      </c>
      <c r="H88" s="377">
        <f aca="true" t="shared" si="11" ref="H88:H97">SUM(F88-G88)</f>
        <v>196.40666666664765</v>
      </c>
      <c r="J88" s="18"/>
      <c r="K88" s="18"/>
      <c r="L88" s="18"/>
    </row>
    <row r="89" spans="1:12" ht="12.75">
      <c r="A89" s="14" t="s">
        <v>3</v>
      </c>
      <c r="B89" s="381">
        <v>740.55</v>
      </c>
      <c r="C89" s="381">
        <v>277.54333333333335</v>
      </c>
      <c r="D89" s="284">
        <v>230.84</v>
      </c>
      <c r="E89" s="272">
        <v>269</v>
      </c>
      <c r="F89" s="377">
        <f>SUM(D89:E89)</f>
        <v>499.84000000000003</v>
      </c>
      <c r="G89" s="372">
        <v>500</v>
      </c>
      <c r="H89" s="377">
        <f t="shared" si="11"/>
        <v>-0.15999999999996817</v>
      </c>
      <c r="J89" s="18"/>
      <c r="K89" s="18"/>
      <c r="L89" s="18"/>
    </row>
    <row r="90" spans="1:12" ht="12.75">
      <c r="A90" s="14" t="s">
        <v>4</v>
      </c>
      <c r="B90" s="381">
        <v>2436.1966666666667</v>
      </c>
      <c r="C90" s="381">
        <v>168.33333333333334</v>
      </c>
      <c r="D90" s="284">
        <v>168.33333333333334</v>
      </c>
      <c r="E90" s="272">
        <v>0</v>
      </c>
      <c r="F90" s="377">
        <f>SUM(D90:E90)</f>
        <v>168.33333333333334</v>
      </c>
      <c r="G90" s="372">
        <v>295</v>
      </c>
      <c r="H90" s="377">
        <f t="shared" si="11"/>
        <v>-126.66666666666666</v>
      </c>
      <c r="J90" s="18"/>
      <c r="K90" s="18"/>
      <c r="L90" s="18"/>
    </row>
    <row r="91" spans="1:12" ht="12.75">
      <c r="A91" s="14" t="s">
        <v>5</v>
      </c>
      <c r="B91" s="377">
        <f aca="true" t="shared" si="12" ref="B91:H91">SUM(B88:B90)</f>
        <v>208031.29666666663</v>
      </c>
      <c r="C91" s="377">
        <f t="shared" si="12"/>
        <v>204131.47000000003</v>
      </c>
      <c r="D91" s="377">
        <f t="shared" si="12"/>
        <v>168423.58</v>
      </c>
      <c r="E91" s="377">
        <f t="shared" si="12"/>
        <v>43489</v>
      </c>
      <c r="F91" s="377">
        <f t="shared" si="12"/>
        <v>211912.58</v>
      </c>
      <c r="G91" s="377">
        <f t="shared" si="12"/>
        <v>211843</v>
      </c>
      <c r="H91" s="377">
        <f t="shared" si="12"/>
        <v>69.57999999998103</v>
      </c>
      <c r="J91" s="18"/>
      <c r="K91" s="18"/>
      <c r="L91" s="18"/>
    </row>
    <row r="92" spans="1:12" ht="12.75">
      <c r="A92" s="93" t="s">
        <v>179</v>
      </c>
      <c r="B92" s="381">
        <v>35941.16333333334</v>
      </c>
      <c r="C92" s="381">
        <v>35638.113333333335</v>
      </c>
      <c r="D92" s="284">
        <v>26412.453333333335</v>
      </c>
      <c r="E92" s="284">
        <v>27587.546666666665</v>
      </c>
      <c r="F92" s="377">
        <f aca="true" t="shared" si="13" ref="F92:F97">SUM(D92:E92)</f>
        <v>54000</v>
      </c>
      <c r="G92" s="372">
        <v>54000</v>
      </c>
      <c r="H92" s="377">
        <f t="shared" si="11"/>
        <v>0</v>
      </c>
      <c r="J92" s="18"/>
      <c r="K92" s="18"/>
      <c r="L92" s="18"/>
    </row>
    <row r="93" spans="1:12" ht="12.75">
      <c r="A93" s="93" t="s">
        <v>173</v>
      </c>
      <c r="B93" s="381">
        <v>985.1466666666666</v>
      </c>
      <c r="C93" s="381">
        <v>1031.2</v>
      </c>
      <c r="D93" s="284">
        <v>882.1966666666667</v>
      </c>
      <c r="E93" s="284">
        <v>367.8033333333333</v>
      </c>
      <c r="F93" s="377">
        <f t="shared" si="13"/>
        <v>1250</v>
      </c>
      <c r="G93" s="372">
        <v>1250</v>
      </c>
      <c r="H93" s="377">
        <f t="shared" si="11"/>
        <v>0</v>
      </c>
      <c r="J93" s="18"/>
      <c r="K93" s="18"/>
      <c r="L93" s="18"/>
    </row>
    <row r="94" spans="1:12" ht="12.75">
      <c r="A94" s="93" t="s">
        <v>174</v>
      </c>
      <c r="B94" s="381">
        <v>8856.35</v>
      </c>
      <c r="C94" s="381">
        <v>11460.606666666667</v>
      </c>
      <c r="D94" s="284">
        <v>9497.186666666666</v>
      </c>
      <c r="E94" s="284">
        <v>5002.813333333333</v>
      </c>
      <c r="F94" s="377">
        <f t="shared" si="13"/>
        <v>14500</v>
      </c>
      <c r="G94" s="372">
        <v>14500</v>
      </c>
      <c r="H94" s="377">
        <f t="shared" si="11"/>
        <v>0</v>
      </c>
      <c r="J94" s="18"/>
      <c r="K94" s="18"/>
      <c r="L94" s="18"/>
    </row>
    <row r="95" spans="1:12" ht="12.75">
      <c r="A95" s="93" t="s">
        <v>175</v>
      </c>
      <c r="B95" s="381">
        <v>1786.4433333333334</v>
      </c>
      <c r="C95" s="381">
        <v>1568.3933333333334</v>
      </c>
      <c r="D95" s="284">
        <v>1534.1033333333335</v>
      </c>
      <c r="E95" s="284">
        <v>132.5633333333332</v>
      </c>
      <c r="F95" s="377">
        <f t="shared" si="13"/>
        <v>1666.6666666666667</v>
      </c>
      <c r="G95" s="372">
        <v>1667</v>
      </c>
      <c r="H95" s="377">
        <f t="shared" si="11"/>
        <v>-0.33333333333325754</v>
      </c>
      <c r="J95" s="18"/>
      <c r="K95" s="18"/>
      <c r="L95" s="18"/>
    </row>
    <row r="96" spans="1:12" ht="12.75">
      <c r="A96" s="93" t="s">
        <v>177</v>
      </c>
      <c r="B96" s="381">
        <v>103.70333333333333</v>
      </c>
      <c r="C96" s="381">
        <v>329.0466666666667</v>
      </c>
      <c r="D96" s="284">
        <v>190.36</v>
      </c>
      <c r="E96" s="284">
        <v>142.97333333333333</v>
      </c>
      <c r="F96" s="377">
        <f t="shared" si="13"/>
        <v>333.33333333333337</v>
      </c>
      <c r="G96" s="372">
        <v>333</v>
      </c>
      <c r="H96" s="377">
        <f t="shared" si="11"/>
        <v>0.33333333333337123</v>
      </c>
      <c r="J96" s="18"/>
      <c r="K96" s="18"/>
      <c r="L96" s="18"/>
    </row>
    <row r="97" spans="1:12" ht="12.75">
      <c r="A97" s="148" t="s">
        <v>176</v>
      </c>
      <c r="B97" s="381">
        <v>441.65</v>
      </c>
      <c r="C97" s="381">
        <v>206.74</v>
      </c>
      <c r="D97" s="284">
        <v>425.97333333333336</v>
      </c>
      <c r="E97" s="284">
        <v>124.02666666666664</v>
      </c>
      <c r="F97" s="377">
        <f t="shared" si="13"/>
        <v>550</v>
      </c>
      <c r="G97" s="376">
        <v>550</v>
      </c>
      <c r="H97" s="379">
        <f t="shared" si="11"/>
        <v>0</v>
      </c>
      <c r="J97" s="18"/>
      <c r="K97" s="18"/>
      <c r="L97" s="18"/>
    </row>
    <row r="98" spans="1:8" ht="13.5" thickBot="1">
      <c r="A98" s="111" t="s">
        <v>7</v>
      </c>
      <c r="B98" s="378">
        <f aca="true" t="shared" si="14" ref="B98:H98">SUM(B91:B97)</f>
        <v>256145.7533333333</v>
      </c>
      <c r="C98" s="378">
        <f t="shared" si="14"/>
        <v>254365.57000000004</v>
      </c>
      <c r="D98" s="378">
        <f t="shared" si="14"/>
        <v>207365.8533333333</v>
      </c>
      <c r="E98" s="378">
        <f t="shared" si="14"/>
        <v>76846.72666666667</v>
      </c>
      <c r="F98" s="378">
        <f t="shared" si="14"/>
        <v>284212.57999999996</v>
      </c>
      <c r="G98" s="378">
        <f t="shared" si="14"/>
        <v>284143</v>
      </c>
      <c r="H98" s="378">
        <f t="shared" si="14"/>
        <v>69.57999999998114</v>
      </c>
    </row>
    <row r="99" spans="2:8" ht="13.5" thickTop="1">
      <c r="B99" s="37"/>
      <c r="C99" s="37"/>
      <c r="D99" s="37"/>
      <c r="E99" s="37"/>
      <c r="F99" s="37"/>
      <c r="G99" s="37"/>
      <c r="H99" s="37"/>
    </row>
    <row r="100" spans="1:8" ht="12.75">
      <c r="A100" s="14" t="s">
        <v>415</v>
      </c>
      <c r="B100" s="285"/>
      <c r="C100" s="37"/>
      <c r="D100" s="37"/>
      <c r="E100" s="37"/>
      <c r="F100" s="118" t="str">
        <f>$F$20</f>
        <v>Bi-Weekly PP posted 5/22/09</v>
      </c>
      <c r="G100" s="283">
        <v>7984</v>
      </c>
      <c r="H100" s="37"/>
    </row>
    <row r="101" spans="1:8" ht="12.75">
      <c r="A101" s="113" t="s">
        <v>479</v>
      </c>
      <c r="B101" s="285"/>
      <c r="C101" s="37"/>
      <c r="D101" s="37"/>
      <c r="E101" s="37"/>
      <c r="F101" s="93"/>
      <c r="G101" s="93"/>
      <c r="H101" s="37"/>
    </row>
    <row r="102" spans="1:8" ht="12.75">
      <c r="A102" s="113"/>
      <c r="B102" s="37"/>
      <c r="C102" s="37"/>
      <c r="D102" s="37"/>
      <c r="E102" s="37"/>
      <c r="F102" s="93"/>
      <c r="G102" s="93"/>
      <c r="H102" s="37"/>
    </row>
    <row r="103" spans="1:8" ht="12.75">
      <c r="A103" s="113"/>
      <c r="B103" s="37"/>
      <c r="C103" s="37"/>
      <c r="D103" s="37"/>
      <c r="E103" s="37"/>
      <c r="F103" s="93"/>
      <c r="G103" s="93"/>
      <c r="H103" s="37"/>
    </row>
    <row r="104" spans="1:8" ht="15">
      <c r="A104" s="112" t="s">
        <v>251</v>
      </c>
      <c r="F104" s="36"/>
      <c r="H104" s="36"/>
    </row>
    <row r="105" spans="6:8" ht="12.75">
      <c r="F105" s="36"/>
      <c r="H105" s="36"/>
    </row>
    <row r="106" spans="1:8" ht="12.75">
      <c r="A106" s="97"/>
      <c r="B106" s="147" t="str">
        <f>$B$5</f>
        <v>6/30/07</v>
      </c>
      <c r="C106" s="147" t="str">
        <f>$C$5</f>
        <v>6/30/08</v>
      </c>
      <c r="D106" s="147" t="str">
        <f>$D$5</f>
        <v>Year to</v>
      </c>
      <c r="E106" s="147"/>
      <c r="F106" s="147"/>
      <c r="G106" s="147"/>
      <c r="H106" s="208"/>
    </row>
    <row r="107" spans="1:8" ht="12.75">
      <c r="A107" s="102"/>
      <c r="B107" s="95" t="str">
        <f>$B$6</f>
        <v>FY07</v>
      </c>
      <c r="C107" s="95" t="str">
        <f>$C$6</f>
        <v>FY08</v>
      </c>
      <c r="D107" s="95" t="str">
        <f>$D$6</f>
        <v>Date</v>
      </c>
      <c r="E107" s="95" t="str">
        <f>$E$6</f>
        <v>Projected</v>
      </c>
      <c r="F107" s="95" t="str">
        <f>$F$6</f>
        <v>Projected at</v>
      </c>
      <c r="G107" s="95" t="str">
        <f>$G$6</f>
        <v>Approved</v>
      </c>
      <c r="H107" s="209" t="str">
        <f>$H$6</f>
        <v>Variance</v>
      </c>
    </row>
    <row r="108" spans="1:8" ht="12.75">
      <c r="A108" s="104" t="s">
        <v>10</v>
      </c>
      <c r="B108" s="141" t="str">
        <f>$B$7</f>
        <v>Audited</v>
      </c>
      <c r="C108" s="141" t="str">
        <f>$C$7</f>
        <v>Unaudited</v>
      </c>
      <c r="D108" s="216" t="str">
        <f>$D$7</f>
        <v>As of 4/30/09</v>
      </c>
      <c r="E108" s="141" t="str">
        <f>$E$7</f>
        <v>2 months</v>
      </c>
      <c r="F108" s="141" t="str">
        <f>$F$7</f>
        <v>Year End</v>
      </c>
      <c r="G108" s="141" t="str">
        <f>$G$7</f>
        <v>Budget</v>
      </c>
      <c r="H108" s="210" t="str">
        <f>$H$7</f>
        <v>Over/(Under)</v>
      </c>
    </row>
    <row r="109" spans="1:8" ht="12.75">
      <c r="A109" s="60"/>
      <c r="B109" s="110"/>
      <c r="C109" s="110"/>
      <c r="D109" s="110"/>
      <c r="E109" s="95"/>
      <c r="F109" s="95"/>
      <c r="G109" s="95"/>
      <c r="H109" s="95"/>
    </row>
    <row r="110" spans="1:8" ht="12.75">
      <c r="A110" s="14" t="s">
        <v>2</v>
      </c>
      <c r="B110" s="381">
        <v>64687.59666666667</v>
      </c>
      <c r="C110" s="381">
        <v>70503.54</v>
      </c>
      <c r="D110" s="284">
        <v>57900.03333333333</v>
      </c>
      <c r="E110" s="377">
        <f>G122*'Schedule 1 Summary'!D15+1200</f>
        <v>15345</v>
      </c>
      <c r="F110" s="377">
        <f>SUM(D110:E110)</f>
        <v>73245.03333333333</v>
      </c>
      <c r="G110" s="372">
        <v>73759</v>
      </c>
      <c r="H110" s="377">
        <f aca="true" t="shared" si="15" ref="H110:H119">SUM(F110-G110)</f>
        <v>-513.9666666666744</v>
      </c>
    </row>
    <row r="111" spans="1:8" ht="12.75">
      <c r="A111" s="14" t="s">
        <v>3</v>
      </c>
      <c r="B111" s="381">
        <v>145.45333333333335</v>
      </c>
      <c r="C111" s="381">
        <v>844.1533333333333</v>
      </c>
      <c r="D111" s="284">
        <v>849.59</v>
      </c>
      <c r="E111" s="272">
        <v>0</v>
      </c>
      <c r="F111" s="377">
        <f>SUM(D111:E111)</f>
        <v>849.59</v>
      </c>
      <c r="G111" s="372">
        <v>667</v>
      </c>
      <c r="H111" s="377">
        <f t="shared" si="15"/>
        <v>182.59000000000003</v>
      </c>
    </row>
    <row r="112" spans="1:8" ht="12.75">
      <c r="A112" s="14" t="s">
        <v>4</v>
      </c>
      <c r="B112" s="381">
        <v>26309.333333333332</v>
      </c>
      <c r="C112" s="381">
        <v>37229.67</v>
      </c>
      <c r="D112" s="284">
        <v>28056.583333333332</v>
      </c>
      <c r="E112" s="272">
        <v>0</v>
      </c>
      <c r="F112" s="377">
        <f>SUM(D112:E112)</f>
        <v>28056.583333333332</v>
      </c>
      <c r="G112" s="372">
        <v>27568</v>
      </c>
      <c r="H112" s="377">
        <f t="shared" si="15"/>
        <v>488.5833333333321</v>
      </c>
    </row>
    <row r="113" spans="1:12" ht="12.75">
      <c r="A113" s="14" t="s">
        <v>5</v>
      </c>
      <c r="B113" s="377">
        <f aca="true" t="shared" si="16" ref="B113:H113">SUM(B110:B112)</f>
        <v>91142.38333333333</v>
      </c>
      <c r="C113" s="377">
        <f t="shared" si="16"/>
        <v>108577.36333333333</v>
      </c>
      <c r="D113" s="377">
        <f t="shared" si="16"/>
        <v>86806.20666666667</v>
      </c>
      <c r="E113" s="377">
        <f t="shared" si="16"/>
        <v>15345</v>
      </c>
      <c r="F113" s="377">
        <f t="shared" si="16"/>
        <v>102151.20666666665</v>
      </c>
      <c r="G113" s="377">
        <f t="shared" si="16"/>
        <v>101994</v>
      </c>
      <c r="H113" s="377">
        <f t="shared" si="16"/>
        <v>157.20666666665772</v>
      </c>
      <c r="J113" s="18"/>
      <c r="K113" s="18"/>
      <c r="L113" s="18"/>
    </row>
    <row r="114" spans="1:12" ht="12.75">
      <c r="A114" s="14" t="s">
        <v>178</v>
      </c>
      <c r="B114" s="381">
        <v>100.53333333333335</v>
      </c>
      <c r="C114" s="381">
        <v>64</v>
      </c>
      <c r="D114" s="284">
        <v>163.65</v>
      </c>
      <c r="E114" s="272">
        <v>3</v>
      </c>
      <c r="F114" s="377">
        <f aca="true" t="shared" si="17" ref="F114:F119">SUM(D114:E114)</f>
        <v>166.65</v>
      </c>
      <c r="G114" s="372">
        <v>167</v>
      </c>
      <c r="H114" s="377">
        <f t="shared" si="15"/>
        <v>-0.3499999999999943</v>
      </c>
      <c r="J114" s="18"/>
      <c r="K114" s="18"/>
      <c r="L114" s="18"/>
    </row>
    <row r="115" spans="1:12" ht="12.75">
      <c r="A115" s="14" t="s">
        <v>179</v>
      </c>
      <c r="B115" s="381">
        <v>0</v>
      </c>
      <c r="C115" s="381">
        <v>0</v>
      </c>
      <c r="D115" s="284">
        <v>0</v>
      </c>
      <c r="E115" s="272">
        <v>0</v>
      </c>
      <c r="F115" s="377">
        <f t="shared" si="17"/>
        <v>0</v>
      </c>
      <c r="G115" s="372">
        <v>167</v>
      </c>
      <c r="H115" s="377">
        <f>SUM(F115-G115)</f>
        <v>-167</v>
      </c>
      <c r="J115" s="18"/>
      <c r="K115" s="18"/>
      <c r="L115" s="18"/>
    </row>
    <row r="116" spans="1:12" ht="12.75">
      <c r="A116" s="14" t="s">
        <v>173</v>
      </c>
      <c r="B116" s="381">
        <v>1107.7233333333334</v>
      </c>
      <c r="C116" s="381">
        <v>1196.5533333333333</v>
      </c>
      <c r="D116" s="284">
        <v>807.8866666666667</v>
      </c>
      <c r="E116" s="272">
        <v>858</v>
      </c>
      <c r="F116" s="377">
        <f t="shared" si="17"/>
        <v>1665.8866666666668</v>
      </c>
      <c r="G116" s="372">
        <v>1667</v>
      </c>
      <c r="H116" s="377">
        <f t="shared" si="15"/>
        <v>-1.1133333333332303</v>
      </c>
      <c r="J116" s="18"/>
      <c r="K116" s="18"/>
      <c r="L116" s="18"/>
    </row>
    <row r="117" spans="1:12" ht="12.75">
      <c r="A117" s="14" t="s">
        <v>174</v>
      </c>
      <c r="B117" s="381">
        <v>5059.68</v>
      </c>
      <c r="C117" s="381">
        <v>10389.37</v>
      </c>
      <c r="D117" s="284">
        <v>10086.256666666666</v>
      </c>
      <c r="E117" s="272">
        <v>1080</v>
      </c>
      <c r="F117" s="377">
        <f t="shared" si="17"/>
        <v>11166.256666666666</v>
      </c>
      <c r="G117" s="372">
        <v>11167</v>
      </c>
      <c r="H117" s="377">
        <f t="shared" si="15"/>
        <v>-0.7433333333337941</v>
      </c>
      <c r="J117" s="18"/>
      <c r="K117" s="18"/>
      <c r="L117" s="18"/>
    </row>
    <row r="118" spans="1:12" ht="12.75">
      <c r="A118" s="14" t="s">
        <v>175</v>
      </c>
      <c r="B118" s="381">
        <v>1144.9233333333334</v>
      </c>
      <c r="C118" s="381">
        <v>2425.936666666667</v>
      </c>
      <c r="D118" s="284">
        <v>1807.4</v>
      </c>
      <c r="E118" s="272">
        <v>1026</v>
      </c>
      <c r="F118" s="377">
        <f t="shared" si="17"/>
        <v>2833.4</v>
      </c>
      <c r="G118" s="372">
        <v>2833</v>
      </c>
      <c r="H118" s="377">
        <f t="shared" si="15"/>
        <v>0.40000000000009095</v>
      </c>
      <c r="J118" s="18"/>
      <c r="K118" s="18"/>
      <c r="L118" s="18"/>
    </row>
    <row r="119" spans="1:12" ht="12.75">
      <c r="A119" s="16" t="s">
        <v>176</v>
      </c>
      <c r="B119" s="381">
        <v>406.9533333333333</v>
      </c>
      <c r="C119" s="381">
        <v>580.6933333333333</v>
      </c>
      <c r="D119" s="284">
        <v>501.75333333333333</v>
      </c>
      <c r="E119" s="272">
        <v>148</v>
      </c>
      <c r="F119" s="377">
        <f t="shared" si="17"/>
        <v>649.7533333333333</v>
      </c>
      <c r="G119" s="376">
        <v>650</v>
      </c>
      <c r="H119" s="379">
        <f t="shared" si="15"/>
        <v>-0.2466666666666697</v>
      </c>
      <c r="J119" s="18"/>
      <c r="K119" s="18"/>
      <c r="L119" s="18"/>
    </row>
    <row r="120" spans="1:12" ht="13.5" thickBot="1">
      <c r="A120" s="111" t="s">
        <v>7</v>
      </c>
      <c r="B120" s="378">
        <f aca="true" t="shared" si="18" ref="B120:H120">SUM(B113:B119)</f>
        <v>98962.19666666668</v>
      </c>
      <c r="C120" s="378">
        <f t="shared" si="18"/>
        <v>123233.91666666664</v>
      </c>
      <c r="D120" s="378">
        <f t="shared" si="18"/>
        <v>100173.15333333332</v>
      </c>
      <c r="E120" s="378">
        <f t="shared" si="18"/>
        <v>18460</v>
      </c>
      <c r="F120" s="378">
        <f t="shared" si="18"/>
        <v>118633.1533333333</v>
      </c>
      <c r="G120" s="378">
        <f t="shared" si="18"/>
        <v>118645</v>
      </c>
      <c r="H120" s="378">
        <f t="shared" si="18"/>
        <v>-11.846666666675873</v>
      </c>
      <c r="J120" s="18"/>
      <c r="K120" s="18"/>
      <c r="L120" s="18"/>
    </row>
    <row r="121" spans="6:12" ht="13.5" thickTop="1">
      <c r="F121" s="36"/>
      <c r="H121" s="36"/>
      <c r="J121" s="18"/>
      <c r="K121" s="18"/>
      <c r="L121" s="18"/>
    </row>
    <row r="122" spans="1:12" ht="12.75">
      <c r="A122" s="14" t="s">
        <v>416</v>
      </c>
      <c r="B122" s="272"/>
      <c r="F122" s="118" t="str">
        <f>$F$20</f>
        <v>Bi-Weekly PP posted 5/22/09</v>
      </c>
      <c r="G122" s="283">
        <v>2829</v>
      </c>
      <c r="H122" s="36"/>
      <c r="J122" s="18"/>
      <c r="K122" s="18"/>
      <c r="L122" s="18"/>
    </row>
    <row r="123" spans="6:8" ht="12.75">
      <c r="F123" s="36"/>
      <c r="H123" s="36"/>
    </row>
    <row r="124" spans="2:8" ht="12.75">
      <c r="B124" s="14"/>
      <c r="C124" s="14"/>
      <c r="D124" s="14"/>
      <c r="E124" s="14"/>
      <c r="F124" s="14"/>
      <c r="G124" s="14"/>
      <c r="H124" s="14"/>
    </row>
    <row r="125" spans="1:8" ht="15">
      <c r="A125" s="112" t="s">
        <v>253</v>
      </c>
      <c r="F125" s="36"/>
      <c r="H125" s="36"/>
    </row>
    <row r="126" spans="6:8" ht="12.75">
      <c r="F126" s="36"/>
      <c r="H126" s="36"/>
    </row>
    <row r="127" spans="1:8" ht="12.75">
      <c r="A127" s="97"/>
      <c r="B127" s="147" t="str">
        <f>$B$5</f>
        <v>6/30/07</v>
      </c>
      <c r="C127" s="147" t="str">
        <f>$C$5</f>
        <v>6/30/08</v>
      </c>
      <c r="D127" s="147" t="str">
        <f>$D$5</f>
        <v>Year to</v>
      </c>
      <c r="E127" s="147"/>
      <c r="F127" s="147"/>
      <c r="G127" s="147"/>
      <c r="H127" s="208"/>
    </row>
    <row r="128" spans="1:8" ht="12.75">
      <c r="A128" s="102"/>
      <c r="B128" s="95" t="str">
        <f>$B$6</f>
        <v>FY07</v>
      </c>
      <c r="C128" s="95" t="str">
        <f>$C$6</f>
        <v>FY08</v>
      </c>
      <c r="D128" s="95" t="str">
        <f>$D$6</f>
        <v>Date</v>
      </c>
      <c r="E128" s="95" t="str">
        <f>$E$6</f>
        <v>Projected</v>
      </c>
      <c r="F128" s="95" t="str">
        <f>$F$6</f>
        <v>Projected at</v>
      </c>
      <c r="G128" s="95" t="str">
        <f>$G$6</f>
        <v>Approved</v>
      </c>
      <c r="H128" s="209" t="str">
        <f>$H$6</f>
        <v>Variance</v>
      </c>
    </row>
    <row r="129" spans="1:8" ht="12.75">
      <c r="A129" s="104" t="s">
        <v>10</v>
      </c>
      <c r="B129" s="141" t="str">
        <f>$B$7</f>
        <v>Audited</v>
      </c>
      <c r="C129" s="141" t="str">
        <f>$C$7</f>
        <v>Unaudited</v>
      </c>
      <c r="D129" s="216" t="str">
        <f>$D$7</f>
        <v>As of 4/30/09</v>
      </c>
      <c r="E129" s="141" t="str">
        <f>$E$7</f>
        <v>2 months</v>
      </c>
      <c r="F129" s="141" t="str">
        <f>$F$7</f>
        <v>Year End</v>
      </c>
      <c r="G129" s="141" t="str">
        <f>$G$7</f>
        <v>Budget</v>
      </c>
      <c r="H129" s="210" t="str">
        <f>$H$7</f>
        <v>Over/(Under)</v>
      </c>
    </row>
    <row r="130" spans="1:8" ht="12.75">
      <c r="A130" s="60"/>
      <c r="B130" s="110"/>
      <c r="C130" s="110"/>
      <c r="D130" s="110"/>
      <c r="E130" s="95"/>
      <c r="F130" s="95"/>
      <c r="G130" s="95"/>
      <c r="H130" s="95"/>
    </row>
    <row r="131" spans="1:8" ht="12.75">
      <c r="A131" s="14" t="s">
        <v>2</v>
      </c>
      <c r="B131" s="381">
        <v>351219.25666666665</v>
      </c>
      <c r="C131" s="381">
        <v>385635.33</v>
      </c>
      <c r="D131" s="284">
        <v>323226.35666666663</v>
      </c>
      <c r="E131" s="377">
        <f>G143*'Schedule 1 Summary'!D15+6700</f>
        <v>85405</v>
      </c>
      <c r="F131" s="377">
        <f>SUM(D131:E131)</f>
        <v>408631.35666666663</v>
      </c>
      <c r="G131" s="381">
        <v>404167.6666666667</v>
      </c>
      <c r="H131" s="377">
        <f>SUM(F131-G131)</f>
        <v>4463.689999999944</v>
      </c>
    </row>
    <row r="132" spans="1:8" ht="12.75">
      <c r="A132" s="14" t="s">
        <v>3</v>
      </c>
      <c r="B132" s="381">
        <v>11331.82</v>
      </c>
      <c r="C132" s="381">
        <v>3759.05</v>
      </c>
      <c r="D132" s="284">
        <v>701.3233333333333</v>
      </c>
      <c r="E132" s="272">
        <f>170*5</f>
        <v>850</v>
      </c>
      <c r="F132" s="377">
        <f>SUM(D132:E132)</f>
        <v>1551.3233333333333</v>
      </c>
      <c r="G132" s="381">
        <v>8333.333333333334</v>
      </c>
      <c r="H132" s="377">
        <f>SUM(F132-G132)</f>
        <v>-6782.01</v>
      </c>
    </row>
    <row r="133" spans="1:8" ht="12.75">
      <c r="A133" s="14" t="s">
        <v>4</v>
      </c>
      <c r="B133" s="381">
        <v>1471.6666666666667</v>
      </c>
      <c r="C133" s="381">
        <v>5238.016666666666</v>
      </c>
      <c r="D133" s="284">
        <v>3749.55</v>
      </c>
      <c r="E133" s="272">
        <v>0</v>
      </c>
      <c r="F133" s="377">
        <f>SUM(D133:E133)</f>
        <v>3749.55</v>
      </c>
      <c r="G133" s="381">
        <v>1626.6666666666667</v>
      </c>
      <c r="H133" s="377">
        <f>SUM(F133-G133)</f>
        <v>2122.883333333333</v>
      </c>
    </row>
    <row r="134" spans="1:8" ht="12.75">
      <c r="A134" s="14" t="s">
        <v>5</v>
      </c>
      <c r="B134" s="377">
        <f aca="true" t="shared" si="19" ref="B134:H134">SUM(B131:B133)</f>
        <v>364022.74333333335</v>
      </c>
      <c r="C134" s="377">
        <f t="shared" si="19"/>
        <v>394632.39666666667</v>
      </c>
      <c r="D134" s="377">
        <f t="shared" si="19"/>
        <v>327677.2299999999</v>
      </c>
      <c r="E134" s="377">
        <f t="shared" si="19"/>
        <v>86255</v>
      </c>
      <c r="F134" s="377">
        <f t="shared" si="19"/>
        <v>413932.2299999999</v>
      </c>
      <c r="G134" s="377">
        <f t="shared" si="19"/>
        <v>414127.6666666667</v>
      </c>
      <c r="H134" s="377">
        <f t="shared" si="19"/>
        <v>-195.43666666672289</v>
      </c>
    </row>
    <row r="135" spans="1:8" ht="12.75">
      <c r="A135" s="14" t="s">
        <v>179</v>
      </c>
      <c r="B135" s="381">
        <v>3300</v>
      </c>
      <c r="C135" s="381">
        <v>1777.9566666666667</v>
      </c>
      <c r="D135" s="284">
        <v>1422.8333333333333</v>
      </c>
      <c r="E135" s="272">
        <v>2244</v>
      </c>
      <c r="F135" s="377">
        <f aca="true" t="shared" si="20" ref="F135:F140">SUM(D135:E135)</f>
        <v>3666.833333333333</v>
      </c>
      <c r="G135" s="381">
        <v>3666.6666666666665</v>
      </c>
      <c r="H135" s="377">
        <f aca="true" t="shared" si="21" ref="H135:H140">SUM(F135-G135)</f>
        <v>0.16666666666651508</v>
      </c>
    </row>
    <row r="136" spans="1:8" ht="12.75">
      <c r="A136" s="14" t="s">
        <v>173</v>
      </c>
      <c r="B136" s="381">
        <v>838.54</v>
      </c>
      <c r="C136" s="381">
        <v>782.98</v>
      </c>
      <c r="D136" s="284">
        <v>570.5266666666666</v>
      </c>
      <c r="E136" s="272">
        <v>596</v>
      </c>
      <c r="F136" s="377">
        <f t="shared" si="20"/>
        <v>1166.5266666666666</v>
      </c>
      <c r="G136" s="381">
        <v>1166.6666666666667</v>
      </c>
      <c r="H136" s="377">
        <f t="shared" si="21"/>
        <v>-0.14000000000010004</v>
      </c>
    </row>
    <row r="137" spans="1:8" ht="12.75">
      <c r="A137" s="14" t="s">
        <v>174</v>
      </c>
      <c r="B137" s="381">
        <v>2654.65</v>
      </c>
      <c r="C137" s="381">
        <v>4225.006666666667</v>
      </c>
      <c r="D137" s="284">
        <v>4156.95</v>
      </c>
      <c r="E137" s="272">
        <v>6010</v>
      </c>
      <c r="F137" s="377">
        <f t="shared" si="20"/>
        <v>10166.95</v>
      </c>
      <c r="G137" s="381">
        <v>10166.666666666666</v>
      </c>
      <c r="H137" s="377">
        <f t="shared" si="21"/>
        <v>0.28333333333466726</v>
      </c>
    </row>
    <row r="138" spans="1:8" ht="12.75">
      <c r="A138" s="14" t="s">
        <v>175</v>
      </c>
      <c r="B138" s="381">
        <v>4937.5</v>
      </c>
      <c r="C138" s="381">
        <v>4377.506666666667</v>
      </c>
      <c r="D138" s="284">
        <v>3016.816666666667</v>
      </c>
      <c r="E138" s="272">
        <v>2317</v>
      </c>
      <c r="F138" s="377">
        <f t="shared" si="20"/>
        <v>5333.8166666666675</v>
      </c>
      <c r="G138" s="381">
        <v>5333.333333333333</v>
      </c>
      <c r="H138" s="377">
        <f t="shared" si="21"/>
        <v>0.48333333333448536</v>
      </c>
    </row>
    <row r="139" spans="1:8" ht="12.75">
      <c r="A139" s="14" t="s">
        <v>177</v>
      </c>
      <c r="B139" s="381">
        <v>2570.8533333333335</v>
      </c>
      <c r="C139" s="381">
        <v>2287.14</v>
      </c>
      <c r="D139" s="284">
        <v>4130.016666666666</v>
      </c>
      <c r="E139" s="272">
        <v>517</v>
      </c>
      <c r="F139" s="377">
        <f t="shared" si="20"/>
        <v>4647.016666666666</v>
      </c>
      <c r="G139" s="381">
        <v>4646.666666666667</v>
      </c>
      <c r="H139" s="377">
        <f t="shared" si="21"/>
        <v>0.3499999999994543</v>
      </c>
    </row>
    <row r="140" spans="1:12" ht="12.75">
      <c r="A140" s="16" t="s">
        <v>176</v>
      </c>
      <c r="B140" s="381">
        <v>2089.016666666667</v>
      </c>
      <c r="C140" s="381">
        <v>1451.3033333333333</v>
      </c>
      <c r="D140" s="284">
        <v>841.1633333333333</v>
      </c>
      <c r="E140" s="272">
        <v>2492</v>
      </c>
      <c r="F140" s="377">
        <f t="shared" si="20"/>
        <v>3333.1633333333334</v>
      </c>
      <c r="G140" s="381">
        <v>3333.3333333333335</v>
      </c>
      <c r="H140" s="379">
        <f t="shared" si="21"/>
        <v>-0.17000000000007276</v>
      </c>
      <c r="J140" s="18"/>
      <c r="K140" s="18"/>
      <c r="L140" s="18"/>
    </row>
    <row r="141" spans="1:12" ht="13.5" thickBot="1">
      <c r="A141" s="111" t="s">
        <v>7</v>
      </c>
      <c r="B141" s="378">
        <f aca="true" t="shared" si="22" ref="B141:H141">SUM(B134:B140)</f>
        <v>380413.30333333334</v>
      </c>
      <c r="C141" s="378">
        <f t="shared" si="22"/>
        <v>409534.29</v>
      </c>
      <c r="D141" s="378">
        <f t="shared" si="22"/>
        <v>341815.53666666656</v>
      </c>
      <c r="E141" s="378">
        <f t="shared" si="22"/>
        <v>100431</v>
      </c>
      <c r="F141" s="378">
        <f t="shared" si="22"/>
        <v>442246.53666666656</v>
      </c>
      <c r="G141" s="378">
        <f t="shared" si="22"/>
        <v>442441.00000000006</v>
      </c>
      <c r="H141" s="378">
        <f t="shared" si="22"/>
        <v>-194.46333333338794</v>
      </c>
      <c r="J141" s="18"/>
      <c r="K141" s="18"/>
      <c r="L141" s="18"/>
    </row>
    <row r="142" spans="1:12" ht="13.5" thickTop="1">
      <c r="A142" s="79"/>
      <c r="B142" s="37"/>
      <c r="C142" s="37"/>
      <c r="D142" s="37"/>
      <c r="E142" s="37"/>
      <c r="F142" s="37"/>
      <c r="G142" s="37"/>
      <c r="H142" s="37"/>
      <c r="J142" s="18"/>
      <c r="K142" s="18"/>
      <c r="L142" s="18"/>
    </row>
    <row r="143" spans="1:12" ht="12.75">
      <c r="A143" s="79"/>
      <c r="B143" s="37"/>
      <c r="C143" s="37"/>
      <c r="D143" s="37"/>
      <c r="E143" s="37"/>
      <c r="F143" s="118" t="str">
        <f>$F$20</f>
        <v>Bi-Weekly PP posted 5/22/09</v>
      </c>
      <c r="G143" s="283">
        <v>15741</v>
      </c>
      <c r="H143" s="37"/>
      <c r="J143" s="18"/>
      <c r="K143" s="18"/>
      <c r="L143" s="18"/>
    </row>
    <row r="144" spans="1:12" ht="12.75">
      <c r="A144" s="113" t="s">
        <v>479</v>
      </c>
      <c r="B144" s="285"/>
      <c r="C144" s="37"/>
      <c r="D144" s="37"/>
      <c r="E144" s="37"/>
      <c r="F144" s="37"/>
      <c r="G144" s="37"/>
      <c r="H144" s="37"/>
      <c r="J144" s="18"/>
      <c r="K144" s="18"/>
      <c r="L144" s="18"/>
    </row>
    <row r="145" spans="1:12" ht="12.75">
      <c r="A145" s="14" t="s">
        <v>340</v>
      </c>
      <c r="B145" s="272"/>
      <c r="F145" s="36"/>
      <c r="H145" s="36"/>
      <c r="J145" s="18"/>
      <c r="K145" s="18"/>
      <c r="L145" s="18"/>
    </row>
    <row r="146" spans="2:12" ht="12.75">
      <c r="B146" s="14"/>
      <c r="C146" s="14"/>
      <c r="D146" s="14"/>
      <c r="E146" s="14"/>
      <c r="F146" s="14"/>
      <c r="G146" s="14"/>
      <c r="H146" s="14"/>
      <c r="J146" s="18"/>
      <c r="K146" s="18"/>
      <c r="L146" s="18"/>
    </row>
    <row r="147" spans="2:12" ht="12.75">
      <c r="B147" s="14"/>
      <c r="C147" s="14"/>
      <c r="D147" s="14"/>
      <c r="E147" s="14"/>
      <c r="F147" s="14"/>
      <c r="G147" s="14"/>
      <c r="H147" s="14"/>
      <c r="J147" s="18"/>
      <c r="K147" s="18"/>
      <c r="L147" s="18"/>
    </row>
    <row r="148" spans="1:8" ht="15">
      <c r="A148" s="112" t="s">
        <v>254</v>
      </c>
      <c r="F148" s="93"/>
      <c r="G148" s="93"/>
      <c r="H148" s="36"/>
    </row>
    <row r="149" spans="6:8" ht="12.75">
      <c r="F149" s="36"/>
      <c r="H149" s="36"/>
    </row>
    <row r="150" spans="1:8" ht="12.75">
      <c r="A150" s="97"/>
      <c r="B150" s="147" t="str">
        <f>$B$5</f>
        <v>6/30/07</v>
      </c>
      <c r="C150" s="147" t="str">
        <f>$C$5</f>
        <v>6/30/08</v>
      </c>
      <c r="D150" s="147" t="str">
        <f>$D$5</f>
        <v>Year to</v>
      </c>
      <c r="E150" s="147"/>
      <c r="F150" s="147"/>
      <c r="G150" s="147"/>
      <c r="H150" s="208"/>
    </row>
    <row r="151" spans="1:8" ht="12.75">
      <c r="A151" s="102"/>
      <c r="B151" s="95" t="str">
        <f>$B$6</f>
        <v>FY07</v>
      </c>
      <c r="C151" s="95" t="str">
        <f>$C$6</f>
        <v>FY08</v>
      </c>
      <c r="D151" s="95" t="str">
        <f>$D$6</f>
        <v>Date</v>
      </c>
      <c r="E151" s="95" t="str">
        <f>$E$6</f>
        <v>Projected</v>
      </c>
      <c r="F151" s="95" t="str">
        <f>$F$6</f>
        <v>Projected at</v>
      </c>
      <c r="G151" s="95" t="str">
        <f>$G$6</f>
        <v>Approved</v>
      </c>
      <c r="H151" s="209" t="str">
        <f>$H$6</f>
        <v>Variance</v>
      </c>
    </row>
    <row r="152" spans="1:8" ht="12.75">
      <c r="A152" s="104" t="s">
        <v>10</v>
      </c>
      <c r="B152" s="141" t="str">
        <f>$B$7</f>
        <v>Audited</v>
      </c>
      <c r="C152" s="141" t="str">
        <f>$C$7</f>
        <v>Unaudited</v>
      </c>
      <c r="D152" s="216" t="str">
        <f>$D$7</f>
        <v>As of 4/30/09</v>
      </c>
      <c r="E152" s="141" t="str">
        <f>$E$7</f>
        <v>2 months</v>
      </c>
      <c r="F152" s="141" t="str">
        <f>$F$7</f>
        <v>Year End</v>
      </c>
      <c r="G152" s="141" t="str">
        <f>$G$7</f>
        <v>Budget</v>
      </c>
      <c r="H152" s="210" t="str">
        <f>$H$7</f>
        <v>Over/(Under)</v>
      </c>
    </row>
    <row r="153" spans="1:8" ht="12.75">
      <c r="A153" s="60"/>
      <c r="B153" s="110"/>
      <c r="C153" s="110"/>
      <c r="D153" s="110"/>
      <c r="E153" s="95"/>
      <c r="F153" s="95"/>
      <c r="G153" s="95"/>
      <c r="H153" s="95"/>
    </row>
    <row r="154" spans="1:15" ht="12.75">
      <c r="A154" s="14" t="s">
        <v>2</v>
      </c>
      <c r="B154" s="381">
        <v>230346.95</v>
      </c>
      <c r="C154" s="381">
        <v>245219.69333333333</v>
      </c>
      <c r="D154" s="284">
        <v>204402.27666666664</v>
      </c>
      <c r="E154" s="377">
        <v>52820</v>
      </c>
      <c r="F154" s="377">
        <f>SUM(D154:E154)</f>
        <v>257222.27666666664</v>
      </c>
      <c r="G154" s="381">
        <v>252130</v>
      </c>
      <c r="H154" s="377">
        <f>SUM(F154-G154)</f>
        <v>5092.276666666643</v>
      </c>
      <c r="J154" s="18"/>
      <c r="K154" s="18"/>
      <c r="L154" s="18"/>
      <c r="M154" s="18"/>
      <c r="N154" s="18"/>
      <c r="O154" s="18"/>
    </row>
    <row r="155" spans="1:15" ht="12.75">
      <c r="A155" s="14" t="s">
        <v>3</v>
      </c>
      <c r="B155" s="381">
        <v>2283.226666666667</v>
      </c>
      <c r="C155" s="381">
        <v>9415.25</v>
      </c>
      <c r="D155" s="284">
        <v>1813.8766666666668</v>
      </c>
      <c r="E155" s="286">
        <v>1666.6666666666667</v>
      </c>
      <c r="F155" s="377">
        <f>SUM(D155:E155)</f>
        <v>3480.5433333333335</v>
      </c>
      <c r="G155" s="381">
        <v>11666.666666666666</v>
      </c>
      <c r="H155" s="377">
        <f>SUM(F155-G155)</f>
        <v>-8186.123333333333</v>
      </c>
      <c r="J155" s="18"/>
      <c r="K155" s="18"/>
      <c r="L155" s="18"/>
      <c r="M155" s="18"/>
      <c r="N155" s="18"/>
      <c r="O155" s="18"/>
    </row>
    <row r="156" spans="1:15" ht="12.75">
      <c r="A156" s="14" t="s">
        <v>4</v>
      </c>
      <c r="B156" s="381">
        <v>1598.3333333333333</v>
      </c>
      <c r="C156" s="381">
        <v>3089.1666666666665</v>
      </c>
      <c r="D156" s="284">
        <v>2636.6666666666665</v>
      </c>
      <c r="E156" s="286">
        <v>628.3333333333334</v>
      </c>
      <c r="F156" s="377">
        <f>SUM(D156:E156)</f>
        <v>3265</v>
      </c>
      <c r="G156" s="381">
        <v>3265</v>
      </c>
      <c r="H156" s="377">
        <f>SUM(F156-G156)</f>
        <v>0</v>
      </c>
      <c r="J156" s="18"/>
      <c r="K156" s="18"/>
      <c r="L156" s="18"/>
      <c r="M156" s="18"/>
      <c r="N156" s="18"/>
      <c r="O156" s="18"/>
    </row>
    <row r="157" spans="1:15" ht="12.75">
      <c r="A157" s="14" t="s">
        <v>5</v>
      </c>
      <c r="B157" s="377">
        <f aca="true" t="shared" si="23" ref="B157:H157">SUM(B154:B156)</f>
        <v>234228.51</v>
      </c>
      <c r="C157" s="377">
        <f t="shared" si="23"/>
        <v>257724.11</v>
      </c>
      <c r="D157" s="377">
        <f t="shared" si="23"/>
        <v>208852.81999999998</v>
      </c>
      <c r="E157" s="377">
        <f t="shared" si="23"/>
        <v>55115</v>
      </c>
      <c r="F157" s="377">
        <f t="shared" si="23"/>
        <v>263967.81999999995</v>
      </c>
      <c r="G157" s="377">
        <f t="shared" si="23"/>
        <v>267061.6666666667</v>
      </c>
      <c r="H157" s="377">
        <f t="shared" si="23"/>
        <v>-3093.84666666669</v>
      </c>
      <c r="J157" s="18"/>
      <c r="K157" s="18"/>
      <c r="L157" s="18"/>
      <c r="M157" s="18"/>
      <c r="N157" s="18"/>
      <c r="O157" s="18"/>
    </row>
    <row r="158" spans="1:15" ht="12.75">
      <c r="A158" s="14" t="s">
        <v>178</v>
      </c>
      <c r="B158" s="381">
        <v>4533.11</v>
      </c>
      <c r="C158" s="381">
        <v>4565.75</v>
      </c>
      <c r="D158" s="284">
        <v>3695.03</v>
      </c>
      <c r="E158" s="286">
        <v>1304.97</v>
      </c>
      <c r="F158" s="377">
        <f aca="true" t="shared" si="24" ref="F158:F163">SUM(D158:E158)</f>
        <v>5000</v>
      </c>
      <c r="G158" s="381">
        <v>5000</v>
      </c>
      <c r="H158" s="377">
        <f aca="true" t="shared" si="25" ref="H158:H163">SUM(F158-G158)</f>
        <v>0</v>
      </c>
      <c r="J158" s="18"/>
      <c r="K158" s="18"/>
      <c r="L158" s="18"/>
      <c r="M158" s="18"/>
      <c r="N158" s="18"/>
      <c r="O158" s="18"/>
    </row>
    <row r="159" spans="1:15" ht="12.75">
      <c r="A159" s="14" t="s">
        <v>179</v>
      </c>
      <c r="B159" s="381">
        <v>8327.823333333334</v>
      </c>
      <c r="C159" s="381">
        <v>9463.58</v>
      </c>
      <c r="D159" s="284">
        <v>574.72</v>
      </c>
      <c r="E159" s="286">
        <v>10091.946666666667</v>
      </c>
      <c r="F159" s="377">
        <f t="shared" si="24"/>
        <v>10666.666666666666</v>
      </c>
      <c r="G159" s="381">
        <v>10666.666666666666</v>
      </c>
      <c r="H159" s="377">
        <f t="shared" si="25"/>
        <v>0</v>
      </c>
      <c r="J159" s="18"/>
      <c r="K159" s="18"/>
      <c r="L159" s="18"/>
      <c r="M159" s="18"/>
      <c r="N159" s="18"/>
      <c r="O159" s="18"/>
    </row>
    <row r="160" spans="1:15" ht="12.75">
      <c r="A160" s="14" t="s">
        <v>173</v>
      </c>
      <c r="B160" s="381">
        <v>586.0366666666666</v>
      </c>
      <c r="C160" s="381">
        <v>1112.81</v>
      </c>
      <c r="D160" s="284">
        <v>1131.7233333333334</v>
      </c>
      <c r="E160" s="286">
        <v>701.61</v>
      </c>
      <c r="F160" s="377">
        <f t="shared" si="24"/>
        <v>1833.3333333333335</v>
      </c>
      <c r="G160" s="381">
        <v>1833.3333333333333</v>
      </c>
      <c r="H160" s="377">
        <f t="shared" si="25"/>
        <v>2.2737367544323206E-13</v>
      </c>
      <c r="J160" s="18"/>
      <c r="K160" s="18"/>
      <c r="L160" s="18"/>
      <c r="M160" s="18"/>
      <c r="N160" s="18"/>
      <c r="O160" s="18"/>
    </row>
    <row r="161" spans="1:15" ht="12.75">
      <c r="A161" s="14" t="s">
        <v>174</v>
      </c>
      <c r="B161" s="381">
        <v>3276.33</v>
      </c>
      <c r="C161" s="381">
        <v>3536.7166666666667</v>
      </c>
      <c r="D161" s="284">
        <v>4565.8533333333335</v>
      </c>
      <c r="E161" s="286">
        <v>367.48</v>
      </c>
      <c r="F161" s="377">
        <f t="shared" si="24"/>
        <v>4933.333333333334</v>
      </c>
      <c r="G161" s="381">
        <v>4933.333333333333</v>
      </c>
      <c r="H161" s="377">
        <f t="shared" si="25"/>
        <v>9.094947017729282E-13</v>
      </c>
      <c r="J161" s="18"/>
      <c r="K161" s="18"/>
      <c r="L161" s="18"/>
      <c r="M161" s="18"/>
      <c r="N161" s="18"/>
      <c r="O161" s="18"/>
    </row>
    <row r="162" spans="1:15" ht="12.75">
      <c r="A162" s="14" t="s">
        <v>175</v>
      </c>
      <c r="B162" s="381">
        <v>1935.0266666666666</v>
      </c>
      <c r="C162" s="381">
        <v>819.2966666666666</v>
      </c>
      <c r="D162" s="284">
        <v>1023.8433333333334</v>
      </c>
      <c r="E162" s="286">
        <v>976.1566666666666</v>
      </c>
      <c r="F162" s="377">
        <f t="shared" si="24"/>
        <v>2000</v>
      </c>
      <c r="G162" s="381">
        <v>2000</v>
      </c>
      <c r="H162" s="377">
        <f t="shared" si="25"/>
        <v>0</v>
      </c>
      <c r="J162" s="18"/>
      <c r="K162" s="18"/>
      <c r="L162" s="18"/>
      <c r="M162" s="18"/>
      <c r="N162" s="18"/>
      <c r="O162" s="18"/>
    </row>
    <row r="163" spans="1:15" ht="12.75">
      <c r="A163" s="16" t="s">
        <v>176</v>
      </c>
      <c r="B163" s="381">
        <v>822.5</v>
      </c>
      <c r="C163" s="381">
        <v>890.6333333333333</v>
      </c>
      <c r="D163" s="284">
        <v>342.8566666666666</v>
      </c>
      <c r="E163" s="286">
        <v>1357.1433333333334</v>
      </c>
      <c r="F163" s="377">
        <f t="shared" si="24"/>
        <v>1700</v>
      </c>
      <c r="G163" s="381">
        <v>1700</v>
      </c>
      <c r="H163" s="379">
        <f t="shared" si="25"/>
        <v>0</v>
      </c>
      <c r="J163" s="18"/>
      <c r="K163" s="18"/>
      <c r="L163" s="18"/>
      <c r="M163" s="18"/>
      <c r="N163" s="18"/>
      <c r="O163" s="18"/>
    </row>
    <row r="164" spans="1:8" ht="13.5" thickBot="1">
      <c r="A164" s="111" t="s">
        <v>7</v>
      </c>
      <c r="B164" s="378">
        <f aca="true" t="shared" si="26" ref="B164:H164">SUM(B157:B163)</f>
        <v>253709.33666666664</v>
      </c>
      <c r="C164" s="378">
        <f t="shared" si="26"/>
        <v>278112.8966666667</v>
      </c>
      <c r="D164" s="378">
        <f t="shared" si="26"/>
        <v>220186.84666666662</v>
      </c>
      <c r="E164" s="378">
        <f t="shared" si="26"/>
        <v>69914.30666666667</v>
      </c>
      <c r="F164" s="378">
        <f t="shared" si="26"/>
        <v>290101.15333333326</v>
      </c>
      <c r="G164" s="378">
        <f t="shared" si="26"/>
        <v>293195</v>
      </c>
      <c r="H164" s="378">
        <f t="shared" si="26"/>
        <v>-3093.846666666689</v>
      </c>
    </row>
    <row r="165" spans="2:11" ht="13.5" thickTop="1">
      <c r="B165" s="37"/>
      <c r="C165" s="37"/>
      <c r="D165" s="37"/>
      <c r="E165" s="37"/>
      <c r="F165" s="37"/>
      <c r="G165" s="37"/>
      <c r="H165" s="37"/>
      <c r="K165" s="14" t="s">
        <v>132</v>
      </c>
    </row>
    <row r="166" spans="1:8" ht="12.75">
      <c r="A166" s="14" t="s">
        <v>417</v>
      </c>
      <c r="B166" s="285"/>
      <c r="C166" s="37"/>
      <c r="D166" s="37"/>
      <c r="E166" s="37"/>
      <c r="F166" s="118" t="str">
        <f>$F$20</f>
        <v>Bi-Weekly PP posted 5/22/09</v>
      </c>
      <c r="G166" s="283">
        <v>9764</v>
      </c>
      <c r="H166" s="37"/>
    </row>
    <row r="167" spans="2:8" ht="12.75">
      <c r="B167" s="37"/>
      <c r="C167" s="37"/>
      <c r="D167" s="37"/>
      <c r="E167" s="37"/>
      <c r="F167" s="37"/>
      <c r="G167" s="37"/>
      <c r="H167" s="37"/>
    </row>
    <row r="168" spans="1:8" ht="12.75">
      <c r="A168" s="113"/>
      <c r="B168" s="37"/>
      <c r="C168" s="37"/>
      <c r="D168" s="37"/>
      <c r="E168" s="37"/>
      <c r="F168" s="37"/>
      <c r="G168" s="37"/>
      <c r="H168" s="37"/>
    </row>
    <row r="169" spans="2:8" ht="12.75">
      <c r="B169" s="37"/>
      <c r="C169" s="37"/>
      <c r="D169" s="37"/>
      <c r="E169" s="37"/>
      <c r="F169" s="37"/>
      <c r="G169" s="37"/>
      <c r="H169" s="37"/>
    </row>
    <row r="170" spans="1:8" ht="15">
      <c r="A170" s="112" t="s">
        <v>398</v>
      </c>
      <c r="F170" s="36"/>
      <c r="H170" s="36"/>
    </row>
    <row r="171" spans="6:8" ht="12.75">
      <c r="F171" s="36"/>
      <c r="H171" s="36"/>
    </row>
    <row r="172" spans="1:8" ht="12.75">
      <c r="A172" s="97"/>
      <c r="B172" s="147" t="str">
        <f>$B$5</f>
        <v>6/30/07</v>
      </c>
      <c r="C172" s="147" t="str">
        <f>$C$5</f>
        <v>6/30/08</v>
      </c>
      <c r="D172" s="147" t="str">
        <f>$D$5</f>
        <v>Year to</v>
      </c>
      <c r="E172" s="147"/>
      <c r="F172" s="147"/>
      <c r="G172" s="147"/>
      <c r="H172" s="208"/>
    </row>
    <row r="173" spans="1:8" ht="12.75">
      <c r="A173" s="102"/>
      <c r="B173" s="95" t="str">
        <f>$B$6</f>
        <v>FY07</v>
      </c>
      <c r="C173" s="95" t="str">
        <f>$C$6</f>
        <v>FY08</v>
      </c>
      <c r="D173" s="95" t="str">
        <f>$D$6</f>
        <v>Date</v>
      </c>
      <c r="E173" s="95" t="str">
        <f>$E$6</f>
        <v>Projected</v>
      </c>
      <c r="F173" s="95" t="str">
        <f>$F$6</f>
        <v>Projected at</v>
      </c>
      <c r="G173" s="95" t="str">
        <f>$G$6</f>
        <v>Approved</v>
      </c>
      <c r="H173" s="209" t="str">
        <f>$H$6</f>
        <v>Variance</v>
      </c>
    </row>
    <row r="174" spans="1:8" ht="12.75">
      <c r="A174" s="104" t="s">
        <v>10</v>
      </c>
      <c r="B174" s="141" t="str">
        <f>$B$7</f>
        <v>Audited</v>
      </c>
      <c r="C174" s="141" t="str">
        <f>$C$7</f>
        <v>Unaudited</v>
      </c>
      <c r="D174" s="216" t="str">
        <f>$D$7</f>
        <v>As of 4/30/09</v>
      </c>
      <c r="E174" s="141" t="str">
        <f>$E$7</f>
        <v>2 months</v>
      </c>
      <c r="F174" s="141" t="str">
        <f>$F$7</f>
        <v>Year End</v>
      </c>
      <c r="G174" s="141" t="str">
        <f>$G$7</f>
        <v>Budget</v>
      </c>
      <c r="H174" s="210" t="str">
        <f>$H$7</f>
        <v>Over/(Under)</v>
      </c>
    </row>
    <row r="175" spans="1:8" ht="12.75">
      <c r="A175" s="60"/>
      <c r="B175" s="110"/>
      <c r="C175" s="110"/>
      <c r="D175" s="110"/>
      <c r="E175" s="95"/>
      <c r="F175" s="95"/>
      <c r="G175" s="95"/>
      <c r="H175" s="95"/>
    </row>
    <row r="176" spans="1:16" ht="12.75">
      <c r="A176" s="14" t="s">
        <v>2</v>
      </c>
      <c r="B176" s="381">
        <v>278398.05</v>
      </c>
      <c r="C176" s="381">
        <v>275886.30333333334</v>
      </c>
      <c r="D176" s="284">
        <v>246537.06333333332</v>
      </c>
      <c r="E176" s="377">
        <v>64820</v>
      </c>
      <c r="F176" s="377">
        <f>SUM(D176:E176)</f>
        <v>311357.06333333335</v>
      </c>
      <c r="G176" s="381">
        <v>309758</v>
      </c>
      <c r="H176" s="377">
        <f>SUM(F176-G176)</f>
        <v>1599.0633333333535</v>
      </c>
      <c r="J176" s="18"/>
      <c r="K176" s="18"/>
      <c r="L176" s="18"/>
      <c r="M176" s="18"/>
      <c r="N176" s="18"/>
      <c r="O176" s="18"/>
      <c r="P176" s="18"/>
    </row>
    <row r="177" spans="1:16" ht="12.75">
      <c r="A177" s="14" t="s">
        <v>3</v>
      </c>
      <c r="B177" s="381">
        <v>6907.166666666667</v>
      </c>
      <c r="C177" s="381">
        <v>11750.436666666666</v>
      </c>
      <c r="D177" s="284">
        <v>3205.4366666666665</v>
      </c>
      <c r="E177" s="284">
        <v>1666.6666666666667</v>
      </c>
      <c r="F177" s="377">
        <f>SUM(D177:E177)</f>
        <v>4872.1033333333335</v>
      </c>
      <c r="G177" s="381">
        <v>8333.333333333334</v>
      </c>
      <c r="H177" s="377">
        <f>SUM(F177-G177)</f>
        <v>-3461.2300000000005</v>
      </c>
      <c r="J177" s="18"/>
      <c r="K177" s="18"/>
      <c r="L177" s="18"/>
      <c r="M177" s="18"/>
      <c r="N177" s="18"/>
      <c r="O177" s="18"/>
      <c r="P177" s="18"/>
    </row>
    <row r="178" spans="1:16" ht="12.75">
      <c r="A178" s="14" t="s">
        <v>4</v>
      </c>
      <c r="B178" s="381">
        <v>1356.6666666666667</v>
      </c>
      <c r="C178" s="381">
        <v>1188.3333333333333</v>
      </c>
      <c r="D178" s="284">
        <v>1188.3333333333333</v>
      </c>
      <c r="E178" s="284">
        <v>0</v>
      </c>
      <c r="F178" s="377">
        <f>SUM(D178:E178)</f>
        <v>1188.3333333333333</v>
      </c>
      <c r="G178" s="381">
        <v>1341.6666666666667</v>
      </c>
      <c r="H178" s="377">
        <f>SUM(F178-G178)</f>
        <v>-153.33333333333348</v>
      </c>
      <c r="J178" s="18"/>
      <c r="K178" s="18"/>
      <c r="L178" s="18"/>
      <c r="M178" s="18"/>
      <c r="N178" s="18"/>
      <c r="O178" s="18"/>
      <c r="P178" s="18"/>
    </row>
    <row r="179" spans="1:16" ht="12.75">
      <c r="A179" s="14" t="s">
        <v>5</v>
      </c>
      <c r="B179" s="377">
        <f aca="true" t="shared" si="27" ref="B179:H179">SUM(B176:B178)</f>
        <v>286661.88333333336</v>
      </c>
      <c r="C179" s="377">
        <f t="shared" si="27"/>
        <v>288825.0733333333</v>
      </c>
      <c r="D179" s="377">
        <f t="shared" si="27"/>
        <v>250930.83333333334</v>
      </c>
      <c r="E179" s="377">
        <f t="shared" si="27"/>
        <v>66486.66666666667</v>
      </c>
      <c r="F179" s="377">
        <f t="shared" si="27"/>
        <v>317417.5</v>
      </c>
      <c r="G179" s="380">
        <f>SUM(G176:G178)</f>
        <v>319433</v>
      </c>
      <c r="H179" s="377">
        <f t="shared" si="27"/>
        <v>-2015.4999999999804</v>
      </c>
      <c r="J179" s="18"/>
      <c r="K179" s="18"/>
      <c r="L179" s="18"/>
      <c r="M179" s="18"/>
      <c r="N179" s="18"/>
      <c r="O179" s="18"/>
      <c r="P179" s="18"/>
    </row>
    <row r="180" spans="1:16" ht="12.75">
      <c r="A180" s="14" t="s">
        <v>179</v>
      </c>
      <c r="B180" s="381">
        <v>17477.29</v>
      </c>
      <c r="C180" s="381">
        <v>10063.87</v>
      </c>
      <c r="D180" s="284">
        <v>12566.596666666666</v>
      </c>
      <c r="E180" s="284">
        <v>24283.403333333332</v>
      </c>
      <c r="F180" s="377">
        <f aca="true" t="shared" si="28" ref="F180:F185">SUM(D180:E180)</f>
        <v>36850</v>
      </c>
      <c r="G180" s="381">
        <v>36850</v>
      </c>
      <c r="H180" s="377">
        <f aca="true" t="shared" si="29" ref="H180:H185">SUM(F180-G180)</f>
        <v>0</v>
      </c>
      <c r="J180" s="18"/>
      <c r="K180" s="18"/>
      <c r="L180" s="18"/>
      <c r="M180" s="18"/>
      <c r="N180" s="18"/>
      <c r="O180" s="18"/>
      <c r="P180" s="18"/>
    </row>
    <row r="181" spans="1:16" ht="12.75">
      <c r="A181" s="14" t="s">
        <v>173</v>
      </c>
      <c r="B181" s="381">
        <v>12231.476666666667</v>
      </c>
      <c r="C181" s="381">
        <v>12299.073333333334</v>
      </c>
      <c r="D181" s="284">
        <v>14561.256666666666</v>
      </c>
      <c r="E181" s="284">
        <v>8572.076666666668</v>
      </c>
      <c r="F181" s="377">
        <f t="shared" si="28"/>
        <v>23133.333333333336</v>
      </c>
      <c r="G181" s="381">
        <v>23133.333333333332</v>
      </c>
      <c r="H181" s="377">
        <f t="shared" si="29"/>
        <v>3.637978807091713E-12</v>
      </c>
      <c r="J181" s="18"/>
      <c r="K181" s="18"/>
      <c r="L181" s="18"/>
      <c r="M181" s="18"/>
      <c r="N181" s="18"/>
      <c r="O181" s="18"/>
      <c r="P181" s="18"/>
    </row>
    <row r="182" spans="1:16" ht="12.75">
      <c r="A182" s="14" t="s">
        <v>174</v>
      </c>
      <c r="B182" s="381">
        <v>36229.91</v>
      </c>
      <c r="C182" s="381">
        <v>32693.273333333334</v>
      </c>
      <c r="D182" s="284">
        <v>24648.536666666667</v>
      </c>
      <c r="E182" s="284">
        <v>24184.796666666665</v>
      </c>
      <c r="F182" s="377">
        <f t="shared" si="28"/>
        <v>48833.33333333333</v>
      </c>
      <c r="G182" s="381">
        <v>48833.333333333336</v>
      </c>
      <c r="H182" s="377">
        <f t="shared" si="29"/>
        <v>-7.275957614183426E-12</v>
      </c>
      <c r="J182" s="18"/>
      <c r="K182" s="18"/>
      <c r="L182" s="18"/>
      <c r="M182" s="18"/>
      <c r="N182" s="18"/>
      <c r="O182" s="18"/>
      <c r="P182" s="18"/>
    </row>
    <row r="183" spans="1:16" ht="12.75">
      <c r="A183" s="14" t="s">
        <v>175</v>
      </c>
      <c r="B183" s="381">
        <v>3116.2</v>
      </c>
      <c r="C183" s="381">
        <v>1576.02</v>
      </c>
      <c r="D183" s="284">
        <v>885.3</v>
      </c>
      <c r="E183" s="284">
        <v>2014.7</v>
      </c>
      <c r="F183" s="377">
        <f t="shared" si="28"/>
        <v>2900</v>
      </c>
      <c r="G183" s="381">
        <v>2900</v>
      </c>
      <c r="H183" s="377">
        <f t="shared" si="29"/>
        <v>0</v>
      </c>
      <c r="J183" s="18"/>
      <c r="K183" s="18"/>
      <c r="L183" s="18"/>
      <c r="M183" s="18"/>
      <c r="N183" s="18"/>
      <c r="O183" s="18"/>
      <c r="P183" s="18"/>
    </row>
    <row r="184" spans="1:16" ht="12.75">
      <c r="A184" s="14" t="s">
        <v>177</v>
      </c>
      <c r="B184" s="381">
        <v>1896.3166666666666</v>
      </c>
      <c r="C184" s="381">
        <v>592.61</v>
      </c>
      <c r="D184" s="284">
        <v>408.3333333333333</v>
      </c>
      <c r="E184" s="284">
        <v>825</v>
      </c>
      <c r="F184" s="377">
        <f t="shared" si="28"/>
        <v>1233.3333333333333</v>
      </c>
      <c r="G184" s="381">
        <v>1233.3333333333333</v>
      </c>
      <c r="H184" s="377">
        <f t="shared" si="29"/>
        <v>0</v>
      </c>
      <c r="J184" s="18"/>
      <c r="K184" s="18"/>
      <c r="L184" s="18"/>
      <c r="M184" s="18"/>
      <c r="N184" s="18"/>
      <c r="O184" s="18"/>
      <c r="P184" s="18"/>
    </row>
    <row r="185" spans="1:16" ht="12.75">
      <c r="A185" s="16" t="s">
        <v>176</v>
      </c>
      <c r="B185" s="381">
        <v>372.6666666666667</v>
      </c>
      <c r="C185" s="381">
        <v>437</v>
      </c>
      <c r="D185" s="284">
        <v>199.66666666666666</v>
      </c>
      <c r="E185" s="284">
        <v>280.3333333333333</v>
      </c>
      <c r="F185" s="377">
        <f t="shared" si="28"/>
        <v>480</v>
      </c>
      <c r="G185" s="381">
        <v>480</v>
      </c>
      <c r="H185" s="377">
        <f t="shared" si="29"/>
        <v>0</v>
      </c>
      <c r="J185" s="18"/>
      <c r="K185" s="18"/>
      <c r="L185" s="18"/>
      <c r="M185" s="18"/>
      <c r="N185" s="18"/>
      <c r="O185" s="18"/>
      <c r="P185" s="18"/>
    </row>
    <row r="186" spans="1:8" ht="13.5" thickBot="1">
      <c r="A186" s="111" t="s">
        <v>7</v>
      </c>
      <c r="B186" s="378">
        <f aca="true" t="shared" si="30" ref="B186:H186">SUM(B179:B185)</f>
        <v>357985.7433333334</v>
      </c>
      <c r="C186" s="378">
        <f t="shared" si="30"/>
        <v>346486.9199999999</v>
      </c>
      <c r="D186" s="378">
        <f t="shared" si="30"/>
        <v>304200.5233333333</v>
      </c>
      <c r="E186" s="378">
        <f t="shared" si="30"/>
        <v>126646.97666666665</v>
      </c>
      <c r="F186" s="378">
        <f t="shared" si="30"/>
        <v>430847.49999999994</v>
      </c>
      <c r="G186" s="378">
        <f t="shared" si="30"/>
        <v>432862.99999999994</v>
      </c>
      <c r="H186" s="378">
        <f t="shared" si="30"/>
        <v>-2015.499999999984</v>
      </c>
    </row>
    <row r="187" spans="1:8" ht="13.5" thickTop="1">
      <c r="A187" s="79"/>
      <c r="B187" s="37"/>
      <c r="C187" s="37"/>
      <c r="D187" s="37"/>
      <c r="E187" s="37"/>
      <c r="F187" s="37"/>
      <c r="G187" s="37"/>
      <c r="H187" s="37"/>
    </row>
    <row r="188" spans="1:8" ht="12.75">
      <c r="A188" s="14" t="s">
        <v>339</v>
      </c>
      <c r="B188" s="285"/>
      <c r="C188" s="37"/>
      <c r="D188" s="37"/>
      <c r="E188" s="37"/>
      <c r="F188" s="118" t="str">
        <f>$F$20</f>
        <v>Bi-Weekly PP posted 5/22/09</v>
      </c>
      <c r="G188" s="283">
        <v>11964</v>
      </c>
      <c r="H188" s="37"/>
    </row>
    <row r="189" spans="1:8" ht="12.75">
      <c r="A189" s="113" t="s">
        <v>479</v>
      </c>
      <c r="B189" s="285"/>
      <c r="C189" s="37"/>
      <c r="D189" s="37"/>
      <c r="E189" s="37"/>
      <c r="F189" s="37"/>
      <c r="G189" s="37"/>
      <c r="H189" s="37"/>
    </row>
    <row r="190" spans="1:8" ht="12.75">
      <c r="A190" s="113"/>
      <c r="B190" s="37"/>
      <c r="C190" s="37"/>
      <c r="D190" s="37"/>
      <c r="E190" s="37"/>
      <c r="F190" s="37"/>
      <c r="G190" s="37"/>
      <c r="H190" s="37"/>
    </row>
    <row r="191" spans="1:8" ht="12.75">
      <c r="A191" s="113"/>
      <c r="B191" s="37"/>
      <c r="C191" s="37"/>
      <c r="D191" s="37"/>
      <c r="E191" s="37"/>
      <c r="F191" s="37"/>
      <c r="G191" s="37"/>
      <c r="H191" s="37"/>
    </row>
    <row r="192" spans="1:8" ht="15">
      <c r="A192" s="112" t="s">
        <v>255</v>
      </c>
      <c r="F192" s="36"/>
      <c r="H192" s="36"/>
    </row>
    <row r="193" spans="6:8" ht="12.75">
      <c r="F193" s="36"/>
      <c r="H193" s="36"/>
    </row>
    <row r="194" spans="1:8" ht="12.75">
      <c r="A194" s="97"/>
      <c r="B194" s="147" t="str">
        <f>$B$5</f>
        <v>6/30/07</v>
      </c>
      <c r="C194" s="147" t="str">
        <f>$C$5</f>
        <v>6/30/08</v>
      </c>
      <c r="D194" s="147" t="str">
        <f>$D$5</f>
        <v>Year to</v>
      </c>
      <c r="E194" s="147"/>
      <c r="F194" s="147"/>
      <c r="G194" s="147"/>
      <c r="H194" s="208"/>
    </row>
    <row r="195" spans="1:8" ht="12.75">
      <c r="A195" s="102"/>
      <c r="B195" s="95" t="str">
        <f>$B$6</f>
        <v>FY07</v>
      </c>
      <c r="C195" s="95" t="str">
        <f>$C$6</f>
        <v>FY08</v>
      </c>
      <c r="D195" s="95" t="str">
        <f>$D$6</f>
        <v>Date</v>
      </c>
      <c r="E195" s="95" t="str">
        <f>$E$6</f>
        <v>Projected</v>
      </c>
      <c r="F195" s="95" t="str">
        <f>$F$6</f>
        <v>Projected at</v>
      </c>
      <c r="G195" s="95" t="str">
        <f>$G$6</f>
        <v>Approved</v>
      </c>
      <c r="H195" s="209" t="str">
        <f>$H$6</f>
        <v>Variance</v>
      </c>
    </row>
    <row r="196" spans="1:8" ht="12.75">
      <c r="A196" s="104" t="s">
        <v>10</v>
      </c>
      <c r="B196" s="141" t="str">
        <f>$B$7</f>
        <v>Audited</v>
      </c>
      <c r="C196" s="141" t="str">
        <f>$C$7</f>
        <v>Unaudited</v>
      </c>
      <c r="D196" s="216" t="str">
        <f>$D$7</f>
        <v>As of 4/30/09</v>
      </c>
      <c r="E196" s="141" t="str">
        <f>$E$7</f>
        <v>2 months</v>
      </c>
      <c r="F196" s="141" t="str">
        <f>$F$7</f>
        <v>Year End</v>
      </c>
      <c r="G196" s="141" t="str">
        <f>$G$7</f>
        <v>Budget</v>
      </c>
      <c r="H196" s="210" t="str">
        <f>$H$7</f>
        <v>Over/(Under)</v>
      </c>
    </row>
    <row r="197" spans="1:8" ht="12.75">
      <c r="A197" s="60"/>
      <c r="B197" s="110"/>
      <c r="C197" s="110"/>
      <c r="D197" s="110"/>
      <c r="E197" s="95"/>
      <c r="F197" s="95"/>
      <c r="G197" s="95"/>
      <c r="H197" s="95"/>
    </row>
    <row r="198" spans="1:8" ht="12.75">
      <c r="A198" s="14" t="s">
        <v>2</v>
      </c>
      <c r="B198" s="381">
        <v>59390.85333333333</v>
      </c>
      <c r="C198" s="381">
        <v>66357.90666666666</v>
      </c>
      <c r="D198" s="284">
        <v>55298.28</v>
      </c>
      <c r="E198" s="377">
        <f>G208*'Schedule 1 Summary'!D15+1100</f>
        <v>14405</v>
      </c>
      <c r="F198" s="377">
        <f>SUM(D198:E198)</f>
        <v>69703.28</v>
      </c>
      <c r="G198" s="381">
        <v>69482.66666666667</v>
      </c>
      <c r="H198" s="377">
        <f>SUM(F198-G198)</f>
        <v>220.61333333332732</v>
      </c>
    </row>
    <row r="199" spans="1:8" ht="12.75">
      <c r="A199" s="14" t="s">
        <v>3</v>
      </c>
      <c r="B199" s="381">
        <v>67.74666666666667</v>
      </c>
      <c r="C199" s="381">
        <v>41.666666666666664</v>
      </c>
      <c r="D199" s="284">
        <v>0</v>
      </c>
      <c r="E199" s="272">
        <v>0</v>
      </c>
      <c r="F199" s="377">
        <f>SUM(D199:E199)</f>
        <v>0</v>
      </c>
      <c r="G199" s="381">
        <v>333.3333333333333</v>
      </c>
      <c r="H199" s="377">
        <f>SUM(F199-G199)</f>
        <v>-333.3333333333333</v>
      </c>
    </row>
    <row r="200" spans="1:8" ht="12.75">
      <c r="A200" s="14" t="s">
        <v>4</v>
      </c>
      <c r="B200" s="381">
        <v>168.33333333333334</v>
      </c>
      <c r="C200" s="381">
        <v>168.33333333333334</v>
      </c>
      <c r="D200" s="284">
        <v>168.33333333333334</v>
      </c>
      <c r="E200" s="272">
        <v>0</v>
      </c>
      <c r="F200" s="377">
        <f>SUM(D200:E200)</f>
        <v>168.33333333333334</v>
      </c>
      <c r="G200" s="381">
        <v>168.33333333333334</v>
      </c>
      <c r="H200" s="377">
        <f>SUM(F200-G200)</f>
        <v>0</v>
      </c>
    </row>
    <row r="201" spans="1:15" ht="12.75">
      <c r="A201" s="14" t="s">
        <v>5</v>
      </c>
      <c r="B201" s="377">
        <f aca="true" t="shared" si="31" ref="B201:H201">SUM(B198:B200)</f>
        <v>59626.933333333334</v>
      </c>
      <c r="C201" s="377">
        <f t="shared" si="31"/>
        <v>66567.90666666666</v>
      </c>
      <c r="D201" s="377">
        <f t="shared" si="31"/>
        <v>55466.613333333335</v>
      </c>
      <c r="E201" s="377">
        <f t="shared" si="31"/>
        <v>14405</v>
      </c>
      <c r="F201" s="377">
        <f t="shared" si="31"/>
        <v>69871.61333333333</v>
      </c>
      <c r="G201" s="377">
        <f t="shared" si="31"/>
        <v>69984.33333333333</v>
      </c>
      <c r="H201" s="377">
        <f t="shared" si="31"/>
        <v>-112.720000000006</v>
      </c>
      <c r="J201" s="18"/>
      <c r="K201" s="18"/>
      <c r="L201" s="18"/>
      <c r="M201" s="18"/>
      <c r="N201" s="18"/>
      <c r="O201" s="18"/>
    </row>
    <row r="202" spans="1:15" ht="12.75">
      <c r="A202" s="14" t="s">
        <v>173</v>
      </c>
      <c r="B202" s="381">
        <v>331.5133333333333</v>
      </c>
      <c r="C202" s="381">
        <v>326.6666666666667</v>
      </c>
      <c r="D202" s="284">
        <v>717.5466666666666</v>
      </c>
      <c r="E202" s="284">
        <v>82.45333333333338</v>
      </c>
      <c r="F202" s="377">
        <f>SUM(D202:E202)</f>
        <v>800</v>
      </c>
      <c r="G202" s="381">
        <v>800</v>
      </c>
      <c r="H202" s="377">
        <f>SUM(F202-G202)</f>
        <v>0</v>
      </c>
      <c r="J202" s="18"/>
      <c r="K202" s="18"/>
      <c r="L202" s="18"/>
      <c r="M202" s="18"/>
      <c r="N202" s="18"/>
      <c r="O202" s="18"/>
    </row>
    <row r="203" spans="1:15" ht="12.75">
      <c r="A203" s="14" t="s">
        <v>174</v>
      </c>
      <c r="B203" s="381">
        <v>5091.1033333333335</v>
      </c>
      <c r="C203" s="381">
        <v>6223.37</v>
      </c>
      <c r="D203" s="284">
        <v>4569.52</v>
      </c>
      <c r="E203" s="284">
        <v>930.48</v>
      </c>
      <c r="F203" s="377">
        <f>SUM(D203:E203)</f>
        <v>5500</v>
      </c>
      <c r="G203" s="381">
        <v>5500</v>
      </c>
      <c r="H203" s="377">
        <f>SUM(F203-G203)</f>
        <v>0</v>
      </c>
      <c r="J203" s="18"/>
      <c r="K203" s="18"/>
      <c r="L203" s="18"/>
      <c r="M203" s="18"/>
      <c r="N203" s="18"/>
      <c r="O203" s="18"/>
    </row>
    <row r="204" spans="1:15" ht="12.75">
      <c r="A204" s="14" t="s">
        <v>175</v>
      </c>
      <c r="B204" s="381">
        <v>389.33</v>
      </c>
      <c r="C204" s="381">
        <v>398.8566666666666</v>
      </c>
      <c r="D204" s="284">
        <v>399.28</v>
      </c>
      <c r="E204" s="284">
        <v>0.7200000000000273</v>
      </c>
      <c r="F204" s="377">
        <f>SUM(D204:E204)</f>
        <v>400</v>
      </c>
      <c r="G204" s="381">
        <v>400</v>
      </c>
      <c r="H204" s="377">
        <f>SUM(F204-G204)</f>
        <v>0</v>
      </c>
      <c r="J204" s="18"/>
      <c r="K204" s="18"/>
      <c r="L204" s="18"/>
      <c r="M204" s="18"/>
      <c r="N204" s="18"/>
      <c r="O204" s="18"/>
    </row>
    <row r="205" spans="1:15" ht="12.75">
      <c r="A205" s="14" t="s">
        <v>180</v>
      </c>
      <c r="B205" s="381">
        <v>615</v>
      </c>
      <c r="C205" s="381">
        <v>561.4766666666667</v>
      </c>
      <c r="D205" s="284">
        <v>33.333333333333336</v>
      </c>
      <c r="E205" s="284">
        <v>800</v>
      </c>
      <c r="F205" s="377">
        <f>SUM(D205:E205)</f>
        <v>833.3333333333334</v>
      </c>
      <c r="G205" s="381">
        <v>833.3333333333334</v>
      </c>
      <c r="H205" s="377">
        <f>SUM(F205-G205)</f>
        <v>0</v>
      </c>
      <c r="J205" s="18"/>
      <c r="K205" s="18"/>
      <c r="L205" s="18"/>
      <c r="M205" s="18"/>
      <c r="N205" s="18"/>
      <c r="O205" s="18"/>
    </row>
    <row r="206" spans="1:15" ht="13.5" thickBot="1">
      <c r="A206" s="111" t="s">
        <v>7</v>
      </c>
      <c r="B206" s="378">
        <f aca="true" t="shared" si="32" ref="B206:H206">SUM(B201:B205)</f>
        <v>66053.88</v>
      </c>
      <c r="C206" s="378">
        <f t="shared" si="32"/>
        <v>74078.27666666667</v>
      </c>
      <c r="D206" s="378">
        <f t="shared" si="32"/>
        <v>61186.29333333334</v>
      </c>
      <c r="E206" s="378">
        <f t="shared" si="32"/>
        <v>16218.653333333332</v>
      </c>
      <c r="F206" s="378">
        <f t="shared" si="32"/>
        <v>77404.94666666666</v>
      </c>
      <c r="G206" s="378">
        <f t="shared" si="32"/>
        <v>77517.66666666666</v>
      </c>
      <c r="H206" s="378">
        <f t="shared" si="32"/>
        <v>-112.720000000006</v>
      </c>
      <c r="J206" s="18"/>
      <c r="K206" s="18"/>
      <c r="L206" s="18"/>
      <c r="M206" s="18"/>
      <c r="N206" s="18"/>
      <c r="O206" s="18"/>
    </row>
    <row r="207" spans="6:15" ht="13.5" thickTop="1">
      <c r="F207" s="36"/>
      <c r="H207" s="36"/>
      <c r="J207" s="18"/>
      <c r="K207" s="18"/>
      <c r="L207" s="18"/>
      <c r="M207" s="18"/>
      <c r="N207" s="18"/>
      <c r="O207" s="18"/>
    </row>
    <row r="208" spans="1:15" ht="12.75">
      <c r="A208" s="113"/>
      <c r="F208" s="118" t="str">
        <f>$F$20</f>
        <v>Bi-Weekly PP posted 5/22/09</v>
      </c>
      <c r="G208" s="283">
        <v>2661</v>
      </c>
      <c r="H208" s="36"/>
      <c r="J208" s="18"/>
      <c r="K208" s="18"/>
      <c r="L208" s="18"/>
      <c r="M208" s="18"/>
      <c r="N208" s="18"/>
      <c r="O208" s="18"/>
    </row>
    <row r="209" spans="1:8" ht="12.75">
      <c r="A209" s="14" t="s">
        <v>418</v>
      </c>
      <c r="B209" s="272"/>
      <c r="F209" s="36"/>
      <c r="H209" s="36"/>
    </row>
    <row r="210" spans="6:8" ht="12.75">
      <c r="F210" s="36"/>
      <c r="H210" s="36"/>
    </row>
    <row r="211" spans="2:8" ht="12.75">
      <c r="B211" s="14"/>
      <c r="C211" s="14"/>
      <c r="D211" s="14"/>
      <c r="E211" s="14"/>
      <c r="F211" s="14"/>
      <c r="G211" s="14"/>
      <c r="H211" s="14"/>
    </row>
    <row r="212" spans="6:8" ht="12.75">
      <c r="F212" s="36"/>
      <c r="H212" s="36"/>
    </row>
    <row r="213" spans="1:8" ht="15">
      <c r="A213" s="112" t="s">
        <v>521</v>
      </c>
      <c r="F213" s="36"/>
      <c r="H213" s="36"/>
    </row>
    <row r="214" spans="1:8" ht="12.75">
      <c r="A214" s="2"/>
      <c r="F214" s="36"/>
      <c r="H214" s="36"/>
    </row>
    <row r="215" spans="1:8" ht="12.75">
      <c r="A215" s="97"/>
      <c r="B215" s="147" t="str">
        <f>$B$5</f>
        <v>6/30/07</v>
      </c>
      <c r="C215" s="147" t="str">
        <f>$C$5</f>
        <v>6/30/08</v>
      </c>
      <c r="D215" s="147" t="str">
        <f>$D$5</f>
        <v>Year to</v>
      </c>
      <c r="E215" s="147"/>
      <c r="F215" s="147"/>
      <c r="G215" s="147"/>
      <c r="H215" s="208"/>
    </row>
    <row r="216" spans="1:8" ht="12.75">
      <c r="A216" s="102"/>
      <c r="B216" s="95" t="str">
        <f>$B$6</f>
        <v>FY07</v>
      </c>
      <c r="C216" s="95" t="str">
        <f>$C$6</f>
        <v>FY08</v>
      </c>
      <c r="D216" s="95" t="str">
        <f>$D$6</f>
        <v>Date</v>
      </c>
      <c r="E216" s="95" t="str">
        <f>$E$6</f>
        <v>Projected</v>
      </c>
      <c r="F216" s="95" t="str">
        <f>$F$6</f>
        <v>Projected at</v>
      </c>
      <c r="G216" s="95" t="str">
        <f>$G$6</f>
        <v>Approved</v>
      </c>
      <c r="H216" s="209" t="str">
        <f>$H$6</f>
        <v>Variance</v>
      </c>
    </row>
    <row r="217" spans="1:8" ht="12.75">
      <c r="A217" s="104" t="s">
        <v>10</v>
      </c>
      <c r="B217" s="141" t="str">
        <f>$B$7</f>
        <v>Audited</v>
      </c>
      <c r="C217" s="141" t="str">
        <f>$C$7</f>
        <v>Unaudited</v>
      </c>
      <c r="D217" s="216" t="str">
        <f>$D$7</f>
        <v>As of 4/30/09</v>
      </c>
      <c r="E217" s="141" t="str">
        <f>$E$7</f>
        <v>2 months</v>
      </c>
      <c r="F217" s="141" t="str">
        <f>$F$7</f>
        <v>Year End</v>
      </c>
      <c r="G217" s="141" t="str">
        <f>$G$7</f>
        <v>Budget</v>
      </c>
      <c r="H217" s="210" t="str">
        <f>$H$7</f>
        <v>Over/(Under)</v>
      </c>
    </row>
    <row r="218" spans="1:8" ht="12.75">
      <c r="A218" s="60"/>
      <c r="B218" s="110"/>
      <c r="C218" s="110"/>
      <c r="D218" s="110"/>
      <c r="E218" s="95"/>
      <c r="F218" s="95"/>
      <c r="G218" s="95"/>
      <c r="H218" s="95"/>
    </row>
    <row r="219" spans="1:13" ht="12.75">
      <c r="A219" s="14" t="s">
        <v>2</v>
      </c>
      <c r="B219" s="372">
        <v>56469</v>
      </c>
      <c r="C219" s="372">
        <v>52843</v>
      </c>
      <c r="D219" s="272">
        <v>43868</v>
      </c>
      <c r="E219" s="377">
        <f>G228*'Schedule 1 Summary'!D15+900</f>
        <v>11495</v>
      </c>
      <c r="F219" s="377">
        <f>SUM(D219:E219)</f>
        <v>55363</v>
      </c>
      <c r="G219" s="372">
        <v>56232</v>
      </c>
      <c r="H219" s="377">
        <f aca="true" t="shared" si="33" ref="H219:H225">SUM(F219-G219)</f>
        <v>-869</v>
      </c>
      <c r="K219" s="18"/>
      <c r="L219" s="18"/>
      <c r="M219" s="18"/>
    </row>
    <row r="220" spans="1:8" ht="12.75">
      <c r="A220" s="14" t="s">
        <v>3</v>
      </c>
      <c r="B220" s="372">
        <v>0</v>
      </c>
      <c r="C220" s="372">
        <v>0</v>
      </c>
      <c r="D220" s="272">
        <v>0</v>
      </c>
      <c r="E220" s="272">
        <v>0</v>
      </c>
      <c r="F220" s="377">
        <f aca="true" t="shared" si="34" ref="F220:F225">SUM(D220:E220)</f>
        <v>0</v>
      </c>
      <c r="G220" s="372">
        <v>0</v>
      </c>
      <c r="H220" s="377">
        <f t="shared" si="33"/>
        <v>0</v>
      </c>
    </row>
    <row r="221" spans="1:8" ht="12.75">
      <c r="A221" s="14" t="s">
        <v>4</v>
      </c>
      <c r="B221" s="372">
        <v>155</v>
      </c>
      <c r="C221" s="372">
        <v>0</v>
      </c>
      <c r="D221" s="272">
        <v>0</v>
      </c>
      <c r="E221" s="272">
        <v>0</v>
      </c>
      <c r="F221" s="377">
        <f t="shared" si="34"/>
        <v>0</v>
      </c>
      <c r="G221" s="372">
        <v>0</v>
      </c>
      <c r="H221" s="377">
        <f t="shared" si="33"/>
        <v>0</v>
      </c>
    </row>
    <row r="222" spans="1:8" ht="12.75">
      <c r="A222" s="14" t="s">
        <v>5</v>
      </c>
      <c r="B222" s="377">
        <f aca="true" t="shared" si="35" ref="B222:H222">SUM(B219:B221)</f>
        <v>56624</v>
      </c>
      <c r="C222" s="377">
        <f t="shared" si="35"/>
        <v>52843</v>
      </c>
      <c r="D222" s="377">
        <f t="shared" si="35"/>
        <v>43868</v>
      </c>
      <c r="E222" s="377">
        <f t="shared" si="35"/>
        <v>11495</v>
      </c>
      <c r="F222" s="377">
        <f t="shared" si="35"/>
        <v>55363</v>
      </c>
      <c r="G222" s="377">
        <f t="shared" si="35"/>
        <v>56232</v>
      </c>
      <c r="H222" s="377">
        <f t="shared" si="35"/>
        <v>-869</v>
      </c>
    </row>
    <row r="223" spans="1:8" ht="12.75">
      <c r="A223" s="14" t="s">
        <v>174</v>
      </c>
      <c r="B223" s="372">
        <v>682</v>
      </c>
      <c r="C223" s="372">
        <v>1155</v>
      </c>
      <c r="D223" s="272">
        <v>830</v>
      </c>
      <c r="E223" s="272">
        <v>3</v>
      </c>
      <c r="F223" s="377">
        <f t="shared" si="34"/>
        <v>833</v>
      </c>
      <c r="G223" s="372">
        <v>833</v>
      </c>
      <c r="H223" s="377">
        <f t="shared" si="33"/>
        <v>0</v>
      </c>
    </row>
    <row r="224" spans="1:8" ht="12.75">
      <c r="A224" s="14" t="s">
        <v>175</v>
      </c>
      <c r="B224" s="372">
        <v>306</v>
      </c>
      <c r="C224" s="372">
        <v>279</v>
      </c>
      <c r="D224" s="272">
        <v>90</v>
      </c>
      <c r="E224" s="272">
        <v>242</v>
      </c>
      <c r="F224" s="377">
        <f t="shared" si="34"/>
        <v>332</v>
      </c>
      <c r="G224" s="372">
        <v>332</v>
      </c>
      <c r="H224" s="377">
        <f t="shared" si="33"/>
        <v>0</v>
      </c>
    </row>
    <row r="225" spans="1:8" ht="12.75">
      <c r="A225" s="79" t="s">
        <v>176</v>
      </c>
      <c r="B225" s="372">
        <v>86</v>
      </c>
      <c r="C225" s="372">
        <v>0</v>
      </c>
      <c r="D225" s="36">
        <v>120</v>
      </c>
      <c r="E225" s="36">
        <v>47</v>
      </c>
      <c r="F225" s="377">
        <f t="shared" si="34"/>
        <v>167</v>
      </c>
      <c r="G225" s="372">
        <v>167</v>
      </c>
      <c r="H225" s="377">
        <f t="shared" si="33"/>
        <v>0</v>
      </c>
    </row>
    <row r="226" spans="1:8" ht="13.5" thickBot="1">
      <c r="A226" s="111" t="s">
        <v>7</v>
      </c>
      <c r="B226" s="378">
        <f aca="true" t="shared" si="36" ref="B226:H226">SUM(B222:B225)</f>
        <v>57698</v>
      </c>
      <c r="C226" s="378">
        <f t="shared" si="36"/>
        <v>54277</v>
      </c>
      <c r="D226" s="378">
        <f t="shared" si="36"/>
        <v>44908</v>
      </c>
      <c r="E226" s="378">
        <f t="shared" si="36"/>
        <v>11787</v>
      </c>
      <c r="F226" s="378">
        <f t="shared" si="36"/>
        <v>56695</v>
      </c>
      <c r="G226" s="378">
        <f t="shared" si="36"/>
        <v>57564</v>
      </c>
      <c r="H226" s="378">
        <f t="shared" si="36"/>
        <v>-869</v>
      </c>
    </row>
    <row r="227" spans="6:8" ht="13.5" thickTop="1">
      <c r="F227" s="36"/>
      <c r="H227" s="36"/>
    </row>
    <row r="228" spans="1:8" ht="12.75">
      <c r="A228" s="14" t="s">
        <v>419</v>
      </c>
      <c r="B228" s="272"/>
      <c r="F228" s="118" t="str">
        <f>$F$20</f>
        <v>Bi-Weekly PP posted 5/22/09</v>
      </c>
      <c r="G228" s="283">
        <v>2119</v>
      </c>
      <c r="H228" s="36"/>
    </row>
    <row r="229" spans="1:8" ht="12.75">
      <c r="A229" s="113" t="s">
        <v>479</v>
      </c>
      <c r="B229" s="272"/>
      <c r="F229" s="36"/>
      <c r="H229" s="36"/>
    </row>
    <row r="230" spans="6:8" ht="12.75">
      <c r="F230" s="36"/>
      <c r="H230" s="36"/>
    </row>
    <row r="231" spans="6:8" ht="12.75">
      <c r="F231" s="36"/>
      <c r="H231" s="36"/>
    </row>
    <row r="232" spans="6:8" ht="12.75">
      <c r="F232" s="36"/>
      <c r="H232" s="36"/>
    </row>
    <row r="233" spans="1:8" ht="15">
      <c r="A233" s="112" t="s">
        <v>256</v>
      </c>
      <c r="F233" s="36"/>
      <c r="H233" s="36"/>
    </row>
    <row r="234" spans="6:8" ht="12.75">
      <c r="F234" s="36"/>
      <c r="H234" s="36"/>
    </row>
    <row r="235" spans="1:8" ht="12.75">
      <c r="A235" s="97"/>
      <c r="B235" s="147" t="str">
        <f>$B$5</f>
        <v>6/30/07</v>
      </c>
      <c r="C235" s="147" t="str">
        <f>$C$5</f>
        <v>6/30/08</v>
      </c>
      <c r="D235" s="147" t="str">
        <f>$D$5</f>
        <v>Year to</v>
      </c>
      <c r="E235" s="147"/>
      <c r="F235" s="147"/>
      <c r="G235" s="147"/>
      <c r="H235" s="208"/>
    </row>
    <row r="236" spans="1:8" ht="12.75">
      <c r="A236" s="102"/>
      <c r="B236" s="95" t="str">
        <f>$B$6</f>
        <v>FY07</v>
      </c>
      <c r="C236" s="95" t="str">
        <f>$C$6</f>
        <v>FY08</v>
      </c>
      <c r="D236" s="95" t="str">
        <f>$D$6</f>
        <v>Date</v>
      </c>
      <c r="E236" s="95" t="str">
        <f>$E$6</f>
        <v>Projected</v>
      </c>
      <c r="F236" s="95" t="str">
        <f>$F$6</f>
        <v>Projected at</v>
      </c>
      <c r="G236" s="95" t="str">
        <f>$G$6</f>
        <v>Approved</v>
      </c>
      <c r="H236" s="209" t="str">
        <f>$H$6</f>
        <v>Variance</v>
      </c>
    </row>
    <row r="237" spans="1:8" ht="12.75">
      <c r="A237" s="104" t="s">
        <v>10</v>
      </c>
      <c r="B237" s="141" t="str">
        <f>$B$7</f>
        <v>Audited</v>
      </c>
      <c r="C237" s="141" t="str">
        <f>$C$7</f>
        <v>Unaudited</v>
      </c>
      <c r="D237" s="216" t="str">
        <f>$D$7</f>
        <v>As of 4/30/09</v>
      </c>
      <c r="E237" s="141" t="str">
        <f>$E$7</f>
        <v>2 months</v>
      </c>
      <c r="F237" s="141" t="str">
        <f>$F$7</f>
        <v>Year End</v>
      </c>
      <c r="G237" s="141" t="str">
        <f>$G$7</f>
        <v>Budget</v>
      </c>
      <c r="H237" s="210" t="str">
        <f>$H$7</f>
        <v>Over/(Under)</v>
      </c>
    </row>
    <row r="238" spans="1:8" ht="12.75">
      <c r="A238" s="60"/>
      <c r="B238" s="110"/>
      <c r="C238" s="110"/>
      <c r="D238" s="110"/>
      <c r="E238" s="95"/>
      <c r="F238" s="95"/>
      <c r="G238" s="95"/>
      <c r="H238" s="95"/>
    </row>
    <row r="239" spans="1:13" ht="12.75">
      <c r="A239" s="14" t="s">
        <v>2</v>
      </c>
      <c r="B239" s="381">
        <v>201890.01</v>
      </c>
      <c r="C239" s="381">
        <v>208301.13333333333</v>
      </c>
      <c r="D239" s="284">
        <v>165333.07</v>
      </c>
      <c r="E239" s="377">
        <f>G251*'Schedule 1 Summary'!D15+3200+3400</f>
        <v>47820</v>
      </c>
      <c r="F239" s="377">
        <f>SUM(D239:E239)</f>
        <v>213153.07</v>
      </c>
      <c r="G239" s="372">
        <v>228936</v>
      </c>
      <c r="H239" s="377">
        <f>SUM(F239-G239)</f>
        <v>-15782.929999999993</v>
      </c>
      <c r="J239" s="18"/>
      <c r="K239" s="18"/>
      <c r="L239" s="18"/>
      <c r="M239" s="18"/>
    </row>
    <row r="240" spans="1:13" ht="12.75">
      <c r="A240" s="14" t="s">
        <v>3</v>
      </c>
      <c r="B240" s="381">
        <v>960.75</v>
      </c>
      <c r="C240" s="381">
        <v>342.8966666666667</v>
      </c>
      <c r="D240" s="284">
        <v>246.61666666666667</v>
      </c>
      <c r="E240" s="284">
        <v>1086.7166666666667</v>
      </c>
      <c r="F240" s="377">
        <f aca="true" t="shared" si="37" ref="F240:F248">SUM(D240:E240)</f>
        <v>1333.3333333333335</v>
      </c>
      <c r="G240" s="372">
        <v>1333</v>
      </c>
      <c r="H240" s="377">
        <f aca="true" t="shared" si="38" ref="H240:H248">SUM(F240-G240)</f>
        <v>0.3333333333334849</v>
      </c>
      <c r="J240" s="18"/>
      <c r="K240" s="18"/>
      <c r="L240" s="18"/>
      <c r="M240" s="18"/>
    </row>
    <row r="241" spans="1:13" ht="12.75">
      <c r="A241" s="14" t="s">
        <v>4</v>
      </c>
      <c r="B241" s="381">
        <v>168.33333333333334</v>
      </c>
      <c r="C241" s="381">
        <v>168.33333333333334</v>
      </c>
      <c r="D241" s="284">
        <v>168.33333333333334</v>
      </c>
      <c r="E241" s="284">
        <v>0</v>
      </c>
      <c r="F241" s="377">
        <f t="shared" si="37"/>
        <v>168.33333333333334</v>
      </c>
      <c r="G241" s="372">
        <v>168</v>
      </c>
      <c r="H241" s="377">
        <f t="shared" si="38"/>
        <v>0.3333333333333428</v>
      </c>
      <c r="J241" s="18"/>
      <c r="K241" s="18"/>
      <c r="L241" s="18"/>
      <c r="M241" s="18"/>
    </row>
    <row r="242" spans="1:13" ht="12.75">
      <c r="A242" s="14" t="s">
        <v>5</v>
      </c>
      <c r="B242" s="377">
        <f aca="true" t="shared" si="39" ref="B242:H242">SUM(B239:B241)</f>
        <v>203019.09333333335</v>
      </c>
      <c r="C242" s="377">
        <f t="shared" si="39"/>
        <v>208812.36333333334</v>
      </c>
      <c r="D242" s="377">
        <f t="shared" si="39"/>
        <v>165748.02000000002</v>
      </c>
      <c r="E242" s="377">
        <f t="shared" si="39"/>
        <v>48906.71666666667</v>
      </c>
      <c r="F242" s="377">
        <f t="shared" si="39"/>
        <v>214654.7366666667</v>
      </c>
      <c r="G242" s="377">
        <f t="shared" si="39"/>
        <v>230437</v>
      </c>
      <c r="H242" s="377">
        <f t="shared" si="39"/>
        <v>-15782.263333333325</v>
      </c>
      <c r="J242" s="18"/>
      <c r="K242" s="18"/>
      <c r="L242" s="18"/>
      <c r="M242" s="18"/>
    </row>
    <row r="243" spans="1:13" ht="12.75">
      <c r="A243" s="14" t="s">
        <v>179</v>
      </c>
      <c r="B243" s="381">
        <v>4975.92</v>
      </c>
      <c r="C243" s="381">
        <v>0</v>
      </c>
      <c r="D243" s="284">
        <v>0</v>
      </c>
      <c r="E243" s="284">
        <v>666.6666666666666</v>
      </c>
      <c r="F243" s="377">
        <f t="shared" si="37"/>
        <v>666.6666666666666</v>
      </c>
      <c r="G243" s="372">
        <v>667</v>
      </c>
      <c r="H243" s="377">
        <f t="shared" si="38"/>
        <v>-0.33333333333337123</v>
      </c>
      <c r="J243" s="18"/>
      <c r="K243" s="18"/>
      <c r="L243" s="18"/>
      <c r="M243" s="18"/>
    </row>
    <row r="244" spans="1:13" ht="12.75">
      <c r="A244" s="14" t="s">
        <v>173</v>
      </c>
      <c r="B244" s="381">
        <v>98793.54666666668</v>
      </c>
      <c r="C244" s="381">
        <v>84024.37333333334</v>
      </c>
      <c r="D244" s="284">
        <v>66815.65333333334</v>
      </c>
      <c r="E244" s="284">
        <v>53379.34666666667</v>
      </c>
      <c r="F244" s="377">
        <f t="shared" si="37"/>
        <v>120195</v>
      </c>
      <c r="G244" s="372">
        <v>120195</v>
      </c>
      <c r="H244" s="377">
        <f t="shared" si="38"/>
        <v>0</v>
      </c>
      <c r="J244" s="18"/>
      <c r="K244" s="18"/>
      <c r="L244" s="18"/>
      <c r="M244" s="18"/>
    </row>
    <row r="245" spans="1:13" ht="12.75">
      <c r="A245" s="93" t="s">
        <v>174</v>
      </c>
      <c r="B245" s="381">
        <v>26321.22333333333</v>
      </c>
      <c r="C245" s="381">
        <v>26082.79</v>
      </c>
      <c r="D245" s="284">
        <v>20931.236666666668</v>
      </c>
      <c r="E245" s="284">
        <v>9290.43</v>
      </c>
      <c r="F245" s="377">
        <f>SUM(D245:E245)</f>
        <v>30221.666666666668</v>
      </c>
      <c r="G245" s="372">
        <v>30222</v>
      </c>
      <c r="H245" s="377">
        <f>SUM(F245-G245)</f>
        <v>-0.3333333333321207</v>
      </c>
      <c r="J245" s="18"/>
      <c r="K245" s="18"/>
      <c r="L245" s="18"/>
      <c r="M245" s="18"/>
    </row>
    <row r="246" spans="1:13" ht="12.75">
      <c r="A246" s="14" t="s">
        <v>175</v>
      </c>
      <c r="B246" s="381">
        <v>3720.38</v>
      </c>
      <c r="C246" s="381">
        <v>3370.726666666667</v>
      </c>
      <c r="D246" s="284">
        <v>866.3266666666667</v>
      </c>
      <c r="E246" s="284">
        <v>4007.0066666666667</v>
      </c>
      <c r="F246" s="377">
        <f t="shared" si="37"/>
        <v>4873.333333333333</v>
      </c>
      <c r="G246" s="372">
        <v>4873</v>
      </c>
      <c r="H246" s="377">
        <f t="shared" si="38"/>
        <v>0.33333333333303017</v>
      </c>
      <c r="J246" s="18"/>
      <c r="K246" s="18"/>
      <c r="L246" s="18"/>
      <c r="M246" s="18"/>
    </row>
    <row r="247" spans="1:13" ht="12.75">
      <c r="A247" s="14" t="s">
        <v>177</v>
      </c>
      <c r="B247" s="381">
        <v>5946.71</v>
      </c>
      <c r="C247" s="381">
        <v>4323.2</v>
      </c>
      <c r="D247" s="284">
        <v>1288.8266666666666</v>
      </c>
      <c r="E247" s="284">
        <v>6727.84</v>
      </c>
      <c r="F247" s="382">
        <f>SUM(D247:E247)</f>
        <v>8016.666666666667</v>
      </c>
      <c r="G247" s="383">
        <v>8017</v>
      </c>
      <c r="H247" s="377">
        <f>SUM(F247-G247)</f>
        <v>-0.33333333333303017</v>
      </c>
      <c r="J247" s="18"/>
      <c r="K247" s="18"/>
      <c r="L247" s="18"/>
      <c r="M247" s="18"/>
    </row>
    <row r="248" spans="1:13" ht="12.75">
      <c r="A248" s="14" t="s">
        <v>176</v>
      </c>
      <c r="B248" s="381">
        <v>1295</v>
      </c>
      <c r="C248" s="381">
        <v>688.29</v>
      </c>
      <c r="D248" s="284">
        <v>0</v>
      </c>
      <c r="E248" s="284">
        <v>1666.6666666666667</v>
      </c>
      <c r="F248" s="377">
        <f t="shared" si="37"/>
        <v>1666.6666666666667</v>
      </c>
      <c r="G248" s="376">
        <v>1667</v>
      </c>
      <c r="H248" s="377">
        <f t="shared" si="38"/>
        <v>-0.33333333333325754</v>
      </c>
      <c r="J248" s="18"/>
      <c r="K248" s="18"/>
      <c r="L248" s="18"/>
      <c r="M248" s="18"/>
    </row>
    <row r="249" spans="1:8" ht="13.5" thickBot="1">
      <c r="A249" s="111" t="s">
        <v>7</v>
      </c>
      <c r="B249" s="378">
        <f aca="true" t="shared" si="40" ref="B249:H249">SUM(B242:B248)</f>
        <v>344071.8733333334</v>
      </c>
      <c r="C249" s="378">
        <f t="shared" si="40"/>
        <v>327301.74333333335</v>
      </c>
      <c r="D249" s="378">
        <f t="shared" si="40"/>
        <v>255650.06333333332</v>
      </c>
      <c r="E249" s="378">
        <f t="shared" si="40"/>
        <v>124644.67333333334</v>
      </c>
      <c r="F249" s="378">
        <f t="shared" si="40"/>
        <v>380294.7366666667</v>
      </c>
      <c r="G249" s="378">
        <f t="shared" si="40"/>
        <v>396078</v>
      </c>
      <c r="H249" s="378">
        <f t="shared" si="40"/>
        <v>-15783.263333333323</v>
      </c>
    </row>
    <row r="250" spans="1:8" ht="13.5" thickTop="1">
      <c r="A250" s="79"/>
      <c r="B250" s="37"/>
      <c r="C250" s="37"/>
      <c r="D250" s="37"/>
      <c r="E250" s="37"/>
      <c r="F250" s="37"/>
      <c r="G250" s="37"/>
      <c r="H250" s="37"/>
    </row>
    <row r="251" spans="1:8" ht="12.75">
      <c r="A251" s="113" t="s">
        <v>480</v>
      </c>
      <c r="B251" s="285"/>
      <c r="C251" s="37"/>
      <c r="D251" s="37"/>
      <c r="E251" s="37"/>
      <c r="F251" s="118" t="str">
        <f>$F$20</f>
        <v>Bi-Weekly PP posted 5/22/09</v>
      </c>
      <c r="G251" s="283">
        <v>8244</v>
      </c>
      <c r="H251" s="37"/>
    </row>
    <row r="252" spans="1:8" ht="12.75">
      <c r="A252" s="14" t="s">
        <v>420</v>
      </c>
      <c r="B252" s="285"/>
      <c r="C252" s="37"/>
      <c r="D252" s="37"/>
      <c r="E252" s="37"/>
      <c r="F252" s="37"/>
      <c r="G252" s="37"/>
      <c r="H252" s="37"/>
    </row>
    <row r="253" spans="2:8" ht="12.75">
      <c r="B253" s="37"/>
      <c r="C253" s="37"/>
      <c r="D253" s="37"/>
      <c r="E253" s="37"/>
      <c r="F253" s="37"/>
      <c r="G253" s="37"/>
      <c r="H253" s="37"/>
    </row>
    <row r="254" spans="6:8" ht="12.75">
      <c r="F254" s="36"/>
      <c r="H254" s="36"/>
    </row>
    <row r="255" spans="1:8" ht="15">
      <c r="A255" s="112" t="s">
        <v>257</v>
      </c>
      <c r="F255" s="178"/>
      <c r="H255" s="36"/>
    </row>
    <row r="256" spans="1:8" ht="12.75">
      <c r="A256" s="2"/>
      <c r="F256" s="36"/>
      <c r="H256" s="36"/>
    </row>
    <row r="257" spans="1:8" ht="12.75">
      <c r="A257" s="97"/>
      <c r="B257" s="147" t="str">
        <f>$B$5</f>
        <v>6/30/07</v>
      </c>
      <c r="C257" s="147" t="str">
        <f>$C$5</f>
        <v>6/30/08</v>
      </c>
      <c r="D257" s="147" t="str">
        <f>$D$5</f>
        <v>Year to</v>
      </c>
      <c r="E257" s="147"/>
      <c r="F257" s="147"/>
      <c r="G257" s="147"/>
      <c r="H257" s="208"/>
    </row>
    <row r="258" spans="1:8" ht="12.75">
      <c r="A258" s="102"/>
      <c r="B258" s="95" t="str">
        <f>$B$6</f>
        <v>FY07</v>
      </c>
      <c r="C258" s="95" t="str">
        <f>$C$6</f>
        <v>FY08</v>
      </c>
      <c r="D258" s="95" t="str">
        <f>$D$6</f>
        <v>Date</v>
      </c>
      <c r="E258" s="95" t="str">
        <f>$E$6</f>
        <v>Projected</v>
      </c>
      <c r="F258" s="95" t="str">
        <f>$F$6</f>
        <v>Projected at</v>
      </c>
      <c r="G258" s="95" t="str">
        <f>$G$6</f>
        <v>Approved</v>
      </c>
      <c r="H258" s="209" t="str">
        <f>$H$6</f>
        <v>Variance</v>
      </c>
    </row>
    <row r="259" spans="1:8" ht="12.75">
      <c r="A259" s="104" t="s">
        <v>10</v>
      </c>
      <c r="B259" s="141" t="str">
        <f>$B$7</f>
        <v>Audited</v>
      </c>
      <c r="C259" s="141" t="str">
        <f>$C$7</f>
        <v>Unaudited</v>
      </c>
      <c r="D259" s="216" t="str">
        <f>$D$7</f>
        <v>As of 4/30/09</v>
      </c>
      <c r="E259" s="141" t="str">
        <f>$E$7</f>
        <v>2 months</v>
      </c>
      <c r="F259" s="141" t="str">
        <f>$F$7</f>
        <v>Year End</v>
      </c>
      <c r="G259" s="141" t="str">
        <f>$G$7</f>
        <v>Budget</v>
      </c>
      <c r="H259" s="210" t="str">
        <f>$H$7</f>
        <v>Over/(Under)</v>
      </c>
    </row>
    <row r="260" spans="1:8" ht="12.75">
      <c r="A260" s="60"/>
      <c r="B260" s="110"/>
      <c r="C260" s="110"/>
      <c r="D260" s="110"/>
      <c r="E260" s="95"/>
      <c r="F260" s="95"/>
      <c r="G260" s="95"/>
      <c r="H260" s="95"/>
    </row>
    <row r="261" spans="1:15" ht="12.75">
      <c r="A261" s="14" t="s">
        <v>2</v>
      </c>
      <c r="B261" s="381">
        <v>6294537.376666666</v>
      </c>
      <c r="C261" s="381">
        <v>6464244.59</v>
      </c>
      <c r="D261" s="284">
        <v>5387313.016666667</v>
      </c>
      <c r="E261" s="377">
        <f>(G275*'Schedule 1 Summary'!D15)+(G276*'Schedule 1 Summary'!D18)+120000-30000</f>
        <v>1270717</v>
      </c>
      <c r="F261" s="377">
        <f>SUM(D261:E261)</f>
        <v>6658030.016666667</v>
      </c>
      <c r="G261" s="381">
        <v>6809718</v>
      </c>
      <c r="H261" s="377">
        <f>SUM(F261-G261)</f>
        <v>-151687.9833333334</v>
      </c>
      <c r="J261" s="18"/>
      <c r="K261" s="18"/>
      <c r="L261" s="18"/>
      <c r="M261" s="18"/>
      <c r="N261" s="18"/>
      <c r="O261" s="18"/>
    </row>
    <row r="262" spans="1:15" ht="12.75">
      <c r="A262" s="14" t="s">
        <v>3</v>
      </c>
      <c r="B262" s="36">
        <f>'Appendix 2 Police Overtime'!E58</f>
        <v>719770.5533333332</v>
      </c>
      <c r="C262" s="36">
        <f>'Appendix 2 Police Overtime'!F58</f>
        <v>679566.7399999996</v>
      </c>
      <c r="D262" s="36">
        <f>'Appendix 2 Police Overtime'!G58</f>
        <v>617461.1433333333</v>
      </c>
      <c r="E262" s="377">
        <f>SUM(F262-D262)</f>
        <v>74265.17361111124</v>
      </c>
      <c r="F262" s="36">
        <f>'Appendix 2 Police Overtime'!J58</f>
        <v>691726.3169444446</v>
      </c>
      <c r="G262" s="381">
        <v>713333.3333333334</v>
      </c>
      <c r="H262" s="377">
        <f>SUM(F262-G262)</f>
        <v>-21607.01638888882</v>
      </c>
      <c r="J262" s="18"/>
      <c r="K262" s="18"/>
      <c r="L262" s="18"/>
      <c r="M262" s="18"/>
      <c r="N262" s="18"/>
      <c r="O262" s="18"/>
    </row>
    <row r="263" spans="1:15" ht="12.75">
      <c r="A263" s="14" t="s">
        <v>4</v>
      </c>
      <c r="B263" s="381">
        <v>314320.55</v>
      </c>
      <c r="C263" s="381">
        <v>433445.3866666667</v>
      </c>
      <c r="D263" s="284">
        <v>384586.6</v>
      </c>
      <c r="E263" s="284">
        <v>384586.6</v>
      </c>
      <c r="F263" s="377">
        <f>SUM(D263:E263)</f>
        <v>769173.2</v>
      </c>
      <c r="G263" s="381">
        <v>403558.3333333333</v>
      </c>
      <c r="H263" s="377">
        <f>SUM(F263-G263)</f>
        <v>365614.86666666664</v>
      </c>
      <c r="J263" s="18"/>
      <c r="K263" s="18"/>
      <c r="L263" s="18"/>
      <c r="M263" s="18"/>
      <c r="N263" s="18"/>
      <c r="O263" s="18"/>
    </row>
    <row r="264" spans="1:15" ht="12.75">
      <c r="A264" s="14" t="s">
        <v>5</v>
      </c>
      <c r="B264" s="377">
        <f aca="true" t="shared" si="41" ref="B264:H264">SUM(B261:B263)</f>
        <v>7328628.4799999995</v>
      </c>
      <c r="C264" s="377">
        <f t="shared" si="41"/>
        <v>7577256.716666666</v>
      </c>
      <c r="D264" s="377">
        <f t="shared" si="41"/>
        <v>6389360.76</v>
      </c>
      <c r="E264" s="377">
        <f t="shared" si="41"/>
        <v>1729568.773611111</v>
      </c>
      <c r="F264" s="377">
        <f>SUM(F261:F263)</f>
        <v>8118929.533611111</v>
      </c>
      <c r="G264" s="377">
        <f t="shared" si="41"/>
        <v>7926609.666666666</v>
      </c>
      <c r="H264" s="377">
        <f t="shared" si="41"/>
        <v>192319.86694444442</v>
      </c>
      <c r="J264" s="18"/>
      <c r="K264" s="18"/>
      <c r="L264" s="18"/>
      <c r="M264" s="18"/>
      <c r="N264" s="18"/>
      <c r="O264" s="18"/>
    </row>
    <row r="265" spans="1:15" ht="12.75">
      <c r="A265" s="14" t="s">
        <v>178</v>
      </c>
      <c r="B265" s="381">
        <v>123250.91666666667</v>
      </c>
      <c r="C265" s="381">
        <v>109520.85333333333</v>
      </c>
      <c r="D265" s="284">
        <v>59795.15333333333</v>
      </c>
      <c r="E265" s="284">
        <v>57038.18</v>
      </c>
      <c r="F265" s="377">
        <f aca="true" t="shared" si="42" ref="F265:F271">SUM(D265:E265)</f>
        <v>116833.33333333333</v>
      </c>
      <c r="G265" s="381">
        <v>116833.33333333333</v>
      </c>
      <c r="H265" s="377">
        <f aca="true" t="shared" si="43" ref="H265:H271">SUM(F265-G265)</f>
        <v>0</v>
      </c>
      <c r="J265" s="18"/>
      <c r="K265" s="18"/>
      <c r="L265" s="18"/>
      <c r="M265" s="18"/>
      <c r="N265" s="18"/>
      <c r="O265" s="18"/>
    </row>
    <row r="266" spans="1:15" ht="12.75">
      <c r="A266" s="14" t="s">
        <v>179</v>
      </c>
      <c r="B266" s="381">
        <v>23961.61666666667</v>
      </c>
      <c r="C266" s="381">
        <v>19708.86333333333</v>
      </c>
      <c r="D266" s="284">
        <v>18859.3</v>
      </c>
      <c r="E266" s="284">
        <v>6364.033333333333</v>
      </c>
      <c r="F266" s="377">
        <f t="shared" si="42"/>
        <v>25223.333333333332</v>
      </c>
      <c r="G266" s="381">
        <v>25223.333333333332</v>
      </c>
      <c r="H266" s="377">
        <f t="shared" si="43"/>
        <v>0</v>
      </c>
      <c r="J266" s="18"/>
      <c r="K266" s="18"/>
      <c r="L266" s="18"/>
      <c r="M266" s="18"/>
      <c r="N266" s="18"/>
      <c r="O266" s="18"/>
    </row>
    <row r="267" spans="1:15" ht="12.75">
      <c r="A267" s="14" t="s">
        <v>173</v>
      </c>
      <c r="B267" s="381">
        <v>357763.74</v>
      </c>
      <c r="C267" s="381">
        <v>332732.4666666667</v>
      </c>
      <c r="D267" s="284">
        <v>260053.64</v>
      </c>
      <c r="E267" s="284">
        <v>92793.69333333331</v>
      </c>
      <c r="F267" s="377">
        <f t="shared" si="42"/>
        <v>352847.3333333333</v>
      </c>
      <c r="G267" s="381">
        <v>352847.3333333333</v>
      </c>
      <c r="H267" s="377">
        <f t="shared" si="43"/>
        <v>0</v>
      </c>
      <c r="J267" s="18"/>
      <c r="K267" s="18"/>
      <c r="L267" s="18"/>
      <c r="M267" s="18"/>
      <c r="N267" s="18"/>
      <c r="O267" s="18"/>
    </row>
    <row r="268" spans="1:15" ht="12.75">
      <c r="A268" s="14" t="s">
        <v>174</v>
      </c>
      <c r="B268" s="381">
        <v>30332.163333333334</v>
      </c>
      <c r="C268" s="381">
        <v>31031.096666666665</v>
      </c>
      <c r="D268" s="284">
        <v>22368.54</v>
      </c>
      <c r="E268" s="284">
        <v>14481.46</v>
      </c>
      <c r="F268" s="377">
        <f t="shared" si="42"/>
        <v>36850</v>
      </c>
      <c r="G268" s="381">
        <v>36850</v>
      </c>
      <c r="H268" s="377">
        <f t="shared" si="43"/>
        <v>0</v>
      </c>
      <c r="J268" s="18"/>
      <c r="K268" s="18"/>
      <c r="L268" s="18"/>
      <c r="M268" s="18"/>
      <c r="N268" s="18"/>
      <c r="O268" s="18"/>
    </row>
    <row r="269" spans="1:15" ht="12.75">
      <c r="A269" s="14" t="s">
        <v>175</v>
      </c>
      <c r="B269" s="381">
        <v>286744.95666666667</v>
      </c>
      <c r="C269" s="381">
        <v>263693.5966666667</v>
      </c>
      <c r="D269" s="284">
        <v>206471.033333333</v>
      </c>
      <c r="E269" s="284">
        <v>66460.96666666667</v>
      </c>
      <c r="F269" s="377">
        <f t="shared" si="42"/>
        <v>272931.99999999965</v>
      </c>
      <c r="G269" s="381">
        <v>322932</v>
      </c>
      <c r="H269" s="377">
        <f t="shared" si="43"/>
        <v>-50000.00000000035</v>
      </c>
      <c r="J269" s="18"/>
      <c r="K269" s="18"/>
      <c r="L269" s="18"/>
      <c r="M269" s="18"/>
      <c r="N269" s="18"/>
      <c r="O269" s="18"/>
    </row>
    <row r="270" spans="1:15" ht="12.75">
      <c r="A270" s="14" t="s">
        <v>177</v>
      </c>
      <c r="B270" s="381">
        <v>85105.28333333334</v>
      </c>
      <c r="C270" s="381">
        <v>58966.32</v>
      </c>
      <c r="D270" s="284">
        <v>49901.27</v>
      </c>
      <c r="E270" s="284">
        <v>13432.063333333334</v>
      </c>
      <c r="F270" s="377">
        <f t="shared" si="42"/>
        <v>63333.33333333333</v>
      </c>
      <c r="G270" s="381">
        <v>63333.333333333336</v>
      </c>
      <c r="H270" s="377">
        <f t="shared" si="43"/>
        <v>-7.275957614183426E-12</v>
      </c>
      <c r="J270" s="18"/>
      <c r="K270" s="18"/>
      <c r="L270" s="18"/>
      <c r="M270" s="18"/>
      <c r="N270" s="18"/>
      <c r="O270" s="18"/>
    </row>
    <row r="271" spans="1:15" ht="12.75">
      <c r="A271" s="16" t="s">
        <v>176</v>
      </c>
      <c r="B271" s="381">
        <v>2948.35</v>
      </c>
      <c r="C271" s="381">
        <v>3340.9166666666665</v>
      </c>
      <c r="D271" s="284">
        <v>4349.656666666667</v>
      </c>
      <c r="E271" s="284">
        <v>1364.343333333333</v>
      </c>
      <c r="F271" s="377">
        <f t="shared" si="42"/>
        <v>5714</v>
      </c>
      <c r="G271" s="381">
        <v>5714</v>
      </c>
      <c r="H271" s="379">
        <f t="shared" si="43"/>
        <v>0</v>
      </c>
      <c r="J271" s="18"/>
      <c r="K271" s="18"/>
      <c r="L271" s="18"/>
      <c r="M271" s="18"/>
      <c r="N271" s="18"/>
      <c r="O271" s="18"/>
    </row>
    <row r="272" spans="1:8" ht="13.5" thickBot="1">
      <c r="A272" s="111" t="s">
        <v>7</v>
      </c>
      <c r="B272" s="378">
        <f aca="true" t="shared" si="44" ref="B272:H272">SUM(B264:B271)</f>
        <v>8238735.506666666</v>
      </c>
      <c r="C272" s="378">
        <f t="shared" si="44"/>
        <v>8396250.829999998</v>
      </c>
      <c r="D272" s="378">
        <f t="shared" si="44"/>
        <v>7011159.353333332</v>
      </c>
      <c r="E272" s="378">
        <f>SUM(E264:E271)</f>
        <v>1981503.513611111</v>
      </c>
      <c r="F272" s="378">
        <f>SUM(F264:F271)</f>
        <v>8992662.866944445</v>
      </c>
      <c r="G272" s="378">
        <f t="shared" si="44"/>
        <v>8850343</v>
      </c>
      <c r="H272" s="378">
        <f t="shared" si="44"/>
        <v>142319.86694444407</v>
      </c>
    </row>
    <row r="273" spans="2:8" ht="13.5" thickTop="1">
      <c r="B273" s="37" t="s">
        <v>132</v>
      </c>
      <c r="C273" s="37" t="s">
        <v>132</v>
      </c>
      <c r="D273" s="37" t="s">
        <v>132</v>
      </c>
      <c r="E273" s="37"/>
      <c r="F273" s="37"/>
      <c r="G273" s="37"/>
      <c r="H273" s="37"/>
    </row>
    <row r="274" spans="1:8" ht="12.75">
      <c r="A274" s="113"/>
      <c r="F274" s="36"/>
      <c r="H274" s="37"/>
    </row>
    <row r="275" spans="1:10" ht="12.75">
      <c r="A275" s="14" t="s">
        <v>422</v>
      </c>
      <c r="B275" s="272"/>
      <c r="F275" s="118" t="str">
        <f>$F$20</f>
        <v>Bi-Weekly PP posted 5/22/09</v>
      </c>
      <c r="G275" s="272">
        <v>23450</v>
      </c>
      <c r="H275" s="37"/>
      <c r="J275" s="18"/>
    </row>
    <row r="276" spans="1:10" ht="14.25" customHeight="1">
      <c r="A276" s="113" t="s">
        <v>479</v>
      </c>
      <c r="B276" s="272"/>
      <c r="F276" s="118" t="s">
        <v>347</v>
      </c>
      <c r="G276" s="272">
        <v>118163</v>
      </c>
      <c r="H276" s="36"/>
      <c r="J276" s="18"/>
    </row>
    <row r="277" spans="1:10" ht="12.75">
      <c r="A277" s="113" t="s">
        <v>481</v>
      </c>
      <c r="B277" s="272"/>
      <c r="F277" s="76" t="s">
        <v>216</v>
      </c>
      <c r="G277" s="36">
        <f>'Appendix 2 Police Overtime'!D63</f>
        <v>13137.471134751773</v>
      </c>
      <c r="H277" s="93"/>
      <c r="J277" s="18"/>
    </row>
    <row r="278" spans="1:10" ht="12.75">
      <c r="A278" s="113"/>
      <c r="B278" s="118"/>
      <c r="C278" s="118"/>
      <c r="D278" s="118"/>
      <c r="F278" s="118" t="s">
        <v>147</v>
      </c>
      <c r="G278" s="36">
        <f>C262/52</f>
        <v>13068.591153846148</v>
      </c>
      <c r="H278" s="154"/>
      <c r="J278" s="18"/>
    </row>
    <row r="279" spans="2:8" ht="12.75">
      <c r="B279" s="118"/>
      <c r="C279" s="118"/>
      <c r="D279" s="118"/>
      <c r="F279" s="36"/>
      <c r="G279" s="154"/>
      <c r="H279" s="120"/>
    </row>
    <row r="280" spans="6:8" ht="12.75">
      <c r="F280" s="36"/>
      <c r="H280" s="36"/>
    </row>
    <row r="281" spans="6:8" ht="12.75">
      <c r="F281" s="36"/>
      <c r="H281" s="36"/>
    </row>
    <row r="282" spans="1:8" ht="12.75">
      <c r="A282" s="14" t="s">
        <v>333</v>
      </c>
      <c r="F282" s="36"/>
      <c r="H282" s="36"/>
    </row>
    <row r="283" spans="6:8" ht="12.75">
      <c r="F283" s="36"/>
      <c r="H283" s="36"/>
    </row>
    <row r="284" spans="6:8" ht="12.75">
      <c r="F284" s="36"/>
      <c r="H284" s="36"/>
    </row>
    <row r="285" spans="6:8" ht="12.75">
      <c r="F285" s="36"/>
      <c r="H285" s="36"/>
    </row>
    <row r="286" spans="6:8" ht="12.75">
      <c r="F286" s="36"/>
      <c r="H286" s="36"/>
    </row>
    <row r="287" spans="6:8" ht="12.75">
      <c r="F287" s="36"/>
      <c r="H287" s="36"/>
    </row>
    <row r="288" spans="1:8" ht="15">
      <c r="A288" s="112" t="s">
        <v>258</v>
      </c>
      <c r="F288" s="36"/>
      <c r="H288" s="36"/>
    </row>
    <row r="289" spans="1:8" ht="12.75">
      <c r="A289" s="2"/>
      <c r="F289" s="36"/>
      <c r="H289" s="36"/>
    </row>
    <row r="290" spans="1:8" ht="12.75">
      <c r="A290" s="97"/>
      <c r="B290" s="147" t="str">
        <f>$B$5</f>
        <v>6/30/07</v>
      </c>
      <c r="C290" s="147" t="str">
        <f>$C$5</f>
        <v>6/30/08</v>
      </c>
      <c r="D290" s="147" t="str">
        <f>$D$5</f>
        <v>Year to</v>
      </c>
      <c r="E290" s="147"/>
      <c r="F290" s="147"/>
      <c r="G290" s="147"/>
      <c r="H290" s="208"/>
    </row>
    <row r="291" spans="1:8" ht="12.75">
      <c r="A291" s="102"/>
      <c r="B291" s="95" t="str">
        <f>$B$6</f>
        <v>FY07</v>
      </c>
      <c r="C291" s="95" t="str">
        <f>$C$6</f>
        <v>FY08</v>
      </c>
      <c r="D291" s="95" t="str">
        <f>$D$6</f>
        <v>Date</v>
      </c>
      <c r="E291" s="95" t="str">
        <f>$E$6</f>
        <v>Projected</v>
      </c>
      <c r="F291" s="95" t="str">
        <f>$F$6</f>
        <v>Projected at</v>
      </c>
      <c r="G291" s="95" t="str">
        <f>$G$6</f>
        <v>Approved</v>
      </c>
      <c r="H291" s="209" t="str">
        <f>$H$6</f>
        <v>Variance</v>
      </c>
    </row>
    <row r="292" spans="1:8" ht="12.75">
      <c r="A292" s="104" t="s">
        <v>10</v>
      </c>
      <c r="B292" s="141" t="str">
        <f>$B$7</f>
        <v>Audited</v>
      </c>
      <c r="C292" s="141" t="str">
        <f>$C$7</f>
        <v>Unaudited</v>
      </c>
      <c r="D292" s="216" t="str">
        <f>$D$7</f>
        <v>As of 4/30/09</v>
      </c>
      <c r="E292" s="141" t="str">
        <f>$E$7</f>
        <v>2 months</v>
      </c>
      <c r="F292" s="141" t="str">
        <f>$F$7</f>
        <v>Year End</v>
      </c>
      <c r="G292" s="141" t="str">
        <f>$G$7</f>
        <v>Budget</v>
      </c>
      <c r="H292" s="210" t="str">
        <f>$H$7</f>
        <v>Over/(Under)</v>
      </c>
    </row>
    <row r="293" spans="1:8" ht="12.75">
      <c r="A293" s="60"/>
      <c r="B293" s="110"/>
      <c r="C293" s="110"/>
      <c r="D293" s="110"/>
      <c r="E293" s="95"/>
      <c r="F293" s="95"/>
      <c r="G293" s="95"/>
      <c r="H293" s="95"/>
    </row>
    <row r="294" spans="1:12" ht="12.75">
      <c r="A294" s="14" t="s">
        <v>2</v>
      </c>
      <c r="B294" s="381">
        <v>4924471.49</v>
      </c>
      <c r="C294" s="381">
        <v>4917012.743333333</v>
      </c>
      <c r="D294" s="284">
        <v>4071922.436666667</v>
      </c>
      <c r="E294" s="377">
        <f>(G308*'Schedule 1 Summary'!D15)+(G309*'Schedule 1 Summary'!D18)+30000-30000</f>
        <v>885409</v>
      </c>
      <c r="F294" s="377">
        <f>SUM(D294:E294)</f>
        <v>4957331.436666667</v>
      </c>
      <c r="G294" s="372">
        <v>4953308</v>
      </c>
      <c r="H294" s="377">
        <f>SUM(F294-G294)</f>
        <v>4023.4366666674614</v>
      </c>
      <c r="J294" s="18"/>
      <c r="K294" s="18"/>
      <c r="L294" s="18"/>
    </row>
    <row r="295" spans="1:12" ht="12.75">
      <c r="A295" s="14" t="s">
        <v>3</v>
      </c>
      <c r="B295" s="36">
        <f>'Appendix 3 Fire Overtime'!E59</f>
        <v>278766.68999999994</v>
      </c>
      <c r="C295" s="36">
        <f>'Appendix 3 Fire Overtime'!F59</f>
        <v>472595.81</v>
      </c>
      <c r="D295" s="36">
        <f>'Appendix 3 Fire Overtime'!G59</f>
        <v>389867.24000000005</v>
      </c>
      <c r="E295" s="377">
        <f>SUM(F295-D295)</f>
        <v>41475</v>
      </c>
      <c r="F295" s="36">
        <f>'Appendix 3 Fire Overtime'!J59</f>
        <v>431342.24000000005</v>
      </c>
      <c r="G295" s="372">
        <v>423333</v>
      </c>
      <c r="H295" s="377">
        <f>SUM(F295-G295)</f>
        <v>8009.240000000049</v>
      </c>
      <c r="J295" s="18"/>
      <c r="K295" s="18"/>
      <c r="L295" s="18"/>
    </row>
    <row r="296" spans="1:12" ht="12.75">
      <c r="A296" s="14" t="s">
        <v>4</v>
      </c>
      <c r="B296" s="381">
        <v>281396.57</v>
      </c>
      <c r="C296" s="381">
        <v>250092.95333333337</v>
      </c>
      <c r="D296" s="284">
        <v>233850.10333333336</v>
      </c>
      <c r="E296" s="272">
        <v>16435</v>
      </c>
      <c r="F296" s="377">
        <f>SUM(D296:E296)</f>
        <v>250285.10333333336</v>
      </c>
      <c r="G296" s="372">
        <v>256952</v>
      </c>
      <c r="H296" s="377">
        <f>SUM(F296-G296)</f>
        <v>-6666.896666666638</v>
      </c>
      <c r="J296" s="18"/>
      <c r="K296" s="18"/>
      <c r="L296" s="18"/>
    </row>
    <row r="297" spans="1:12" ht="12.75">
      <c r="A297" s="14" t="s">
        <v>5</v>
      </c>
      <c r="B297" s="377">
        <f aca="true" t="shared" si="45" ref="B297:H297">SUM(B294:B296)</f>
        <v>5484634.75</v>
      </c>
      <c r="C297" s="377">
        <f t="shared" si="45"/>
        <v>5639701.506666666</v>
      </c>
      <c r="D297" s="377">
        <f t="shared" si="45"/>
        <v>4695639.78</v>
      </c>
      <c r="E297" s="377">
        <f t="shared" si="45"/>
        <v>943319</v>
      </c>
      <c r="F297" s="377">
        <f t="shared" si="45"/>
        <v>5638958.780000001</v>
      </c>
      <c r="G297" s="377">
        <f t="shared" si="45"/>
        <v>5633593</v>
      </c>
      <c r="H297" s="377">
        <f t="shared" si="45"/>
        <v>5365.780000000872</v>
      </c>
      <c r="J297" s="18"/>
      <c r="K297" s="18"/>
      <c r="L297" s="18"/>
    </row>
    <row r="298" spans="1:12" ht="12.75">
      <c r="A298" s="14" t="s">
        <v>178</v>
      </c>
      <c r="B298" s="381">
        <v>42794.223333333335</v>
      </c>
      <c r="C298" s="381">
        <v>42681.26666666667</v>
      </c>
      <c r="D298" s="284">
        <v>4298.3</v>
      </c>
      <c r="E298" s="272">
        <v>21302</v>
      </c>
      <c r="F298" s="377">
        <f aca="true" t="shared" si="46" ref="F298:F304">SUM(D298:E298)</f>
        <v>25600.3</v>
      </c>
      <c r="G298" s="372">
        <v>25600</v>
      </c>
      <c r="H298" s="377">
        <f aca="true" t="shared" si="47" ref="H298:H304">SUM(F298-G298)</f>
        <v>0.2999999999992724</v>
      </c>
      <c r="J298" s="18"/>
      <c r="K298" s="18"/>
      <c r="L298" s="18"/>
    </row>
    <row r="299" spans="1:12" ht="12.75">
      <c r="A299" s="14" t="s">
        <v>179</v>
      </c>
      <c r="B299" s="381">
        <v>24810.573333333334</v>
      </c>
      <c r="C299" s="381">
        <v>25990.593333333334</v>
      </c>
      <c r="D299" s="284">
        <v>17922.48</v>
      </c>
      <c r="E299" s="272">
        <v>12078</v>
      </c>
      <c r="F299" s="377">
        <f t="shared" si="46"/>
        <v>30000.48</v>
      </c>
      <c r="G299" s="372">
        <v>30000</v>
      </c>
      <c r="H299" s="377">
        <f t="shared" si="47"/>
        <v>0.47999999999956344</v>
      </c>
      <c r="J299" s="18"/>
      <c r="K299" s="18"/>
      <c r="L299" s="18"/>
    </row>
    <row r="300" spans="1:12" ht="12.75">
      <c r="A300" s="14" t="s">
        <v>173</v>
      </c>
      <c r="B300" s="381">
        <v>82957.78333333334</v>
      </c>
      <c r="C300" s="381">
        <v>131641.25</v>
      </c>
      <c r="D300" s="284">
        <v>101750.43</v>
      </c>
      <c r="E300" s="272">
        <v>32416</v>
      </c>
      <c r="F300" s="377">
        <f t="shared" si="46"/>
        <v>134166.43</v>
      </c>
      <c r="G300" s="372">
        <v>134166</v>
      </c>
      <c r="H300" s="377">
        <f t="shared" si="47"/>
        <v>0.4299999999930151</v>
      </c>
      <c r="J300" s="18"/>
      <c r="K300" s="18"/>
      <c r="L300" s="18"/>
    </row>
    <row r="301" spans="1:12" ht="12.75">
      <c r="A301" s="14" t="s">
        <v>174</v>
      </c>
      <c r="B301" s="381">
        <v>48197.57</v>
      </c>
      <c r="C301" s="381">
        <v>27177.033333333336</v>
      </c>
      <c r="D301" s="284">
        <v>27552.483333333334</v>
      </c>
      <c r="E301" s="272">
        <v>8581</v>
      </c>
      <c r="F301" s="377">
        <f t="shared" si="46"/>
        <v>36133.48333333334</v>
      </c>
      <c r="G301" s="372">
        <v>36133</v>
      </c>
      <c r="H301" s="377">
        <f t="shared" si="47"/>
        <v>0.48333333333721384</v>
      </c>
      <c r="J301" s="18"/>
      <c r="K301" s="18"/>
      <c r="L301" s="18"/>
    </row>
    <row r="302" spans="1:12" ht="12.75">
      <c r="A302" s="14" t="s">
        <v>175</v>
      </c>
      <c r="B302" s="381">
        <v>176673.95666666667</v>
      </c>
      <c r="C302" s="381">
        <v>149441.87666666668</v>
      </c>
      <c r="D302" s="284">
        <v>105310.193333333</v>
      </c>
      <c r="E302" s="272">
        <v>52456</v>
      </c>
      <c r="F302" s="377">
        <f t="shared" si="46"/>
        <v>157766.193333333</v>
      </c>
      <c r="G302" s="372">
        <v>187766</v>
      </c>
      <c r="H302" s="377">
        <f t="shared" si="47"/>
        <v>-29999.80666666699</v>
      </c>
      <c r="J302" s="18"/>
      <c r="K302" s="18"/>
      <c r="L302" s="18"/>
    </row>
    <row r="303" spans="1:12" ht="12.75">
      <c r="A303" s="14" t="s">
        <v>177</v>
      </c>
      <c r="B303" s="381">
        <v>35675.79</v>
      </c>
      <c r="C303" s="381">
        <v>34288.79</v>
      </c>
      <c r="D303" s="284">
        <v>22765.583333333332</v>
      </c>
      <c r="E303" s="272">
        <v>14234</v>
      </c>
      <c r="F303" s="377">
        <f t="shared" si="46"/>
        <v>36999.58333333333</v>
      </c>
      <c r="G303" s="372">
        <v>37000</v>
      </c>
      <c r="H303" s="377">
        <f t="shared" si="47"/>
        <v>-0.4166666666715173</v>
      </c>
      <c r="J303" s="18"/>
      <c r="K303" s="18"/>
      <c r="L303" s="18"/>
    </row>
    <row r="304" spans="1:12" ht="12.75">
      <c r="A304" s="16" t="s">
        <v>176</v>
      </c>
      <c r="B304" s="381">
        <v>2137.7933333333335</v>
      </c>
      <c r="C304" s="381">
        <v>6888.236666666667</v>
      </c>
      <c r="D304" s="284">
        <v>10338.55</v>
      </c>
      <c r="E304" s="272">
        <v>228</v>
      </c>
      <c r="F304" s="377">
        <f t="shared" si="46"/>
        <v>10566.55</v>
      </c>
      <c r="G304" s="376">
        <v>10567</v>
      </c>
      <c r="H304" s="379">
        <f t="shared" si="47"/>
        <v>-0.4500000000007276</v>
      </c>
      <c r="J304" s="18"/>
      <c r="K304" s="18"/>
      <c r="L304" s="18"/>
    </row>
    <row r="305" spans="1:8" ht="13.5" thickBot="1">
      <c r="A305" s="111" t="s">
        <v>7</v>
      </c>
      <c r="B305" s="378">
        <f aca="true" t="shared" si="48" ref="B305:H305">SUM(B297:B304)</f>
        <v>5897882.44</v>
      </c>
      <c r="C305" s="378">
        <f t="shared" si="48"/>
        <v>6057810.553333333</v>
      </c>
      <c r="D305" s="378">
        <f t="shared" si="48"/>
        <v>4985577.8</v>
      </c>
      <c r="E305" s="378">
        <f t="shared" si="48"/>
        <v>1084614</v>
      </c>
      <c r="F305" s="378">
        <f t="shared" si="48"/>
        <v>6070191.800000001</v>
      </c>
      <c r="G305" s="378">
        <f t="shared" si="48"/>
        <v>6094825</v>
      </c>
      <c r="H305" s="378">
        <f t="shared" si="48"/>
        <v>-24633.199999999462</v>
      </c>
    </row>
    <row r="306" spans="2:8" ht="13.5" thickTop="1">
      <c r="B306" s="37"/>
      <c r="C306" s="37"/>
      <c r="D306" s="37"/>
      <c r="E306" s="37"/>
      <c r="F306" s="37"/>
      <c r="G306" s="37"/>
      <c r="H306" s="37"/>
    </row>
    <row r="307" spans="1:8" ht="12.75">
      <c r="A307" s="74"/>
      <c r="F307" s="36"/>
      <c r="H307" s="36"/>
    </row>
    <row r="308" spans="1:10" ht="12.75">
      <c r="A308" s="14" t="s">
        <v>423</v>
      </c>
      <c r="B308" s="272"/>
      <c r="F308" s="118" t="str">
        <f>$F$20</f>
        <v>Bi-Weekly PP posted 5/22/09</v>
      </c>
      <c r="G308" s="272">
        <v>5954</v>
      </c>
      <c r="H308" s="36"/>
      <c r="J308" s="18"/>
    </row>
    <row r="309" spans="1:10" ht="12.75">
      <c r="A309" s="113" t="s">
        <v>482</v>
      </c>
      <c r="B309" s="272"/>
      <c r="F309" s="118" t="str">
        <f>F276</f>
        <v>Weekly PP posted 5/22/09</v>
      </c>
      <c r="G309" s="272">
        <v>95071</v>
      </c>
      <c r="H309" s="36"/>
      <c r="J309" s="18"/>
    </row>
    <row r="310" spans="1:10" ht="12.75">
      <c r="A310" s="113" t="s">
        <v>483</v>
      </c>
      <c r="B310" s="272"/>
      <c r="F310" s="76" t="s">
        <v>216</v>
      </c>
      <c r="G310" s="37">
        <f>D295/'Schedule 1 Summary'!D17</f>
        <v>9066.68</v>
      </c>
      <c r="H310" s="36"/>
      <c r="J310" s="18"/>
    </row>
    <row r="311" spans="6:10" ht="12.75">
      <c r="F311" s="118" t="s">
        <v>147</v>
      </c>
      <c r="G311" s="377">
        <f>SUM(C295/52)</f>
        <v>9088.380961538462</v>
      </c>
      <c r="H311" s="36"/>
      <c r="J311" s="18"/>
    </row>
    <row r="312" spans="6:8" ht="12.75">
      <c r="F312" s="93"/>
      <c r="G312" s="120"/>
      <c r="H312" s="36"/>
    </row>
    <row r="313" spans="1:8" ht="12.75">
      <c r="A313" s="14" t="s">
        <v>337</v>
      </c>
      <c r="F313" s="93"/>
      <c r="G313" s="93"/>
      <c r="H313" s="36"/>
    </row>
    <row r="314" spans="6:8" ht="12.75">
      <c r="F314" s="93"/>
      <c r="G314" s="93"/>
      <c r="H314" s="36"/>
    </row>
    <row r="315" spans="6:8" ht="12.75">
      <c r="F315" s="93"/>
      <c r="G315" s="93"/>
      <c r="H315" s="36"/>
    </row>
    <row r="316" spans="6:8" ht="12.75">
      <c r="F316" s="93"/>
      <c r="G316" s="93"/>
      <c r="H316" s="36"/>
    </row>
    <row r="317" spans="6:8" ht="12.75">
      <c r="F317" s="93"/>
      <c r="G317" s="93"/>
      <c r="H317" s="36"/>
    </row>
    <row r="318" spans="6:8" ht="12.75">
      <c r="F318" s="36"/>
      <c r="H318" s="36"/>
    </row>
    <row r="319" spans="6:8" ht="12.75">
      <c r="F319" s="36"/>
      <c r="H319" s="36"/>
    </row>
    <row r="320" spans="6:8" ht="12.75">
      <c r="F320" s="36"/>
      <c r="H320" s="36"/>
    </row>
    <row r="321" spans="1:8" ht="15">
      <c r="A321" s="112" t="s">
        <v>134</v>
      </c>
      <c r="F321" s="36"/>
      <c r="H321" s="36"/>
    </row>
    <row r="322" spans="6:8" ht="12.75">
      <c r="F322" s="36"/>
      <c r="H322" s="36"/>
    </row>
    <row r="323" spans="1:8" ht="12.75">
      <c r="A323" s="97"/>
      <c r="B323" s="147" t="str">
        <f>$B$5</f>
        <v>6/30/07</v>
      </c>
      <c r="C323" s="147" t="str">
        <f>$C$5</f>
        <v>6/30/08</v>
      </c>
      <c r="D323" s="147" t="str">
        <f>$D$5</f>
        <v>Year to</v>
      </c>
      <c r="E323" s="147"/>
      <c r="F323" s="147"/>
      <c r="G323" s="147"/>
      <c r="H323" s="208"/>
    </row>
    <row r="324" spans="1:8" ht="12.75">
      <c r="A324" s="102"/>
      <c r="B324" s="95" t="str">
        <f>$B$6</f>
        <v>FY07</v>
      </c>
      <c r="C324" s="95" t="str">
        <f>$C$6</f>
        <v>FY08</v>
      </c>
      <c r="D324" s="95" t="str">
        <f>$D$6</f>
        <v>Date</v>
      </c>
      <c r="E324" s="95" t="str">
        <f>$E$6</f>
        <v>Projected</v>
      </c>
      <c r="F324" s="95" t="str">
        <f>$F$6</f>
        <v>Projected at</v>
      </c>
      <c r="G324" s="95" t="str">
        <f>$G$6</f>
        <v>Approved</v>
      </c>
      <c r="H324" s="209" t="str">
        <f>$H$6</f>
        <v>Variance</v>
      </c>
    </row>
    <row r="325" spans="1:8" ht="12.75">
      <c r="A325" s="104" t="s">
        <v>10</v>
      </c>
      <c r="B325" s="141" t="str">
        <f>$B$7</f>
        <v>Audited</v>
      </c>
      <c r="C325" s="141" t="str">
        <f>$C$7</f>
        <v>Unaudited</v>
      </c>
      <c r="D325" s="216" t="str">
        <f>$D$7</f>
        <v>As of 4/30/09</v>
      </c>
      <c r="E325" s="141" t="str">
        <f>$E$7</f>
        <v>2 months</v>
      </c>
      <c r="F325" s="141" t="str">
        <f>$F$7</f>
        <v>Year End</v>
      </c>
      <c r="G325" s="141" t="str">
        <f>$G$7</f>
        <v>Budget</v>
      </c>
      <c r="H325" s="210" t="str">
        <f>$H$7</f>
        <v>Over/(Under)</v>
      </c>
    </row>
    <row r="326" spans="1:8" ht="12.75">
      <c r="A326" s="60"/>
      <c r="B326" s="110"/>
      <c r="C326" s="110"/>
      <c r="D326" s="110"/>
      <c r="E326" s="95"/>
      <c r="F326" s="95"/>
      <c r="G326" s="95"/>
      <c r="H326" s="95"/>
    </row>
    <row r="327" spans="1:8" ht="12.75">
      <c r="A327" s="14" t="s">
        <v>2</v>
      </c>
      <c r="B327" s="36">
        <f>'Schedule 6a Public Works Bureau'!B11</f>
        <v>2319401</v>
      </c>
      <c r="C327" s="36">
        <f>'Schedule 6a Public Works Bureau'!C11</f>
        <v>2442378</v>
      </c>
      <c r="D327" s="36">
        <f>'Schedule 6a Public Works Bureau'!D11</f>
        <v>2143178</v>
      </c>
      <c r="E327" s="36">
        <f>'Schedule 6a Public Works Bureau'!E11</f>
        <v>554063</v>
      </c>
      <c r="F327" s="377">
        <f>SUM(D327:E327)</f>
        <v>2697241</v>
      </c>
      <c r="G327" s="36">
        <f>'Schedule 6a Public Works Bureau'!G11</f>
        <v>2766445.333333333</v>
      </c>
      <c r="H327" s="377">
        <f>SUM(F327-G327)</f>
        <v>-69204.33333333302</v>
      </c>
    </row>
    <row r="328" spans="1:8" ht="12.75">
      <c r="A328" s="14" t="s">
        <v>3</v>
      </c>
      <c r="B328" s="36">
        <f>'Schedule 6a Public Works Bureau'!B12</f>
        <v>253906.80333333332</v>
      </c>
      <c r="C328" s="36">
        <f>'Schedule 6a Public Works Bureau'!C12</f>
        <v>286442.81</v>
      </c>
      <c r="D328" s="36">
        <f>'Schedule 6a Public Works Bureau'!D12</f>
        <v>260563.78000000003</v>
      </c>
      <c r="E328" s="36">
        <f>'Schedule 6a Public Works Bureau'!E12</f>
        <v>40039.24333333333</v>
      </c>
      <c r="F328" s="377">
        <f aca="true" t="shared" si="49" ref="F328:F337">SUM(D328:E328)</f>
        <v>300603.0233333334</v>
      </c>
      <c r="G328" s="36">
        <f>'Schedule 6a Public Works Bureau'!G12</f>
        <v>230333.33333333334</v>
      </c>
      <c r="H328" s="377">
        <f aca="true" t="shared" si="50" ref="H328:H337">SUM(F328-G328)</f>
        <v>70269.69000000003</v>
      </c>
    </row>
    <row r="329" spans="1:8" ht="12.75">
      <c r="A329" s="14" t="s">
        <v>4</v>
      </c>
      <c r="B329" s="36">
        <f>'Schedule 6a Public Works Bureau'!B13</f>
        <v>231019.57333333336</v>
      </c>
      <c r="C329" s="36">
        <f>'Schedule 6a Public Works Bureau'!C13</f>
        <v>223311.9733333333</v>
      </c>
      <c r="D329" s="36">
        <f>'Schedule 6a Public Works Bureau'!D13</f>
        <v>206916.38666666666</v>
      </c>
      <c r="E329" s="36">
        <f>'Schedule 6a Public Works Bureau'!E13</f>
        <v>31672.920000000006</v>
      </c>
      <c r="F329" s="377">
        <f t="shared" si="49"/>
        <v>238589.30666666667</v>
      </c>
      <c r="G329" s="36">
        <f>'Schedule 6a Public Works Bureau'!G13</f>
        <v>269758.6666666666</v>
      </c>
      <c r="H329" s="377">
        <f t="shared" si="50"/>
        <v>-31169.359999999957</v>
      </c>
    </row>
    <row r="330" spans="1:8" ht="12.75">
      <c r="A330" s="14" t="s">
        <v>5</v>
      </c>
      <c r="B330" s="377">
        <f aca="true" t="shared" si="51" ref="B330:H330">SUM(B327:B329)</f>
        <v>2804327.3766666665</v>
      </c>
      <c r="C330" s="377">
        <f t="shared" si="51"/>
        <v>2952132.783333333</v>
      </c>
      <c r="D330" s="377">
        <f t="shared" si="51"/>
        <v>2610658.166666667</v>
      </c>
      <c r="E330" s="377">
        <f t="shared" si="51"/>
        <v>625775.1633333333</v>
      </c>
      <c r="F330" s="377">
        <f t="shared" si="51"/>
        <v>3236433.33</v>
      </c>
      <c r="G330" s="377">
        <f t="shared" si="51"/>
        <v>3266537.333333333</v>
      </c>
      <c r="H330" s="377">
        <f t="shared" si="51"/>
        <v>-30104.00333333295</v>
      </c>
    </row>
    <row r="331" spans="1:8" ht="12.75">
      <c r="A331" s="93" t="s">
        <v>178</v>
      </c>
      <c r="B331" s="36">
        <f>'Schedule 6a Public Works Bureau'!B15</f>
        <v>18548.323333333334</v>
      </c>
      <c r="C331" s="36">
        <f>'Schedule 6a Public Works Bureau'!C15</f>
        <v>18416.756666666668</v>
      </c>
      <c r="D331" s="36">
        <f>'Schedule 6a Public Works Bureau'!D15</f>
        <v>17134.916666666664</v>
      </c>
      <c r="E331" s="36">
        <f>'Schedule 6a Public Works Bureau'!E15</f>
        <v>6889.543333333334</v>
      </c>
      <c r="F331" s="377">
        <f t="shared" si="49"/>
        <v>24024.46</v>
      </c>
      <c r="G331" s="36">
        <f>'Schedule 6a Public Works Bureau'!G15</f>
        <v>24024.66666666667</v>
      </c>
      <c r="H331" s="377">
        <f t="shared" si="50"/>
        <v>-0.20666666667239042</v>
      </c>
    </row>
    <row r="332" spans="1:8" ht="12.75">
      <c r="A332" s="93" t="s">
        <v>179</v>
      </c>
      <c r="B332" s="36">
        <f>'Schedule 6a Public Works Bureau'!B16</f>
        <v>37732.753333333334</v>
      </c>
      <c r="C332" s="36">
        <f>'Schedule 6a Public Works Bureau'!C16</f>
        <v>44050.926666666666</v>
      </c>
      <c r="D332" s="36">
        <f>'Schedule 6a Public Works Bureau'!D16</f>
        <v>36529.88333333333</v>
      </c>
      <c r="E332" s="36">
        <f>'Schedule 6a Public Works Bureau'!E16</f>
        <v>46161.78333333333</v>
      </c>
      <c r="F332" s="377">
        <f t="shared" si="49"/>
        <v>82691.66666666666</v>
      </c>
      <c r="G332" s="36">
        <f>'Schedule 6a Public Works Bureau'!G16</f>
        <v>82691.33333333333</v>
      </c>
      <c r="H332" s="377">
        <f t="shared" si="50"/>
        <v>0.3333333333284827</v>
      </c>
    </row>
    <row r="333" spans="1:8" ht="12.75">
      <c r="A333" s="93" t="s">
        <v>173</v>
      </c>
      <c r="B333" s="36">
        <f>'Schedule 6a Public Works Bureau'!B17</f>
        <v>1552811.22</v>
      </c>
      <c r="C333" s="36">
        <f>'Schedule 6a Public Works Bureau'!C17</f>
        <v>1525007.183333333</v>
      </c>
      <c r="D333" s="36">
        <f>'Schedule 6a Public Works Bureau'!D17</f>
        <v>1281278.3866666667</v>
      </c>
      <c r="E333" s="36">
        <f>'Schedule 6a Public Works Bureau'!E17</f>
        <v>471006.61333333334</v>
      </c>
      <c r="F333" s="377">
        <f t="shared" si="49"/>
        <v>1752285</v>
      </c>
      <c r="G333" s="36">
        <f>'Schedule 6a Public Works Bureau'!G17</f>
        <v>1692065</v>
      </c>
      <c r="H333" s="377">
        <f t="shared" si="50"/>
        <v>60220</v>
      </c>
    </row>
    <row r="334" spans="1:8" ht="12.75">
      <c r="A334" s="93" t="s">
        <v>174</v>
      </c>
      <c r="B334" s="36">
        <f>'Schedule 6a Public Works Bureau'!B18</f>
        <v>209800.54333333333</v>
      </c>
      <c r="C334" s="36">
        <f>'Schedule 6a Public Works Bureau'!C18</f>
        <v>200697.9333333333</v>
      </c>
      <c r="D334" s="36">
        <f>'Schedule 6a Public Works Bureau'!D18</f>
        <v>117449.74999999999</v>
      </c>
      <c r="E334" s="36">
        <f>'Schedule 6a Public Works Bureau'!E18</f>
        <v>24116.91666666667</v>
      </c>
      <c r="F334" s="377">
        <f t="shared" si="49"/>
        <v>141566.66666666666</v>
      </c>
      <c r="G334" s="36">
        <f>'Schedule 6a Public Works Bureau'!G18</f>
        <v>141566.6666666667</v>
      </c>
      <c r="H334" s="377">
        <f t="shared" si="50"/>
        <v>-2.9103830456733704E-11</v>
      </c>
    </row>
    <row r="335" spans="1:8" ht="12.75">
      <c r="A335" s="93" t="s">
        <v>175</v>
      </c>
      <c r="B335" s="36">
        <f>'Schedule 6a Public Works Bureau'!B19</f>
        <v>1066958.0666666667</v>
      </c>
      <c r="C335" s="36">
        <f>'Schedule 6a Public Works Bureau'!C19</f>
        <v>1183739.4233333336</v>
      </c>
      <c r="D335" s="36">
        <f>'Schedule 6a Public Works Bureau'!D19</f>
        <v>1106135.9766666668</v>
      </c>
      <c r="E335" s="36">
        <f>'Schedule 6a Public Works Bureau'!E19</f>
        <v>280875.0233333334</v>
      </c>
      <c r="F335" s="377">
        <f t="shared" si="49"/>
        <v>1387011.0000000002</v>
      </c>
      <c r="G335" s="36">
        <f>'Schedule 6a Public Works Bureau'!G19</f>
        <v>1387011</v>
      </c>
      <c r="H335" s="377">
        <f t="shared" si="50"/>
        <v>2.3283064365386963E-10</v>
      </c>
    </row>
    <row r="336" spans="1:8" ht="12.75">
      <c r="A336" s="93" t="s">
        <v>177</v>
      </c>
      <c r="B336" s="36">
        <f>SUM('Schedule 6a Public Works Bureau'!B20)</f>
        <v>978.5866666666667</v>
      </c>
      <c r="C336" s="36">
        <f>SUM('Schedule 6a Public Works Bureau'!C20)</f>
        <v>2502.346666666667</v>
      </c>
      <c r="D336" s="36">
        <f>'Schedule 6a Public Works Bureau'!D20</f>
        <v>741.6866666666667</v>
      </c>
      <c r="E336" s="36">
        <f>SUM('Schedule 6a Public Works Bureau'!E20)</f>
        <v>2958.7499999999995</v>
      </c>
      <c r="F336" s="377">
        <f t="shared" si="49"/>
        <v>3700.4366666666665</v>
      </c>
      <c r="G336" s="36">
        <f>SUM('Schedule 6a Public Works Bureau'!G20)</f>
        <v>3700.6666666666665</v>
      </c>
      <c r="H336" s="377">
        <f t="shared" si="50"/>
        <v>-0.2300000000000182</v>
      </c>
    </row>
    <row r="337" spans="1:8" ht="12.75">
      <c r="A337" s="148" t="s">
        <v>176</v>
      </c>
      <c r="B337" s="373">
        <f>SUM('Schedule 6a Public Works Bureau'!B21)</f>
        <v>35165.21666666666</v>
      </c>
      <c r="C337" s="373">
        <f>SUM('Schedule 6a Public Works Bureau'!C21)</f>
        <v>36396.78333333333</v>
      </c>
      <c r="D337" s="373">
        <f>'Schedule 6a Public Works Bureau'!D21</f>
        <v>30633.4</v>
      </c>
      <c r="E337" s="373">
        <f>SUM('Schedule 6a Public Works Bureau'!E21)</f>
        <v>7611.599999999999</v>
      </c>
      <c r="F337" s="377">
        <f t="shared" si="49"/>
        <v>38245</v>
      </c>
      <c r="G337" s="373">
        <f>SUM('Schedule 6a Public Works Bureau'!G21)</f>
        <v>38244.666666666664</v>
      </c>
      <c r="H337" s="377">
        <f t="shared" si="50"/>
        <v>0.33333333333575865</v>
      </c>
    </row>
    <row r="338" spans="1:8" ht="13.5" thickBot="1">
      <c r="A338" s="111" t="s">
        <v>7</v>
      </c>
      <c r="B338" s="378">
        <f aca="true" t="shared" si="52" ref="B338:H338">SUM(B330:B337)</f>
        <v>5726322.086666666</v>
      </c>
      <c r="C338" s="378">
        <f t="shared" si="52"/>
        <v>5962944.136666668</v>
      </c>
      <c r="D338" s="378">
        <f t="shared" si="52"/>
        <v>5200562.166666667</v>
      </c>
      <c r="E338" s="378">
        <f t="shared" si="52"/>
        <v>1465395.3933333335</v>
      </c>
      <c r="F338" s="378">
        <f t="shared" si="52"/>
        <v>6665957.5600000005</v>
      </c>
      <c r="G338" s="378">
        <f t="shared" si="52"/>
        <v>6635841.333333334</v>
      </c>
      <c r="H338" s="378">
        <f t="shared" si="52"/>
        <v>30116.226666667248</v>
      </c>
    </row>
    <row r="339" spans="1:8" ht="13.5" thickTop="1">
      <c r="A339" s="79"/>
      <c r="B339" s="37"/>
      <c r="C339" s="37"/>
      <c r="D339" s="37"/>
      <c r="E339" s="37"/>
      <c r="F339" s="37"/>
      <c r="G339" s="37"/>
      <c r="H339" s="37"/>
    </row>
    <row r="340" spans="1:8" ht="12.75">
      <c r="A340" s="74" t="s">
        <v>484</v>
      </c>
      <c r="B340" s="76"/>
      <c r="C340" s="76"/>
      <c r="D340" s="76"/>
      <c r="E340" s="37"/>
      <c r="F340" s="37"/>
      <c r="G340" s="37"/>
      <c r="H340" s="37"/>
    </row>
    <row r="341" spans="1:8" ht="12.75">
      <c r="A341" s="119"/>
      <c r="B341" s="76"/>
      <c r="C341" s="76"/>
      <c r="D341" s="76"/>
      <c r="E341" s="37"/>
      <c r="F341" s="36"/>
      <c r="G341" s="142"/>
      <c r="H341" s="37"/>
    </row>
    <row r="342" spans="1:8" ht="12.75">
      <c r="A342" s="113"/>
      <c r="B342" s="118"/>
      <c r="C342" s="118"/>
      <c r="D342" s="118"/>
      <c r="F342" s="375" t="s">
        <v>215</v>
      </c>
      <c r="G342" s="222"/>
      <c r="H342" s="36"/>
    </row>
    <row r="343" spans="6:8" ht="12.75">
      <c r="F343" s="118" t="str">
        <f>'Schedule 6a Public Works Bureau'!E27</f>
        <v>Bi-Weekly PP posted 5/22/09</v>
      </c>
      <c r="G343" s="36">
        <f>'Schedule 6a Public Works Bureau'!F27</f>
        <v>23314</v>
      </c>
      <c r="H343" s="36"/>
    </row>
    <row r="344" spans="6:8" ht="12.75">
      <c r="F344" s="118" t="str">
        <f>'Schedule 6a Public Works Bureau'!E28</f>
        <v>Weekly PP posted 5/22/09</v>
      </c>
      <c r="G344" s="36">
        <f>'Schedule 6a Public Works Bureau'!F28</f>
        <v>35062</v>
      </c>
      <c r="H344" s="36"/>
    </row>
    <row r="345" spans="6:8" ht="13.5" thickBot="1">
      <c r="F345" s="139"/>
      <c r="G345" s="384">
        <f>SUM(G343:G344)</f>
        <v>58376</v>
      </c>
      <c r="H345" s="36"/>
    </row>
    <row r="346" spans="6:8" ht="13.5" thickTop="1">
      <c r="F346" s="36"/>
      <c r="H346" s="36"/>
    </row>
    <row r="347" spans="6:8" ht="12.75">
      <c r="F347" s="36"/>
      <c r="H347" s="36"/>
    </row>
    <row r="348" spans="1:8" ht="15">
      <c r="A348" s="112" t="s">
        <v>518</v>
      </c>
      <c r="F348" s="36"/>
      <c r="H348" s="36"/>
    </row>
    <row r="349" spans="6:8" ht="12.75">
      <c r="F349" s="36"/>
      <c r="H349" s="36"/>
    </row>
    <row r="350" spans="1:8" ht="12.75">
      <c r="A350" s="97"/>
      <c r="B350" s="147" t="str">
        <f>$B$5</f>
        <v>6/30/07</v>
      </c>
      <c r="C350" s="147" t="str">
        <f>$C$5</f>
        <v>6/30/08</v>
      </c>
      <c r="D350" s="147" t="str">
        <f>$D$5</f>
        <v>Year to</v>
      </c>
      <c r="E350" s="147"/>
      <c r="F350" s="147"/>
      <c r="G350" s="147"/>
      <c r="H350" s="208"/>
    </row>
    <row r="351" spans="1:8" ht="12.75">
      <c r="A351" s="102"/>
      <c r="B351" s="95" t="str">
        <f>$B$6</f>
        <v>FY07</v>
      </c>
      <c r="C351" s="95" t="str">
        <f>$C$6</f>
        <v>FY08</v>
      </c>
      <c r="D351" s="95" t="str">
        <f>$D$6</f>
        <v>Date</v>
      </c>
      <c r="E351" s="95" t="str">
        <f>$E$6</f>
        <v>Projected</v>
      </c>
      <c r="F351" s="95" t="str">
        <f>$F$6</f>
        <v>Projected at</v>
      </c>
      <c r="G351" s="95" t="str">
        <f>$G$6</f>
        <v>Approved</v>
      </c>
      <c r="H351" s="209" t="str">
        <f>$H$6</f>
        <v>Variance</v>
      </c>
    </row>
    <row r="352" spans="1:8" ht="12.75">
      <c r="A352" s="104" t="s">
        <v>10</v>
      </c>
      <c r="B352" s="141" t="str">
        <f>$B$7</f>
        <v>Audited</v>
      </c>
      <c r="C352" s="141" t="str">
        <f>$C$7</f>
        <v>Unaudited</v>
      </c>
      <c r="D352" s="216" t="str">
        <f>$D$7</f>
        <v>As of 4/30/09</v>
      </c>
      <c r="E352" s="141" t="str">
        <f>$E$7</f>
        <v>2 months</v>
      </c>
      <c r="F352" s="141" t="str">
        <f>$F$7</f>
        <v>Year End</v>
      </c>
      <c r="G352" s="141" t="str">
        <f>$G$7</f>
        <v>Budget</v>
      </c>
      <c r="H352" s="210" t="str">
        <f>$H$7</f>
        <v>Over/(Under)</v>
      </c>
    </row>
    <row r="353" spans="1:8" ht="12.75">
      <c r="A353" s="60"/>
      <c r="B353" s="110"/>
      <c r="C353" s="110"/>
      <c r="D353" s="110"/>
      <c r="E353" s="95"/>
      <c r="F353" s="95"/>
      <c r="G353" s="95"/>
      <c r="H353" s="95"/>
    </row>
    <row r="354" spans="1:15" ht="12.75">
      <c r="A354" s="14" t="s">
        <v>2</v>
      </c>
      <c r="B354" s="381">
        <v>69402.35</v>
      </c>
      <c r="C354" s="381">
        <v>95391.32666666666</v>
      </c>
      <c r="D354" s="284">
        <v>86033.15</v>
      </c>
      <c r="E354" s="377">
        <f>G367*'Schedule 1 Summary'!D15+1500</f>
        <v>22710</v>
      </c>
      <c r="F354" s="377">
        <f>SUM(D354:E354)</f>
        <v>108743.15</v>
      </c>
      <c r="G354" s="381">
        <v>112672</v>
      </c>
      <c r="H354" s="377">
        <f>SUM(F354-G354)</f>
        <v>-3928.850000000006</v>
      </c>
      <c r="J354" s="18"/>
      <c r="K354" s="18"/>
      <c r="L354" s="18"/>
      <c r="M354" s="18"/>
      <c r="N354" s="18"/>
      <c r="O354" s="18"/>
    </row>
    <row r="355" spans="1:15" ht="12.75">
      <c r="A355" s="14" t="s">
        <v>3</v>
      </c>
      <c r="B355" s="381">
        <v>2536.43</v>
      </c>
      <c r="C355" s="381">
        <v>3540.13</v>
      </c>
      <c r="D355" s="284">
        <v>2030.2633333333333</v>
      </c>
      <c r="E355" s="272">
        <v>236</v>
      </c>
      <c r="F355" s="377">
        <f>SUM(D355:E355)</f>
        <v>2266.2633333333333</v>
      </c>
      <c r="G355" s="381">
        <v>2266.6666666666665</v>
      </c>
      <c r="H355" s="377">
        <f>SUM(F355-G355)</f>
        <v>-0.4033333333331939</v>
      </c>
      <c r="J355" s="18"/>
      <c r="K355" s="18"/>
      <c r="L355" s="18"/>
      <c r="M355" s="18"/>
      <c r="N355" s="18"/>
      <c r="O355" s="18"/>
    </row>
    <row r="356" spans="1:15" ht="12.75">
      <c r="A356" s="14" t="s">
        <v>4</v>
      </c>
      <c r="B356" s="381">
        <v>0</v>
      </c>
      <c r="C356" s="381">
        <v>0</v>
      </c>
      <c r="D356" s="284">
        <v>185.64</v>
      </c>
      <c r="E356" s="272">
        <v>0</v>
      </c>
      <c r="F356" s="377">
        <f>SUM(D356:E356)</f>
        <v>185.64</v>
      </c>
      <c r="G356" s="381">
        <v>0</v>
      </c>
      <c r="H356" s="377">
        <f>SUM(F356-G356)</f>
        <v>185.64</v>
      </c>
      <c r="J356" s="18"/>
      <c r="K356" s="18"/>
      <c r="L356" s="18"/>
      <c r="M356" s="18"/>
      <c r="N356" s="18"/>
      <c r="O356" s="18"/>
    </row>
    <row r="357" spans="1:15" ht="12.75">
      <c r="A357" s="14" t="s">
        <v>5</v>
      </c>
      <c r="B357" s="377">
        <f aca="true" t="shared" si="53" ref="B357:H357">SUM(B354:B356)</f>
        <v>71938.78</v>
      </c>
      <c r="C357" s="377">
        <f t="shared" si="53"/>
        <v>98931.45666666667</v>
      </c>
      <c r="D357" s="377">
        <f t="shared" si="53"/>
        <v>88249.05333333333</v>
      </c>
      <c r="E357" s="377">
        <f t="shared" si="53"/>
        <v>22946</v>
      </c>
      <c r="F357" s="377">
        <f t="shared" si="53"/>
        <v>111195.05333333333</v>
      </c>
      <c r="G357" s="377">
        <f t="shared" si="53"/>
        <v>114938.66666666667</v>
      </c>
      <c r="H357" s="377">
        <f t="shared" si="53"/>
        <v>-3743.613333333339</v>
      </c>
      <c r="J357" s="18"/>
      <c r="K357" s="18"/>
      <c r="L357" s="18"/>
      <c r="M357" s="18"/>
      <c r="N357" s="18"/>
      <c r="O357" s="18"/>
    </row>
    <row r="358" spans="1:15" ht="12.75">
      <c r="A358" s="14" t="s">
        <v>178</v>
      </c>
      <c r="B358" s="381">
        <v>176.33333333333334</v>
      </c>
      <c r="C358" s="381">
        <v>845.21</v>
      </c>
      <c r="D358" s="284">
        <v>584.4066666666666</v>
      </c>
      <c r="E358" s="272">
        <v>1082</v>
      </c>
      <c r="F358" s="377">
        <f aca="true" t="shared" si="54" ref="F358:F364">SUM(D358:E358)</f>
        <v>1666.4066666666668</v>
      </c>
      <c r="G358" s="381">
        <v>1666.6666666666667</v>
      </c>
      <c r="H358" s="377">
        <f aca="true" t="shared" si="55" ref="H358:H364">SUM(F358-G358)</f>
        <v>-0.2599999999999909</v>
      </c>
      <c r="J358" s="18"/>
      <c r="K358" s="18"/>
      <c r="L358" s="18"/>
      <c r="M358" s="18"/>
      <c r="N358" s="18"/>
      <c r="O358" s="18"/>
    </row>
    <row r="359" spans="1:15" ht="12.75">
      <c r="A359" s="14" t="s">
        <v>179</v>
      </c>
      <c r="B359" s="381">
        <v>222.40333333333334</v>
      </c>
      <c r="C359" s="381">
        <v>33.333333333333336</v>
      </c>
      <c r="D359" s="284">
        <v>595.6666666666666</v>
      </c>
      <c r="E359" s="272">
        <v>571</v>
      </c>
      <c r="F359" s="377">
        <f t="shared" si="54"/>
        <v>1166.6666666666665</v>
      </c>
      <c r="G359" s="381">
        <v>1166.6666666666667</v>
      </c>
      <c r="H359" s="377">
        <f t="shared" si="55"/>
        <v>-2.2737367544323206E-13</v>
      </c>
      <c r="J359" s="18"/>
      <c r="K359" s="18"/>
      <c r="L359" s="18"/>
      <c r="M359" s="18"/>
      <c r="N359" s="18"/>
      <c r="O359" s="18"/>
    </row>
    <row r="360" spans="1:15" ht="12.75">
      <c r="A360" s="14" t="s">
        <v>173</v>
      </c>
      <c r="B360" s="381">
        <v>66.66666666666667</v>
      </c>
      <c r="C360" s="381">
        <v>1508.49</v>
      </c>
      <c r="D360" s="284">
        <v>882.0433333333334</v>
      </c>
      <c r="E360" s="272">
        <v>618</v>
      </c>
      <c r="F360" s="377">
        <f>SUM(D360:E360)</f>
        <v>1500.0433333333335</v>
      </c>
      <c r="G360" s="381">
        <v>1500</v>
      </c>
      <c r="H360" s="377">
        <f t="shared" si="55"/>
        <v>0.043333333333521296</v>
      </c>
      <c r="J360" s="18"/>
      <c r="K360" s="18"/>
      <c r="L360" s="18"/>
      <c r="M360" s="18"/>
      <c r="N360" s="18"/>
      <c r="O360" s="18"/>
    </row>
    <row r="361" spans="1:15" ht="12.75">
      <c r="A361" s="14" t="s">
        <v>174</v>
      </c>
      <c r="B361" s="381">
        <v>9782.676666666666</v>
      </c>
      <c r="C361" s="381">
        <v>6714.933333333333</v>
      </c>
      <c r="D361" s="284">
        <v>5410.753333333333</v>
      </c>
      <c r="E361" s="272">
        <v>4956</v>
      </c>
      <c r="F361" s="377">
        <f t="shared" si="54"/>
        <v>10366.753333333334</v>
      </c>
      <c r="G361" s="381">
        <v>10366.666666666666</v>
      </c>
      <c r="H361" s="377">
        <f t="shared" si="55"/>
        <v>0.08666666666795209</v>
      </c>
      <c r="J361" s="18"/>
      <c r="K361" s="18"/>
      <c r="L361" s="18"/>
      <c r="M361" s="18"/>
      <c r="N361" s="18"/>
      <c r="O361" s="18"/>
    </row>
    <row r="362" spans="1:15" ht="12.75">
      <c r="A362" s="14" t="s">
        <v>175</v>
      </c>
      <c r="B362" s="381">
        <v>865.9833333333332</v>
      </c>
      <c r="C362" s="381">
        <v>1098.1233333333332</v>
      </c>
      <c r="D362" s="284">
        <v>697.3233333333333</v>
      </c>
      <c r="E362" s="272">
        <v>303</v>
      </c>
      <c r="F362" s="377">
        <f t="shared" si="54"/>
        <v>1000.3233333333333</v>
      </c>
      <c r="G362" s="381">
        <v>1000</v>
      </c>
      <c r="H362" s="377">
        <f t="shared" si="55"/>
        <v>0.32333333333326664</v>
      </c>
      <c r="J362" s="18"/>
      <c r="K362" s="18"/>
      <c r="L362" s="18"/>
      <c r="M362" s="18"/>
      <c r="N362" s="18"/>
      <c r="O362" s="18"/>
    </row>
    <row r="363" spans="1:15" ht="12.75">
      <c r="A363" s="14" t="s">
        <v>177</v>
      </c>
      <c r="B363" s="381">
        <v>1332.5733333333333</v>
      </c>
      <c r="C363" s="381">
        <v>811.3833333333333</v>
      </c>
      <c r="D363" s="284">
        <v>1097.98</v>
      </c>
      <c r="E363" s="272">
        <v>102</v>
      </c>
      <c r="F363" s="382">
        <f t="shared" si="54"/>
        <v>1199.98</v>
      </c>
      <c r="G363" s="381">
        <v>1200</v>
      </c>
      <c r="H363" s="382">
        <f t="shared" si="55"/>
        <v>-0.01999999999998181</v>
      </c>
      <c r="J363" s="18"/>
      <c r="K363" s="18"/>
      <c r="L363" s="18"/>
      <c r="M363" s="18"/>
      <c r="N363" s="18"/>
      <c r="O363" s="18"/>
    </row>
    <row r="364" spans="1:15" ht="12.75">
      <c r="A364" s="16" t="s">
        <v>176</v>
      </c>
      <c r="B364" s="381">
        <v>1697.2</v>
      </c>
      <c r="C364" s="381">
        <v>1270.5266666666666</v>
      </c>
      <c r="D364" s="284">
        <v>1122.77</v>
      </c>
      <c r="E364" s="272">
        <v>914</v>
      </c>
      <c r="F364" s="377">
        <f t="shared" si="54"/>
        <v>2036.77</v>
      </c>
      <c r="G364" s="381">
        <v>2036.6666666666667</v>
      </c>
      <c r="H364" s="379">
        <f t="shared" si="55"/>
        <v>0.10333333333323935</v>
      </c>
      <c r="J364" s="18"/>
      <c r="K364" s="18"/>
      <c r="L364" s="18"/>
      <c r="M364" s="18"/>
      <c r="N364" s="18"/>
      <c r="O364" s="18"/>
    </row>
    <row r="365" spans="1:8" ht="13.5" thickBot="1">
      <c r="A365" s="111" t="s">
        <v>7</v>
      </c>
      <c r="B365" s="378">
        <f aca="true" t="shared" si="56" ref="B365:H365">SUM(B357:B364)</f>
        <v>86082.61666666667</v>
      </c>
      <c r="C365" s="378">
        <f t="shared" si="56"/>
        <v>111213.45666666668</v>
      </c>
      <c r="D365" s="378">
        <f t="shared" si="56"/>
        <v>98639.99666666666</v>
      </c>
      <c r="E365" s="378">
        <f t="shared" si="56"/>
        <v>31492</v>
      </c>
      <c r="F365" s="378">
        <f t="shared" si="56"/>
        <v>130131.99666666667</v>
      </c>
      <c r="G365" s="378">
        <f t="shared" si="56"/>
        <v>133875.33333333334</v>
      </c>
      <c r="H365" s="378">
        <f t="shared" si="56"/>
        <v>-3743.3366666666716</v>
      </c>
    </row>
    <row r="366" spans="2:8" ht="13.5" thickTop="1">
      <c r="B366" s="37"/>
      <c r="C366" s="37"/>
      <c r="D366" s="37"/>
      <c r="E366" s="37"/>
      <c r="F366" s="37"/>
      <c r="G366" s="37"/>
      <c r="H366" s="37"/>
    </row>
    <row r="367" spans="1:8" ht="12.75">
      <c r="A367" s="113" t="s">
        <v>312</v>
      </c>
      <c r="B367" s="285"/>
      <c r="C367" s="37"/>
      <c r="D367" s="37"/>
      <c r="E367" s="37"/>
      <c r="F367" s="118" t="str">
        <f>$F$20</f>
        <v>Bi-Weekly PP posted 5/22/09</v>
      </c>
      <c r="G367" s="283">
        <v>4242</v>
      </c>
      <c r="H367" s="37"/>
    </row>
    <row r="368" spans="1:8" ht="12.75">
      <c r="A368" s="14" t="s">
        <v>424</v>
      </c>
      <c r="B368" s="272"/>
      <c r="F368" s="36"/>
      <c r="H368" s="36"/>
    </row>
    <row r="369" spans="6:8" ht="12.75">
      <c r="F369" s="36"/>
      <c r="H369" s="36"/>
    </row>
    <row r="370" spans="6:8" ht="12.75">
      <c r="F370" s="36"/>
      <c r="H370" s="36"/>
    </row>
    <row r="371" spans="1:8" ht="15">
      <c r="A371" s="112" t="s">
        <v>528</v>
      </c>
      <c r="F371" s="36"/>
      <c r="H371" s="36"/>
    </row>
    <row r="372" spans="1:8" ht="12.75">
      <c r="A372" s="2"/>
      <c r="F372" s="36"/>
      <c r="H372" s="36"/>
    </row>
    <row r="373" spans="1:8" ht="12.75">
      <c r="A373" s="97"/>
      <c r="B373" s="147" t="str">
        <f>$B$5</f>
        <v>6/30/07</v>
      </c>
      <c r="C373" s="147" t="str">
        <f>$C$5</f>
        <v>6/30/08</v>
      </c>
      <c r="D373" s="147" t="str">
        <f>$D$5</f>
        <v>Year to</v>
      </c>
      <c r="E373" s="147"/>
      <c r="F373" s="147"/>
      <c r="G373" s="147"/>
      <c r="H373" s="208"/>
    </row>
    <row r="374" spans="1:8" ht="12.75">
      <c r="A374" s="102"/>
      <c r="B374" s="95" t="str">
        <f>$B$6</f>
        <v>FY07</v>
      </c>
      <c r="C374" s="95" t="str">
        <f>$C$6</f>
        <v>FY08</v>
      </c>
      <c r="D374" s="95" t="str">
        <f>$D$6</f>
        <v>Date</v>
      </c>
      <c r="E374" s="95" t="str">
        <f>$E$6</f>
        <v>Projected</v>
      </c>
      <c r="F374" s="95" t="str">
        <f>$F$6</f>
        <v>Projected at</v>
      </c>
      <c r="G374" s="95" t="str">
        <f>$G$6</f>
        <v>Approved</v>
      </c>
      <c r="H374" s="209" t="str">
        <f>$H$6</f>
        <v>Variance</v>
      </c>
    </row>
    <row r="375" spans="1:8" ht="12.75">
      <c r="A375" s="104" t="s">
        <v>10</v>
      </c>
      <c r="B375" s="141" t="str">
        <f>$B$7</f>
        <v>Audited</v>
      </c>
      <c r="C375" s="141" t="str">
        <f>$C$7</f>
        <v>Unaudited</v>
      </c>
      <c r="D375" s="216" t="str">
        <f>$D$7</f>
        <v>As of 4/30/09</v>
      </c>
      <c r="E375" s="141" t="str">
        <f>$E$7</f>
        <v>2 months</v>
      </c>
      <c r="F375" s="141" t="str">
        <f>$F$7</f>
        <v>Year End</v>
      </c>
      <c r="G375" s="141" t="str">
        <f>$G$7</f>
        <v>Budget</v>
      </c>
      <c r="H375" s="210" t="str">
        <f>$H$7</f>
        <v>Over/(Under)</v>
      </c>
    </row>
    <row r="376" spans="1:8" ht="12.75">
      <c r="A376" s="60"/>
      <c r="B376" s="110"/>
      <c r="C376" s="110"/>
      <c r="D376" s="110"/>
      <c r="E376" s="95"/>
      <c r="F376" s="95"/>
      <c r="G376" s="95"/>
      <c r="H376" s="95"/>
    </row>
    <row r="377" spans="1:15" ht="12.75">
      <c r="A377" s="14" t="s">
        <v>2</v>
      </c>
      <c r="B377" s="381">
        <v>192331.29333333333</v>
      </c>
      <c r="C377" s="381">
        <v>219734.72333333336</v>
      </c>
      <c r="D377" s="284">
        <v>180018.75333333333</v>
      </c>
      <c r="E377" s="377">
        <f>G389*'Schedule 1 Summary'!D15+3500+2000</f>
        <v>45915</v>
      </c>
      <c r="F377" s="377">
        <f>SUM(D377:E377)</f>
        <v>225933.75333333333</v>
      </c>
      <c r="G377" s="381">
        <v>243764.33333333334</v>
      </c>
      <c r="H377" s="377">
        <f>SUM(F377-G377)</f>
        <v>-17830.580000000016</v>
      </c>
      <c r="J377" s="18"/>
      <c r="K377" s="18"/>
      <c r="L377" s="18"/>
      <c r="M377" s="18"/>
      <c r="N377" s="18"/>
      <c r="O377" s="18"/>
    </row>
    <row r="378" spans="1:15" ht="12.75">
      <c r="A378" s="14" t="s">
        <v>3</v>
      </c>
      <c r="B378" s="381">
        <v>492.3966666666667</v>
      </c>
      <c r="C378" s="381">
        <v>426.8533333333333</v>
      </c>
      <c r="D378" s="284">
        <v>325.37</v>
      </c>
      <c r="E378" s="272">
        <v>300</v>
      </c>
      <c r="F378" s="377">
        <f aca="true" t="shared" si="57" ref="F378:F386">SUM(D378:E378)</f>
        <v>625.37</v>
      </c>
      <c r="G378" s="381">
        <v>666.6666666666666</v>
      </c>
      <c r="H378" s="377">
        <f>SUM(F378-G378)</f>
        <v>-41.296666666666624</v>
      </c>
      <c r="J378" s="18"/>
      <c r="K378" s="18"/>
      <c r="L378" s="18"/>
      <c r="M378" s="18"/>
      <c r="N378" s="18"/>
      <c r="O378" s="18"/>
    </row>
    <row r="379" spans="1:15" ht="12.75">
      <c r="A379" s="14" t="s">
        <v>4</v>
      </c>
      <c r="B379" s="381">
        <v>1341.6666666666667</v>
      </c>
      <c r="C379" s="381">
        <v>3723.49</v>
      </c>
      <c r="D379" s="284">
        <v>1158.3333333333333</v>
      </c>
      <c r="E379" s="272">
        <v>0</v>
      </c>
      <c r="F379" s="377">
        <f t="shared" si="57"/>
        <v>1158.3333333333333</v>
      </c>
      <c r="G379" s="381">
        <v>1341.6666666666667</v>
      </c>
      <c r="H379" s="377">
        <f>SUM(F379-G379)</f>
        <v>-183.33333333333348</v>
      </c>
      <c r="J379" s="18"/>
      <c r="K379" s="18"/>
      <c r="L379" s="18"/>
      <c r="M379" s="18"/>
      <c r="N379" s="18"/>
      <c r="O379" s="18"/>
    </row>
    <row r="380" spans="1:15" ht="12.75">
      <c r="A380" s="14" t="s">
        <v>5</v>
      </c>
      <c r="B380" s="377">
        <f aca="true" t="shared" si="58" ref="B380:H380">SUM(B377:B379)</f>
        <v>194165.35666666666</v>
      </c>
      <c r="C380" s="377">
        <f t="shared" si="58"/>
        <v>223885.06666666668</v>
      </c>
      <c r="D380" s="377">
        <f t="shared" si="58"/>
        <v>181502.45666666667</v>
      </c>
      <c r="E380" s="377">
        <f t="shared" si="58"/>
        <v>46215</v>
      </c>
      <c r="F380" s="377">
        <f t="shared" si="58"/>
        <v>227717.45666666667</v>
      </c>
      <c r="G380" s="377">
        <f t="shared" si="58"/>
        <v>245772.66666666666</v>
      </c>
      <c r="H380" s="377">
        <f t="shared" si="58"/>
        <v>-18055.210000000014</v>
      </c>
      <c r="J380" s="18"/>
      <c r="K380" s="18"/>
      <c r="L380" s="18"/>
      <c r="M380" s="18"/>
      <c r="N380" s="18"/>
      <c r="O380" s="18"/>
    </row>
    <row r="381" spans="1:15" ht="12.75">
      <c r="A381" s="14" t="s">
        <v>178</v>
      </c>
      <c r="B381" s="381">
        <v>9444.063333333334</v>
      </c>
      <c r="C381" s="381">
        <v>11291.373333333335</v>
      </c>
      <c r="D381" s="284">
        <v>8926.463333333333</v>
      </c>
      <c r="E381" s="272">
        <v>2740</v>
      </c>
      <c r="F381" s="377">
        <f t="shared" si="57"/>
        <v>11666.463333333333</v>
      </c>
      <c r="G381" s="381">
        <v>11666</v>
      </c>
      <c r="H381" s="377">
        <f aca="true" t="shared" si="59" ref="H381:H386">SUM(F381-G381)</f>
        <v>0.4633333333331393</v>
      </c>
      <c r="J381" s="18"/>
      <c r="K381" s="18"/>
      <c r="L381" s="18"/>
      <c r="M381" s="18"/>
      <c r="N381" s="18"/>
      <c r="O381" s="18"/>
    </row>
    <row r="382" spans="1:15" ht="12.75">
      <c r="A382" s="14" t="s">
        <v>179</v>
      </c>
      <c r="B382" s="381">
        <v>681.6566666666666</v>
      </c>
      <c r="C382" s="381">
        <v>350.6133333333333</v>
      </c>
      <c r="D382" s="284">
        <v>426.00333333333333</v>
      </c>
      <c r="E382" s="272">
        <v>407</v>
      </c>
      <c r="F382" s="377">
        <f t="shared" si="57"/>
        <v>833.0033333333333</v>
      </c>
      <c r="G382" s="381">
        <v>833</v>
      </c>
      <c r="H382" s="377">
        <f t="shared" si="59"/>
        <v>0.0033333333333303017</v>
      </c>
      <c r="J382" s="18"/>
      <c r="K382" s="18"/>
      <c r="L382" s="18"/>
      <c r="M382" s="18"/>
      <c r="N382" s="18"/>
      <c r="O382" s="18"/>
    </row>
    <row r="383" spans="1:15" ht="12.75">
      <c r="A383" s="14" t="s">
        <v>174</v>
      </c>
      <c r="B383" s="381">
        <v>819.6833333333334</v>
      </c>
      <c r="C383" s="381">
        <v>843.0466666666666</v>
      </c>
      <c r="D383" s="284">
        <v>588.43</v>
      </c>
      <c r="E383" s="272">
        <v>578</v>
      </c>
      <c r="F383" s="377">
        <f t="shared" si="57"/>
        <v>1166.4299999999998</v>
      </c>
      <c r="G383" s="381">
        <v>1166</v>
      </c>
      <c r="H383" s="377">
        <f t="shared" si="59"/>
        <v>0.4299999999998363</v>
      </c>
      <c r="J383" s="18"/>
      <c r="K383" s="18"/>
      <c r="L383" s="18"/>
      <c r="M383" s="18"/>
      <c r="N383" s="18"/>
      <c r="O383" s="18"/>
    </row>
    <row r="384" spans="1:15" ht="12.75">
      <c r="A384" s="14" t="s">
        <v>175</v>
      </c>
      <c r="B384" s="381">
        <v>1446.1333333333332</v>
      </c>
      <c r="C384" s="381">
        <v>1483.7266666666667</v>
      </c>
      <c r="D384" s="284">
        <v>1735</v>
      </c>
      <c r="E384" s="272">
        <v>532</v>
      </c>
      <c r="F384" s="377">
        <f t="shared" si="57"/>
        <v>2267</v>
      </c>
      <c r="G384" s="381">
        <v>2267</v>
      </c>
      <c r="H384" s="377">
        <f t="shared" si="59"/>
        <v>0</v>
      </c>
      <c r="J384" s="18"/>
      <c r="K384" s="18"/>
      <c r="L384" s="18"/>
      <c r="M384" s="18"/>
      <c r="N384" s="18"/>
      <c r="O384" s="18"/>
    </row>
    <row r="385" spans="1:15" ht="12.75">
      <c r="A385" s="14" t="s">
        <v>177</v>
      </c>
      <c r="B385" s="381">
        <v>522.9766666666667</v>
      </c>
      <c r="C385" s="381">
        <v>542.42</v>
      </c>
      <c r="D385" s="284">
        <v>758.7333333333332</v>
      </c>
      <c r="E385" s="272">
        <v>758</v>
      </c>
      <c r="F385" s="377">
        <f t="shared" si="57"/>
        <v>1516.7333333333331</v>
      </c>
      <c r="G385" s="381">
        <v>1516.6666666666667</v>
      </c>
      <c r="H385" s="377">
        <f t="shared" si="59"/>
        <v>0.06666666666637866</v>
      </c>
      <c r="J385" s="18"/>
      <c r="K385" s="18"/>
      <c r="L385" s="18"/>
      <c r="M385" s="18"/>
      <c r="N385" s="18"/>
      <c r="O385" s="18"/>
    </row>
    <row r="386" spans="1:15" ht="12.75">
      <c r="A386" s="16" t="s">
        <v>176</v>
      </c>
      <c r="B386" s="381">
        <v>765.8333333333334</v>
      </c>
      <c r="C386" s="381">
        <v>857.8166666666666</v>
      </c>
      <c r="D386" s="284">
        <v>773.82</v>
      </c>
      <c r="E386" s="272">
        <v>960</v>
      </c>
      <c r="F386" s="377">
        <f t="shared" si="57"/>
        <v>1733.8200000000002</v>
      </c>
      <c r="G386" s="381">
        <v>1733.3333333333333</v>
      </c>
      <c r="H386" s="379">
        <f t="shared" si="59"/>
        <v>0.48666666666690617</v>
      </c>
      <c r="J386" s="18"/>
      <c r="K386" s="18"/>
      <c r="L386" s="18"/>
      <c r="M386" s="18"/>
      <c r="N386" s="18"/>
      <c r="O386" s="18"/>
    </row>
    <row r="387" spans="1:8" ht="13.5" thickBot="1">
      <c r="A387" s="111" t="s">
        <v>7</v>
      </c>
      <c r="B387" s="378">
        <f aca="true" t="shared" si="60" ref="B387:H387">SUM(B380:B386)</f>
        <v>207845.7033333333</v>
      </c>
      <c r="C387" s="378">
        <f t="shared" si="60"/>
        <v>239254.06333333335</v>
      </c>
      <c r="D387" s="378">
        <f t="shared" si="60"/>
        <v>194710.90666666665</v>
      </c>
      <c r="E387" s="378">
        <f t="shared" si="60"/>
        <v>52190</v>
      </c>
      <c r="F387" s="378">
        <f t="shared" si="60"/>
        <v>246900.90666666665</v>
      </c>
      <c r="G387" s="378">
        <f t="shared" si="60"/>
        <v>264954.6666666666</v>
      </c>
      <c r="H387" s="378">
        <f t="shared" si="60"/>
        <v>-18053.760000000013</v>
      </c>
    </row>
    <row r="388" spans="1:8" ht="13.5" thickTop="1">
      <c r="A388" s="79"/>
      <c r="B388" s="37"/>
      <c r="C388" s="37"/>
      <c r="D388" s="37"/>
      <c r="E388" s="37"/>
      <c r="F388" s="37"/>
      <c r="G388" s="37"/>
      <c r="H388" s="37"/>
    </row>
    <row r="389" spans="1:8" ht="12.75">
      <c r="A389" s="113" t="s">
        <v>485</v>
      </c>
      <c r="B389" s="272"/>
      <c r="F389" s="118" t="str">
        <f>$F$20</f>
        <v>Bi-Weekly PP posted 5/22/09</v>
      </c>
      <c r="G389" s="283">
        <v>8083</v>
      </c>
      <c r="H389" s="36"/>
    </row>
    <row r="390" spans="1:8" ht="12.75">
      <c r="A390" s="14" t="s">
        <v>425</v>
      </c>
      <c r="B390" s="272"/>
      <c r="F390" s="36"/>
      <c r="H390" s="36"/>
    </row>
    <row r="391" spans="6:8" ht="12.75">
      <c r="F391" s="36"/>
      <c r="H391" s="36"/>
    </row>
    <row r="392" spans="1:8" ht="15">
      <c r="A392" s="112" t="s">
        <v>181</v>
      </c>
      <c r="F392" s="36"/>
      <c r="H392" s="36"/>
    </row>
    <row r="393" spans="1:8" ht="12.75">
      <c r="A393" s="2"/>
      <c r="F393" s="36"/>
      <c r="H393" s="36"/>
    </row>
    <row r="394" spans="1:8" ht="12.75">
      <c r="A394" s="97"/>
      <c r="B394" s="147" t="str">
        <f>$B$5</f>
        <v>6/30/07</v>
      </c>
      <c r="C394" s="147" t="str">
        <f>$C$5</f>
        <v>6/30/08</v>
      </c>
      <c r="D394" s="147" t="str">
        <f>$D$5</f>
        <v>Year to</v>
      </c>
      <c r="E394" s="147"/>
      <c r="F394" s="147"/>
      <c r="G394" s="147"/>
      <c r="H394" s="208"/>
    </row>
    <row r="395" spans="1:8" ht="12.75">
      <c r="A395" s="102"/>
      <c r="B395" s="95" t="str">
        <f>$B$6</f>
        <v>FY07</v>
      </c>
      <c r="C395" s="95" t="str">
        <f>$C$6</f>
        <v>FY08</v>
      </c>
      <c r="D395" s="95" t="str">
        <f>$D$6</f>
        <v>Date</v>
      </c>
      <c r="E395" s="95" t="str">
        <f>$E$6</f>
        <v>Projected</v>
      </c>
      <c r="F395" s="95" t="str">
        <f>$F$6</f>
        <v>Projected at</v>
      </c>
      <c r="G395" s="95" t="str">
        <f>$G$6</f>
        <v>Approved</v>
      </c>
      <c r="H395" s="209" t="str">
        <f>$H$6</f>
        <v>Variance</v>
      </c>
    </row>
    <row r="396" spans="1:8" ht="12.75">
      <c r="A396" s="104" t="s">
        <v>10</v>
      </c>
      <c r="B396" s="141" t="str">
        <f>$B$7</f>
        <v>Audited</v>
      </c>
      <c r="C396" s="141" t="str">
        <f>$C$7</f>
        <v>Unaudited</v>
      </c>
      <c r="D396" s="216" t="str">
        <f>$D$7</f>
        <v>As of 4/30/09</v>
      </c>
      <c r="E396" s="141" t="str">
        <f>$E$7</f>
        <v>2 months</v>
      </c>
      <c r="F396" s="141" t="str">
        <f>$F$7</f>
        <v>Year End</v>
      </c>
      <c r="G396" s="141" t="str">
        <f>$G$7</f>
        <v>Budget</v>
      </c>
      <c r="H396" s="210" t="str">
        <f>$H$7</f>
        <v>Over/(Under)</v>
      </c>
    </row>
    <row r="397" spans="1:8" ht="6.75" customHeight="1">
      <c r="A397" s="60"/>
      <c r="B397" s="110"/>
      <c r="C397" s="110"/>
      <c r="D397" s="110"/>
      <c r="E397" s="95"/>
      <c r="F397" s="95"/>
      <c r="G397" s="95"/>
      <c r="H397" s="95"/>
    </row>
    <row r="398" spans="1:15" ht="12.75">
      <c r="A398" s="14" t="s">
        <v>2</v>
      </c>
      <c r="B398" s="381">
        <v>829851.28</v>
      </c>
      <c r="C398" s="381">
        <v>905049.7633333333</v>
      </c>
      <c r="D398" s="284">
        <v>751216.76</v>
      </c>
      <c r="E398" s="377">
        <f>(G411*'Schedule 1 Summary'!D15)+(G412*'Schedule 1 Summary'!D18)+5000</f>
        <v>229578</v>
      </c>
      <c r="F398" s="377">
        <f>SUM(D398:E398)</f>
        <v>980794.76</v>
      </c>
      <c r="G398" s="381">
        <v>970470.3333333334</v>
      </c>
      <c r="H398" s="377">
        <f>SUM(F398-G398)</f>
        <v>10324.426666666637</v>
      </c>
      <c r="J398" s="18"/>
      <c r="K398" s="18"/>
      <c r="L398" s="18"/>
      <c r="M398" s="18"/>
      <c r="N398" s="18"/>
      <c r="O398" s="18"/>
    </row>
    <row r="399" spans="1:15" ht="12.75">
      <c r="A399" s="14" t="s">
        <v>3</v>
      </c>
      <c r="B399" s="381">
        <v>5987.136666666666</v>
      </c>
      <c r="C399" s="381">
        <v>12195.406666666668</v>
      </c>
      <c r="D399" s="284">
        <v>6518.37</v>
      </c>
      <c r="E399" s="272">
        <v>1667</v>
      </c>
      <c r="F399" s="377">
        <f aca="true" t="shared" si="61" ref="F399:F407">SUM(D399:E399)</f>
        <v>8185.37</v>
      </c>
      <c r="G399" s="381">
        <v>6666.666666666667</v>
      </c>
      <c r="H399" s="377">
        <f>SUM(F399-G399)</f>
        <v>1518.703333333333</v>
      </c>
      <c r="J399" s="18"/>
      <c r="K399" s="18"/>
      <c r="L399" s="18"/>
      <c r="M399" s="18"/>
      <c r="N399" s="18"/>
      <c r="O399" s="18"/>
    </row>
    <row r="400" spans="1:15" ht="12.75">
      <c r="A400" s="14" t="s">
        <v>4</v>
      </c>
      <c r="B400" s="381">
        <v>41304.153333333335</v>
      </c>
      <c r="C400" s="381">
        <v>52421.863333333335</v>
      </c>
      <c r="D400" s="284">
        <v>46884.333333333336</v>
      </c>
      <c r="E400" s="272">
        <f>G413*'Schedule 1 Summary'!D15</f>
        <v>4010</v>
      </c>
      <c r="F400" s="377">
        <f t="shared" si="61"/>
        <v>50894.333333333336</v>
      </c>
      <c r="G400" s="381">
        <v>36391.666666666664</v>
      </c>
      <c r="H400" s="377">
        <f>SUM(F400-G400)</f>
        <v>14502.666666666672</v>
      </c>
      <c r="J400" s="18"/>
      <c r="K400" s="18"/>
      <c r="L400" s="18"/>
      <c r="M400" s="18"/>
      <c r="N400" s="18"/>
      <c r="O400" s="18"/>
    </row>
    <row r="401" spans="1:15" ht="12.75">
      <c r="A401" s="14" t="s">
        <v>5</v>
      </c>
      <c r="B401" s="377">
        <f aca="true" t="shared" si="62" ref="B401:H401">SUM(B398:B400)</f>
        <v>877142.5700000001</v>
      </c>
      <c r="C401" s="377">
        <f t="shared" si="62"/>
        <v>969667.0333333332</v>
      </c>
      <c r="D401" s="377">
        <f t="shared" si="62"/>
        <v>804619.4633333334</v>
      </c>
      <c r="E401" s="377">
        <f t="shared" si="62"/>
        <v>235255</v>
      </c>
      <c r="F401" s="377">
        <f t="shared" si="62"/>
        <v>1039874.4633333334</v>
      </c>
      <c r="G401" s="377">
        <f t="shared" si="62"/>
        <v>1013528.6666666666</v>
      </c>
      <c r="H401" s="377">
        <f t="shared" si="62"/>
        <v>26345.79666666664</v>
      </c>
      <c r="J401" s="18"/>
      <c r="K401" s="18"/>
      <c r="L401" s="18"/>
      <c r="M401" s="18"/>
      <c r="N401" s="18"/>
      <c r="O401" s="18"/>
    </row>
    <row r="402" spans="1:15" ht="12.75">
      <c r="A402" s="14" t="s">
        <v>178</v>
      </c>
      <c r="B402" s="381">
        <v>458.5733333333333</v>
      </c>
      <c r="C402" s="381">
        <v>769.8</v>
      </c>
      <c r="D402" s="284">
        <v>1008.9766666666666</v>
      </c>
      <c r="E402" s="272">
        <v>521</v>
      </c>
      <c r="F402" s="377">
        <f t="shared" si="61"/>
        <v>1529.9766666666665</v>
      </c>
      <c r="G402" s="381">
        <v>1530</v>
      </c>
      <c r="H402" s="377">
        <f aca="true" t="shared" si="63" ref="H402:H407">SUM(F402-G402)</f>
        <v>-0.023333333333539485</v>
      </c>
      <c r="J402" s="18"/>
      <c r="K402" s="18"/>
      <c r="L402" s="18"/>
      <c r="M402" s="18"/>
      <c r="N402" s="18"/>
      <c r="O402" s="18"/>
    </row>
    <row r="403" spans="1:15" ht="12.75">
      <c r="A403" s="14" t="s">
        <v>179</v>
      </c>
      <c r="B403" s="381">
        <v>13476.03</v>
      </c>
      <c r="C403" s="381">
        <v>8070.463333333333</v>
      </c>
      <c r="D403" s="284">
        <v>2781.133333333333</v>
      </c>
      <c r="E403" s="272">
        <v>2052</v>
      </c>
      <c r="F403" s="377">
        <f t="shared" si="61"/>
        <v>4833.133333333333</v>
      </c>
      <c r="G403" s="381">
        <v>4833.333333333333</v>
      </c>
      <c r="H403" s="377">
        <f t="shared" si="63"/>
        <v>-0.1999999999998181</v>
      </c>
      <c r="J403" s="18"/>
      <c r="K403" s="18"/>
      <c r="L403" s="18"/>
      <c r="M403" s="18"/>
      <c r="N403" s="18"/>
      <c r="O403" s="18"/>
    </row>
    <row r="404" spans="1:15" ht="12.75">
      <c r="A404" s="14" t="s">
        <v>173</v>
      </c>
      <c r="B404" s="381">
        <v>82880.49666666666</v>
      </c>
      <c r="C404" s="381">
        <v>89316.78</v>
      </c>
      <c r="D404" s="284">
        <v>81945.2</v>
      </c>
      <c r="E404" s="272">
        <v>61515</v>
      </c>
      <c r="F404" s="377">
        <f t="shared" si="61"/>
        <v>143460.2</v>
      </c>
      <c r="G404" s="381">
        <v>143460.33333333334</v>
      </c>
      <c r="H404" s="377">
        <f t="shared" si="63"/>
        <v>-0.13333333333139308</v>
      </c>
      <c r="J404" s="18"/>
      <c r="K404" s="18"/>
      <c r="L404" s="18"/>
      <c r="M404" s="18"/>
      <c r="N404" s="18"/>
      <c r="O404" s="18"/>
    </row>
    <row r="405" spans="1:15" ht="12.75">
      <c r="A405" s="14" t="s">
        <v>174</v>
      </c>
      <c r="B405" s="381">
        <v>4813.613333333334</v>
      </c>
      <c r="C405" s="381">
        <v>5886.373333333333</v>
      </c>
      <c r="D405" s="284">
        <v>4589.02</v>
      </c>
      <c r="E405" s="272">
        <v>1974</v>
      </c>
      <c r="F405" s="377">
        <f t="shared" si="61"/>
        <v>6563.02</v>
      </c>
      <c r="G405" s="381">
        <v>6563.333333333333</v>
      </c>
      <c r="H405" s="377">
        <f t="shared" si="63"/>
        <v>-0.3133333333325936</v>
      </c>
      <c r="J405" s="18"/>
      <c r="K405" s="18"/>
      <c r="L405" s="18"/>
      <c r="M405" s="18"/>
      <c r="N405" s="18"/>
      <c r="O405" s="18"/>
    </row>
    <row r="406" spans="1:15" ht="12.75">
      <c r="A406" s="14" t="s">
        <v>175</v>
      </c>
      <c r="B406" s="381">
        <v>10880.43</v>
      </c>
      <c r="C406" s="381">
        <v>12093.63</v>
      </c>
      <c r="D406" s="284">
        <v>10500.146666666666</v>
      </c>
      <c r="E406" s="272">
        <v>3233</v>
      </c>
      <c r="F406" s="377">
        <f t="shared" si="61"/>
        <v>13733.146666666666</v>
      </c>
      <c r="G406" s="381">
        <v>13733.333333333334</v>
      </c>
      <c r="H406" s="377">
        <f t="shared" si="63"/>
        <v>-0.18666666666831588</v>
      </c>
      <c r="J406" s="18"/>
      <c r="K406" s="18"/>
      <c r="L406" s="18"/>
      <c r="M406" s="18"/>
      <c r="N406" s="18"/>
      <c r="O406" s="18"/>
    </row>
    <row r="407" spans="1:15" ht="12.75">
      <c r="A407" s="16" t="s">
        <v>6</v>
      </c>
      <c r="B407" s="381">
        <v>5061.086666666667</v>
      </c>
      <c r="C407" s="381">
        <v>6694.716666666667</v>
      </c>
      <c r="D407" s="284">
        <v>5838.38</v>
      </c>
      <c r="E407" s="272">
        <v>1662</v>
      </c>
      <c r="F407" s="377">
        <f t="shared" si="61"/>
        <v>7500.38</v>
      </c>
      <c r="G407" s="381">
        <v>7500</v>
      </c>
      <c r="H407" s="379">
        <f t="shared" si="63"/>
        <v>0.38000000000010914</v>
      </c>
      <c r="J407" s="18"/>
      <c r="K407" s="18"/>
      <c r="L407" s="18"/>
      <c r="M407" s="18"/>
      <c r="N407" s="18"/>
      <c r="O407" s="18"/>
    </row>
    <row r="408" spans="1:8" ht="13.5" thickBot="1">
      <c r="A408" s="111" t="s">
        <v>7</v>
      </c>
      <c r="B408" s="378">
        <f aca="true" t="shared" si="64" ref="B408:H408">SUM(B401:B407)</f>
        <v>994712.8000000002</v>
      </c>
      <c r="C408" s="378">
        <f t="shared" si="64"/>
        <v>1092498.7966666664</v>
      </c>
      <c r="D408" s="378">
        <f t="shared" si="64"/>
        <v>911282.32</v>
      </c>
      <c r="E408" s="378">
        <f t="shared" si="64"/>
        <v>306212</v>
      </c>
      <c r="F408" s="378">
        <f t="shared" si="64"/>
        <v>1217494.32</v>
      </c>
      <c r="G408" s="378">
        <f t="shared" si="64"/>
        <v>1191148.9999999998</v>
      </c>
      <c r="H408" s="378">
        <f t="shared" si="64"/>
        <v>26345.319999999974</v>
      </c>
    </row>
    <row r="409" spans="6:8" ht="8.25" customHeight="1" thickTop="1">
      <c r="F409" s="36"/>
      <c r="H409" s="36"/>
    </row>
    <row r="410" spans="1:8" ht="12.75">
      <c r="A410" s="14" t="s">
        <v>339</v>
      </c>
      <c r="B410" s="272"/>
      <c r="F410" s="36"/>
      <c r="H410" s="36"/>
    </row>
    <row r="411" spans="6:10" ht="12.75">
      <c r="F411" s="118" t="str">
        <f>$F$20</f>
        <v>Bi-Weekly PP posted 5/22/09</v>
      </c>
      <c r="G411" s="385">
        <v>44543</v>
      </c>
      <c r="H411" s="36"/>
      <c r="J411" s="18"/>
    </row>
    <row r="412" spans="6:10" ht="12.75">
      <c r="F412" s="118" t="str">
        <f>F276</f>
        <v>Weekly PP posted 5/22/09</v>
      </c>
      <c r="G412" s="272">
        <v>207</v>
      </c>
      <c r="H412" s="36"/>
      <c r="J412" s="18"/>
    </row>
    <row r="413" spans="6:10" ht="12.75">
      <c r="F413" s="138" t="str">
        <f>'Schedule 6a Public Works Bureau'!F182</f>
        <v>Bi-Weekly Temps posted 5/22/09</v>
      </c>
      <c r="G413" s="272">
        <v>802</v>
      </c>
      <c r="H413" s="36"/>
      <c r="J413" s="18"/>
    </row>
    <row r="414" spans="1:8" ht="15">
      <c r="A414" s="112" t="s">
        <v>399</v>
      </c>
      <c r="F414" s="118"/>
      <c r="G414" s="93"/>
      <c r="H414" s="36"/>
    </row>
    <row r="415" spans="1:8" ht="12.75">
      <c r="A415" s="2"/>
      <c r="F415" s="36"/>
      <c r="H415" s="36"/>
    </row>
    <row r="416" spans="1:8" ht="12.75">
      <c r="A416" s="97"/>
      <c r="B416" s="147" t="str">
        <f>$B$5</f>
        <v>6/30/07</v>
      </c>
      <c r="C416" s="147" t="str">
        <f>$C$5</f>
        <v>6/30/08</v>
      </c>
      <c r="D416" s="147" t="str">
        <f>$D$5</f>
        <v>Year to</v>
      </c>
      <c r="E416" s="147"/>
      <c r="F416" s="147"/>
      <c r="G416" s="147"/>
      <c r="H416" s="208"/>
    </row>
    <row r="417" spans="1:8" ht="12.75">
      <c r="A417" s="102"/>
      <c r="B417" s="95" t="str">
        <f>$B$6</f>
        <v>FY07</v>
      </c>
      <c r="C417" s="95" t="str">
        <f>$C$6</f>
        <v>FY08</v>
      </c>
      <c r="D417" s="95" t="str">
        <f>$D$6</f>
        <v>Date</v>
      </c>
      <c r="E417" s="95" t="str">
        <f>$E$6</f>
        <v>Projected</v>
      </c>
      <c r="F417" s="95" t="str">
        <f>$F$6</f>
        <v>Projected at</v>
      </c>
      <c r="G417" s="95" t="str">
        <f>$G$6</f>
        <v>Approved</v>
      </c>
      <c r="H417" s="209" t="str">
        <f>$H$6</f>
        <v>Variance</v>
      </c>
    </row>
    <row r="418" spans="1:8" ht="12.75">
      <c r="A418" s="104" t="s">
        <v>10</v>
      </c>
      <c r="B418" s="141" t="str">
        <f>$B$7</f>
        <v>Audited</v>
      </c>
      <c r="C418" s="141" t="str">
        <f>$C$7</f>
        <v>Unaudited</v>
      </c>
      <c r="D418" s="216" t="str">
        <f>$D$7</f>
        <v>As of 4/30/09</v>
      </c>
      <c r="E418" s="141" t="str">
        <f>$E$7</f>
        <v>2 months</v>
      </c>
      <c r="F418" s="141" t="str">
        <f>$F$7</f>
        <v>Year End</v>
      </c>
      <c r="G418" s="141" t="str">
        <f>$G$7</f>
        <v>Budget</v>
      </c>
      <c r="H418" s="210" t="str">
        <f>$H$7</f>
        <v>Over/(Under)</v>
      </c>
    </row>
    <row r="419" spans="1:8" ht="6.75" customHeight="1">
      <c r="A419" s="60"/>
      <c r="B419" s="110"/>
      <c r="C419" s="110"/>
      <c r="D419" s="110"/>
      <c r="E419" s="95"/>
      <c r="F419" s="95"/>
      <c r="G419" s="95"/>
      <c r="H419" s="95"/>
    </row>
    <row r="420" spans="1:15" ht="12.75">
      <c r="A420" s="14" t="s">
        <v>2</v>
      </c>
      <c r="B420" s="381">
        <v>368461.23</v>
      </c>
      <c r="C420" s="381">
        <v>431743.43</v>
      </c>
      <c r="D420" s="284">
        <v>359514.6333333333</v>
      </c>
      <c r="E420" s="377">
        <f>(G431*'Schedule 1 Summary'!D15)+(G432*'Schedule 1 Summary'!D18)+7000+1000</f>
        <v>93262</v>
      </c>
      <c r="F420" s="377">
        <f>SUM(D420:E420)</f>
        <v>452776.6333333333</v>
      </c>
      <c r="G420" s="381">
        <v>451744</v>
      </c>
      <c r="H420" s="377">
        <f>SUM(F420-G420)</f>
        <v>1032.6333333333023</v>
      </c>
      <c r="J420" s="18"/>
      <c r="K420" s="18"/>
      <c r="L420" s="18"/>
      <c r="M420" s="18"/>
      <c r="N420" s="18"/>
      <c r="O420" s="18"/>
    </row>
    <row r="421" spans="1:15" ht="12.75">
      <c r="A421" s="14" t="s">
        <v>3</v>
      </c>
      <c r="B421" s="381">
        <v>13914.783333333333</v>
      </c>
      <c r="C421" s="381">
        <v>15965.626666666665</v>
      </c>
      <c r="D421" s="284">
        <v>13117.953333333333</v>
      </c>
      <c r="E421" s="272">
        <f>'Schedule 1 Summary'!D15*700</f>
        <v>3500</v>
      </c>
      <c r="F421" s="377">
        <f>SUM(D421:E421)</f>
        <v>16617.95333333333</v>
      </c>
      <c r="G421" s="381">
        <v>17666.666666666668</v>
      </c>
      <c r="H421" s="377">
        <f aca="true" t="shared" si="65" ref="H421:H428">SUM(F421-G421)</f>
        <v>-1048.7133333333368</v>
      </c>
      <c r="J421" s="18"/>
      <c r="K421" s="18"/>
      <c r="L421" s="18"/>
      <c r="M421" s="18"/>
      <c r="N421" s="18"/>
      <c r="O421" s="18"/>
    </row>
    <row r="422" spans="1:15" ht="12.75">
      <c r="A422" s="14" t="s">
        <v>4</v>
      </c>
      <c r="B422" s="381">
        <v>33249.92</v>
      </c>
      <c r="C422" s="381">
        <v>32885.28333333333</v>
      </c>
      <c r="D422" s="284">
        <v>27916.936666666672</v>
      </c>
      <c r="E422" s="377">
        <f>G433*'Schedule 1 Summary'!D15</f>
        <v>7285</v>
      </c>
      <c r="F422" s="377">
        <f>SUM(D422:E422)</f>
        <v>35201.936666666676</v>
      </c>
      <c r="G422" s="381">
        <v>32243.333333333332</v>
      </c>
      <c r="H422" s="377">
        <f t="shared" si="65"/>
        <v>2958.6033333333435</v>
      </c>
      <c r="J422" s="18"/>
      <c r="K422" s="18"/>
      <c r="L422" s="18"/>
      <c r="M422" s="18"/>
      <c r="N422" s="18"/>
      <c r="O422" s="18"/>
    </row>
    <row r="423" spans="1:15" ht="12.75">
      <c r="A423" s="14" t="s">
        <v>5</v>
      </c>
      <c r="B423" s="377">
        <f aca="true" t="shared" si="66" ref="B423:H423">SUM(B420:B422)</f>
        <v>415625.9333333333</v>
      </c>
      <c r="C423" s="377">
        <f t="shared" si="66"/>
        <v>480594.33999999997</v>
      </c>
      <c r="D423" s="377">
        <f t="shared" si="66"/>
        <v>400549.52333333326</v>
      </c>
      <c r="E423" s="377">
        <f t="shared" si="66"/>
        <v>104047</v>
      </c>
      <c r="F423" s="377">
        <f t="shared" si="66"/>
        <v>504596.5233333333</v>
      </c>
      <c r="G423" s="377">
        <f t="shared" si="66"/>
        <v>501654</v>
      </c>
      <c r="H423" s="377">
        <f t="shared" si="66"/>
        <v>2942.523333333309</v>
      </c>
      <c r="J423" s="18"/>
      <c r="K423" s="18"/>
      <c r="L423" s="18"/>
      <c r="M423" s="18"/>
      <c r="N423" s="18"/>
      <c r="O423" s="18"/>
    </row>
    <row r="424" spans="1:15" ht="12.75">
      <c r="A424" s="14" t="s">
        <v>178</v>
      </c>
      <c r="B424" s="381">
        <v>93.8</v>
      </c>
      <c r="C424" s="381">
        <v>333.08</v>
      </c>
      <c r="D424" s="284">
        <v>232.9466666666667</v>
      </c>
      <c r="E424" s="272">
        <v>109</v>
      </c>
      <c r="F424" s="377">
        <f>SUM(D424:E424)</f>
        <v>341.9466666666667</v>
      </c>
      <c r="G424" s="381">
        <v>341.6666666666667</v>
      </c>
      <c r="H424" s="377">
        <f t="shared" si="65"/>
        <v>0.28000000000002956</v>
      </c>
      <c r="J424" s="18"/>
      <c r="K424" s="18"/>
      <c r="L424" s="18"/>
      <c r="M424" s="18"/>
      <c r="N424" s="18"/>
      <c r="O424" s="18"/>
    </row>
    <row r="425" spans="1:15" ht="12.75">
      <c r="A425" s="14" t="s">
        <v>173</v>
      </c>
      <c r="B425" s="381">
        <v>32260.306666666667</v>
      </c>
      <c r="C425" s="381">
        <v>43535.846666666665</v>
      </c>
      <c r="D425" s="284">
        <v>35598.58666666666</v>
      </c>
      <c r="E425" s="272">
        <v>21860</v>
      </c>
      <c r="F425" s="377">
        <f>SUM(D425:E425)</f>
        <v>57458.58666666666</v>
      </c>
      <c r="G425" s="381">
        <v>57458.666666666664</v>
      </c>
      <c r="H425" s="377">
        <f t="shared" si="65"/>
        <v>-0.08000000000174623</v>
      </c>
      <c r="J425" s="18"/>
      <c r="K425" s="18"/>
      <c r="L425" s="18"/>
      <c r="M425" s="18"/>
      <c r="N425" s="18"/>
      <c r="O425" s="18"/>
    </row>
    <row r="426" spans="1:15" ht="12.75">
      <c r="A426" s="14" t="s">
        <v>174</v>
      </c>
      <c r="B426" s="381">
        <v>1416.22</v>
      </c>
      <c r="C426" s="381">
        <v>1115.7866666666666</v>
      </c>
      <c r="D426" s="284">
        <v>1095.4666666666667</v>
      </c>
      <c r="E426" s="272">
        <v>71</v>
      </c>
      <c r="F426" s="377">
        <f>SUM(D426:E426)</f>
        <v>1166.4666666666667</v>
      </c>
      <c r="G426" s="381">
        <v>1166.6666666666667</v>
      </c>
      <c r="H426" s="377">
        <f t="shared" si="65"/>
        <v>-0.20000000000004547</v>
      </c>
      <c r="J426" s="18"/>
      <c r="K426" s="18"/>
      <c r="L426" s="18"/>
      <c r="M426" s="18"/>
      <c r="N426" s="18"/>
      <c r="O426" s="18"/>
    </row>
    <row r="427" spans="1:15" ht="12.75">
      <c r="A427" s="14" t="s">
        <v>175</v>
      </c>
      <c r="B427" s="381">
        <v>23052.163333333334</v>
      </c>
      <c r="C427" s="381">
        <v>30165.516666666666</v>
      </c>
      <c r="D427" s="284">
        <v>24261.18</v>
      </c>
      <c r="E427" s="272">
        <v>13505</v>
      </c>
      <c r="F427" s="377">
        <f>SUM(D427:E427)</f>
        <v>37766.18</v>
      </c>
      <c r="G427" s="381">
        <v>37766.666666666664</v>
      </c>
      <c r="H427" s="377">
        <f t="shared" si="65"/>
        <v>-0.4866666666639503</v>
      </c>
      <c r="J427" s="18"/>
      <c r="K427" s="18"/>
      <c r="L427" s="18"/>
      <c r="M427" s="18"/>
      <c r="N427" s="18"/>
      <c r="O427" s="18"/>
    </row>
    <row r="428" spans="1:15" ht="12.75">
      <c r="A428" s="14" t="s">
        <v>177</v>
      </c>
      <c r="B428" s="381">
        <v>84582.41666666667</v>
      </c>
      <c r="C428" s="381">
        <v>90546.17</v>
      </c>
      <c r="D428" s="284">
        <v>84881.08333333333</v>
      </c>
      <c r="E428" s="272">
        <v>31786</v>
      </c>
      <c r="F428" s="377">
        <f>SUM(D428:E428)</f>
        <v>116667.08333333333</v>
      </c>
      <c r="G428" s="381">
        <v>116666.66666666667</v>
      </c>
      <c r="H428" s="377">
        <f t="shared" si="65"/>
        <v>0.4166666666569654</v>
      </c>
      <c r="J428" s="18"/>
      <c r="K428" s="18"/>
      <c r="L428" s="18"/>
      <c r="M428" s="18"/>
      <c r="N428" s="18"/>
      <c r="O428" s="18"/>
    </row>
    <row r="429" spans="1:8" ht="13.5" thickBot="1">
      <c r="A429" s="111" t="s">
        <v>7</v>
      </c>
      <c r="B429" s="378">
        <f aca="true" t="shared" si="67" ref="B429:H429">SUM(B423:B428)</f>
        <v>557030.8399999999</v>
      </c>
      <c r="C429" s="378">
        <f t="shared" si="67"/>
        <v>646290.74</v>
      </c>
      <c r="D429" s="378">
        <f t="shared" si="67"/>
        <v>546618.7866666666</v>
      </c>
      <c r="E429" s="378">
        <f t="shared" si="67"/>
        <v>171378</v>
      </c>
      <c r="F429" s="378">
        <f t="shared" si="67"/>
        <v>717996.7866666667</v>
      </c>
      <c r="G429" s="378">
        <f t="shared" si="67"/>
        <v>715054.3333333333</v>
      </c>
      <c r="H429" s="378">
        <f t="shared" si="67"/>
        <v>2942.4533333333</v>
      </c>
    </row>
    <row r="430" spans="2:8" ht="13.5" thickTop="1">
      <c r="B430" s="37"/>
      <c r="C430" s="37"/>
      <c r="D430" s="37"/>
      <c r="E430" s="37"/>
      <c r="F430" s="37"/>
      <c r="G430" s="37"/>
      <c r="H430" s="37"/>
    </row>
    <row r="431" spans="1:10" ht="12.75">
      <c r="A431" s="14" t="s">
        <v>426</v>
      </c>
      <c r="B431" s="285"/>
      <c r="C431" s="37"/>
      <c r="D431" s="37"/>
      <c r="E431" s="37"/>
      <c r="F431" s="118" t="str">
        <f>$F$20</f>
        <v>Bi-Weekly PP posted 5/22/09</v>
      </c>
      <c r="G431" s="272">
        <v>15589</v>
      </c>
      <c r="H431" s="37"/>
      <c r="J431" s="18"/>
    </row>
    <row r="432" spans="1:10" ht="12.75">
      <c r="A432" s="113" t="s">
        <v>486</v>
      </c>
      <c r="B432" s="285"/>
      <c r="C432" s="37"/>
      <c r="D432" s="37"/>
      <c r="E432" s="37"/>
      <c r="F432" s="118" t="str">
        <f>F276</f>
        <v>Weekly PP posted 5/22/09</v>
      </c>
      <c r="G432" s="272">
        <v>813</v>
      </c>
      <c r="H432" s="37"/>
      <c r="J432" s="18"/>
    </row>
    <row r="433" spans="2:10" ht="12.75">
      <c r="B433" s="37"/>
      <c r="C433" s="37"/>
      <c r="D433" s="37"/>
      <c r="E433" s="37"/>
      <c r="F433" s="118" t="str">
        <f>F413</f>
        <v>Bi-Weekly Temps posted 5/22/09</v>
      </c>
      <c r="G433" s="272">
        <v>1457</v>
      </c>
      <c r="H433" s="37"/>
      <c r="J433" s="18"/>
    </row>
    <row r="434" spans="1:8" ht="12.75">
      <c r="A434" s="74"/>
      <c r="B434" s="37"/>
      <c r="C434" s="37"/>
      <c r="D434" s="37"/>
      <c r="E434" s="37"/>
      <c r="F434" s="36"/>
      <c r="H434" s="37"/>
    </row>
    <row r="435" spans="1:8" ht="12.75">
      <c r="A435" s="74"/>
      <c r="B435" s="37"/>
      <c r="C435" s="37"/>
      <c r="D435" s="37"/>
      <c r="E435" s="37"/>
      <c r="F435" s="118"/>
      <c r="H435" s="37"/>
    </row>
    <row r="436" spans="1:8" ht="15">
      <c r="A436" s="112" t="s">
        <v>519</v>
      </c>
      <c r="F436" s="36"/>
      <c r="H436" s="36"/>
    </row>
    <row r="437" spans="1:8" ht="14.25">
      <c r="A437" s="109"/>
      <c r="F437" s="36"/>
      <c r="H437" s="36"/>
    </row>
    <row r="438" spans="1:8" ht="12.75">
      <c r="A438" s="97"/>
      <c r="B438" s="147" t="str">
        <f>$B$5</f>
        <v>6/30/07</v>
      </c>
      <c r="C438" s="147" t="str">
        <f>$C$5</f>
        <v>6/30/08</v>
      </c>
      <c r="D438" s="147" t="str">
        <f>$D$5</f>
        <v>Year to</v>
      </c>
      <c r="E438" s="147"/>
      <c r="F438" s="147"/>
      <c r="G438" s="147"/>
      <c r="H438" s="208"/>
    </row>
    <row r="439" spans="1:8" ht="12.75">
      <c r="A439" s="102"/>
      <c r="B439" s="95" t="str">
        <f>$B$6</f>
        <v>FY07</v>
      </c>
      <c r="C439" s="95" t="str">
        <f>$C$6</f>
        <v>FY08</v>
      </c>
      <c r="D439" s="95" t="str">
        <f>$D$6</f>
        <v>Date</v>
      </c>
      <c r="E439" s="95" t="str">
        <f>$E$6</f>
        <v>Projected</v>
      </c>
      <c r="F439" s="95" t="str">
        <f>$F$6</f>
        <v>Projected at</v>
      </c>
      <c r="G439" s="95" t="str">
        <f>$G$6</f>
        <v>Approved</v>
      </c>
      <c r="H439" s="209" t="str">
        <f>$H$6</f>
        <v>Variance</v>
      </c>
    </row>
    <row r="440" spans="1:8" ht="12.75">
      <c r="A440" s="104" t="s">
        <v>10</v>
      </c>
      <c r="B440" s="141" t="str">
        <f>$B$7</f>
        <v>Audited</v>
      </c>
      <c r="C440" s="141" t="str">
        <f>$C$7</f>
        <v>Unaudited</v>
      </c>
      <c r="D440" s="216" t="str">
        <f>$D$7</f>
        <v>As of 4/30/09</v>
      </c>
      <c r="E440" s="141" t="str">
        <f>$E$7</f>
        <v>2 months</v>
      </c>
      <c r="F440" s="141" t="str">
        <f>$F$7</f>
        <v>Year End</v>
      </c>
      <c r="G440" s="141" t="str">
        <f>$G$7</f>
        <v>Budget</v>
      </c>
      <c r="H440" s="210" t="str">
        <f>$H$7</f>
        <v>Over/(Under)</v>
      </c>
    </row>
    <row r="441" spans="1:8" ht="12.75">
      <c r="A441" s="60"/>
      <c r="B441" s="110"/>
      <c r="C441" s="110"/>
      <c r="D441" s="110"/>
      <c r="E441" s="95"/>
      <c r="F441" s="95"/>
      <c r="G441" s="95"/>
      <c r="H441" s="95"/>
    </row>
    <row r="442" spans="1:17" ht="12.75">
      <c r="A442" s="14" t="s">
        <v>2</v>
      </c>
      <c r="B442" s="381">
        <v>34965437.2666667</v>
      </c>
      <c r="C442" s="381">
        <v>36439287.34333333</v>
      </c>
      <c r="D442" s="284">
        <v>29262615</v>
      </c>
      <c r="E442" s="284">
        <v>8727694.36</v>
      </c>
      <c r="F442" s="377">
        <f>SUM(D442:E442)</f>
        <v>37990309.36</v>
      </c>
      <c r="G442" s="381">
        <v>38613409.333333336</v>
      </c>
      <c r="H442" s="377">
        <f>F442-G442</f>
        <v>-623099.9733333364</v>
      </c>
      <c r="J442" s="18"/>
      <c r="K442" s="18"/>
      <c r="L442" s="18"/>
      <c r="M442" s="18"/>
      <c r="N442" s="18"/>
      <c r="O442" s="18"/>
      <c r="P442" s="18"/>
      <c r="Q442" s="18">
        <f aca="true" t="shared" si="68" ref="Q442:Q453">I442/3</f>
        <v>0</v>
      </c>
    </row>
    <row r="443" spans="1:17" ht="12.75">
      <c r="A443" s="14" t="s">
        <v>267</v>
      </c>
      <c r="B443" s="381">
        <v>394746.863333333</v>
      </c>
      <c r="C443" s="381">
        <v>340531.63333333336</v>
      </c>
      <c r="D443" s="284">
        <v>345454.69333333336</v>
      </c>
      <c r="E443" s="284">
        <v>46211.973333333306</v>
      </c>
      <c r="F443" s="377">
        <f>SUM(D443:E443)</f>
        <v>391666.6666666667</v>
      </c>
      <c r="G443" s="381">
        <v>100000</v>
      </c>
      <c r="H443" s="377">
        <f aca="true" t="shared" si="69" ref="H443:H453">F443-G443</f>
        <v>291666.6666666667</v>
      </c>
      <c r="J443" s="18"/>
      <c r="K443" s="18"/>
      <c r="L443" s="18"/>
      <c r="M443" s="18"/>
      <c r="N443" s="18"/>
      <c r="O443" s="18"/>
      <c r="P443" s="18"/>
      <c r="Q443" s="18">
        <f t="shared" si="68"/>
        <v>0</v>
      </c>
    </row>
    <row r="444" spans="1:17" ht="12.75">
      <c r="A444" s="14" t="s">
        <v>264</v>
      </c>
      <c r="B444" s="381">
        <v>944458.12</v>
      </c>
      <c r="C444" s="381">
        <v>957921.66</v>
      </c>
      <c r="D444" s="284">
        <v>885162</v>
      </c>
      <c r="E444" s="284">
        <v>0</v>
      </c>
      <c r="F444" s="377">
        <f>SUM(D444:E444)</f>
        <v>885162</v>
      </c>
      <c r="G444" s="381">
        <v>883100.666666667</v>
      </c>
      <c r="H444" s="377">
        <f t="shared" si="69"/>
        <v>2061.333333333023</v>
      </c>
      <c r="J444" s="18"/>
      <c r="K444" s="18"/>
      <c r="L444" s="18"/>
      <c r="M444" s="18"/>
      <c r="N444" s="18"/>
      <c r="O444" s="18"/>
      <c r="P444" s="18"/>
      <c r="Q444" s="18">
        <f t="shared" si="68"/>
        <v>0</v>
      </c>
    </row>
    <row r="445" spans="1:17" ht="12.75">
      <c r="A445" s="14" t="s">
        <v>5</v>
      </c>
      <c r="B445" s="377">
        <f aca="true" t="shared" si="70" ref="B445:G445">SUM(B442:B444)</f>
        <v>36304642.25000003</v>
      </c>
      <c r="C445" s="377">
        <f t="shared" si="70"/>
        <v>37737740.636666656</v>
      </c>
      <c r="D445" s="377">
        <f t="shared" si="70"/>
        <v>30493231.693333335</v>
      </c>
      <c r="E445" s="377">
        <f t="shared" si="70"/>
        <v>8773906.333333332</v>
      </c>
      <c r="F445" s="377">
        <f t="shared" si="70"/>
        <v>39267138.02666666</v>
      </c>
      <c r="G445" s="377">
        <f t="shared" si="70"/>
        <v>39596510</v>
      </c>
      <c r="H445" s="377">
        <f t="shared" si="69"/>
        <v>-329371.9733333364</v>
      </c>
      <c r="J445" s="18"/>
      <c r="K445" s="18"/>
      <c r="L445" s="18"/>
      <c r="M445" s="18"/>
      <c r="N445" s="18"/>
      <c r="O445" s="18"/>
      <c r="P445" s="18"/>
      <c r="Q445" s="18"/>
    </row>
    <row r="446" spans="1:17" ht="12.75">
      <c r="A446" s="93" t="s">
        <v>178</v>
      </c>
      <c r="B446" s="381">
        <v>19497.353333333333</v>
      </c>
      <c r="C446" s="381">
        <v>28537.87</v>
      </c>
      <c r="D446" s="284">
        <v>24082</v>
      </c>
      <c r="E446" s="284">
        <v>4948</v>
      </c>
      <c r="F446" s="377">
        <f>SUM(D446:E446)</f>
        <v>29030</v>
      </c>
      <c r="G446" s="381">
        <v>24250</v>
      </c>
      <c r="H446" s="377">
        <f t="shared" si="69"/>
        <v>4780</v>
      </c>
      <c r="J446" s="18"/>
      <c r="K446" s="18"/>
      <c r="L446" s="18"/>
      <c r="M446" s="18"/>
      <c r="N446" s="18"/>
      <c r="O446" s="18"/>
      <c r="P446" s="18"/>
      <c r="Q446" s="18">
        <f t="shared" si="68"/>
        <v>0</v>
      </c>
    </row>
    <row r="447" spans="1:17" ht="12.75">
      <c r="A447" s="93" t="s">
        <v>179</v>
      </c>
      <c r="B447" s="381">
        <v>101515.86333333334</v>
      </c>
      <c r="C447" s="381">
        <v>138195.81666666668</v>
      </c>
      <c r="D447" s="284">
        <v>182655</v>
      </c>
      <c r="E447" s="284">
        <v>46088</v>
      </c>
      <c r="F447" s="377">
        <f aca="true" t="shared" si="71" ref="F447:F453">SUM(D447:E447)</f>
        <v>228743</v>
      </c>
      <c r="G447" s="381">
        <v>234014.66666666666</v>
      </c>
      <c r="H447" s="377">
        <f t="shared" si="69"/>
        <v>-5271.666666666657</v>
      </c>
      <c r="J447" s="18"/>
      <c r="K447" s="18"/>
      <c r="L447" s="18"/>
      <c r="M447" s="18"/>
      <c r="N447" s="18"/>
      <c r="O447" s="18"/>
      <c r="P447" s="18"/>
      <c r="Q447" s="18">
        <f t="shared" si="68"/>
        <v>0</v>
      </c>
    </row>
    <row r="448" spans="1:17" ht="12.75">
      <c r="A448" s="93" t="s">
        <v>173</v>
      </c>
      <c r="B448" s="381">
        <v>2110930.3</v>
      </c>
      <c r="C448" s="381">
        <v>2317379.77</v>
      </c>
      <c r="D448" s="284">
        <v>2016685.6666666667</v>
      </c>
      <c r="E448" s="284">
        <v>500058.6666666667</v>
      </c>
      <c r="F448" s="377">
        <f t="shared" si="71"/>
        <v>2516744.3333333335</v>
      </c>
      <c r="G448" s="381">
        <v>2516744.3333333335</v>
      </c>
      <c r="H448" s="377">
        <f t="shared" si="69"/>
        <v>0</v>
      </c>
      <c r="J448" s="18"/>
      <c r="K448" s="18"/>
      <c r="L448" s="18"/>
      <c r="M448" s="18"/>
      <c r="N448" s="18"/>
      <c r="O448" s="18"/>
      <c r="P448" s="18"/>
      <c r="Q448" s="18">
        <f t="shared" si="68"/>
        <v>0</v>
      </c>
    </row>
    <row r="449" spans="1:17" ht="12.75">
      <c r="A449" s="93" t="s">
        <v>174</v>
      </c>
      <c r="B449" s="381">
        <v>5915450.62666667</v>
      </c>
      <c r="C449" s="381">
        <v>5992322.890000001</v>
      </c>
      <c r="D449" s="284">
        <v>4486236.666666667</v>
      </c>
      <c r="E449" s="284">
        <v>1853702</v>
      </c>
      <c r="F449" s="377">
        <f t="shared" si="71"/>
        <v>6339938.666666667</v>
      </c>
      <c r="G449" s="381">
        <v>6304938.333333333</v>
      </c>
      <c r="H449" s="377">
        <f t="shared" si="69"/>
        <v>35000.333333333954</v>
      </c>
      <c r="J449" s="18"/>
      <c r="K449" s="18"/>
      <c r="L449" s="18"/>
      <c r="M449" s="18"/>
      <c r="N449" s="18"/>
      <c r="O449" s="18"/>
      <c r="P449" s="18"/>
      <c r="Q449" s="18">
        <f t="shared" si="68"/>
        <v>0</v>
      </c>
    </row>
    <row r="450" spans="1:17" ht="12.75">
      <c r="A450" s="93" t="s">
        <v>175</v>
      </c>
      <c r="B450" s="381">
        <v>2425254.08666667</v>
      </c>
      <c r="C450" s="381">
        <v>2366120.4833333334</v>
      </c>
      <c r="D450" s="284">
        <v>2070157.6666666667</v>
      </c>
      <c r="E450" s="284">
        <v>704314</v>
      </c>
      <c r="F450" s="377">
        <f t="shared" si="71"/>
        <v>2774471.666666667</v>
      </c>
      <c r="G450" s="381">
        <v>2863301</v>
      </c>
      <c r="H450" s="377">
        <f t="shared" si="69"/>
        <v>-88829.33333333302</v>
      </c>
      <c r="J450" s="18"/>
      <c r="K450" s="18"/>
      <c r="L450" s="18"/>
      <c r="M450" s="18"/>
      <c r="N450" s="18"/>
      <c r="O450" s="18"/>
      <c r="P450" s="18"/>
      <c r="Q450" s="18">
        <f t="shared" si="68"/>
        <v>0</v>
      </c>
    </row>
    <row r="451" spans="1:17" ht="12.75">
      <c r="A451" s="93" t="s">
        <v>177</v>
      </c>
      <c r="B451" s="381">
        <v>132609.96</v>
      </c>
      <c r="C451" s="381">
        <v>93010.32</v>
      </c>
      <c r="D451" s="284">
        <v>61193</v>
      </c>
      <c r="E451" s="284">
        <v>63382</v>
      </c>
      <c r="F451" s="377">
        <f t="shared" si="71"/>
        <v>124575</v>
      </c>
      <c r="G451" s="381">
        <v>124575</v>
      </c>
      <c r="H451" s="377">
        <f t="shared" si="69"/>
        <v>0</v>
      </c>
      <c r="J451" s="18"/>
      <c r="K451" s="18"/>
      <c r="L451" s="18"/>
      <c r="M451" s="18"/>
      <c r="N451" s="18"/>
      <c r="O451" s="18"/>
      <c r="P451" s="18"/>
      <c r="Q451" s="18">
        <f t="shared" si="68"/>
        <v>0</v>
      </c>
    </row>
    <row r="452" spans="1:17" ht="12.75">
      <c r="A452" s="113" t="s">
        <v>180</v>
      </c>
      <c r="B452" s="381">
        <v>35389.66333333334</v>
      </c>
      <c r="C452" s="381">
        <v>36740.596666666665</v>
      </c>
      <c r="D452" s="284">
        <v>35538.13333333333</v>
      </c>
      <c r="E452" s="284">
        <v>4446</v>
      </c>
      <c r="F452" s="377">
        <f t="shared" si="71"/>
        <v>39984.13333333333</v>
      </c>
      <c r="G452" s="381">
        <v>42333.333333333336</v>
      </c>
      <c r="H452" s="377">
        <f t="shared" si="69"/>
        <v>-2349.2000000000044</v>
      </c>
      <c r="J452" s="18"/>
      <c r="K452" s="18"/>
      <c r="L452" s="18"/>
      <c r="M452" s="18"/>
      <c r="N452" s="18"/>
      <c r="O452" s="18"/>
      <c r="P452" s="18"/>
      <c r="Q452" s="18">
        <f t="shared" si="68"/>
        <v>0</v>
      </c>
    </row>
    <row r="453" spans="1:17" ht="12.75">
      <c r="A453" s="113" t="s">
        <v>189</v>
      </c>
      <c r="B453" s="381">
        <v>18333.333333333332</v>
      </c>
      <c r="C453" s="381">
        <v>20000</v>
      </c>
      <c r="D453" s="284">
        <v>20000</v>
      </c>
      <c r="E453" s="284">
        <v>1667</v>
      </c>
      <c r="F453" s="377">
        <f t="shared" si="71"/>
        <v>21667</v>
      </c>
      <c r="G453" s="381">
        <v>20000</v>
      </c>
      <c r="H453" s="377">
        <f t="shared" si="69"/>
        <v>1667</v>
      </c>
      <c r="J453" s="18"/>
      <c r="K453" s="18"/>
      <c r="L453" s="18"/>
      <c r="M453" s="18"/>
      <c r="N453" s="18"/>
      <c r="O453" s="18"/>
      <c r="P453" s="18"/>
      <c r="Q453" s="18">
        <f t="shared" si="68"/>
        <v>0</v>
      </c>
    </row>
    <row r="454" spans="1:8" ht="13.5" thickBot="1">
      <c r="A454" s="111" t="s">
        <v>7</v>
      </c>
      <c r="B454" s="378">
        <f aca="true" t="shared" si="72" ref="B454:H454">SUM(B445:B453)</f>
        <v>47063623.43666671</v>
      </c>
      <c r="C454" s="378">
        <f t="shared" si="72"/>
        <v>48730048.383333325</v>
      </c>
      <c r="D454" s="378">
        <f t="shared" si="72"/>
        <v>39389779.82666667</v>
      </c>
      <c r="E454" s="378">
        <f t="shared" si="72"/>
        <v>11952511.999999998</v>
      </c>
      <c r="F454" s="378">
        <f t="shared" si="72"/>
        <v>51342291.82666666</v>
      </c>
      <c r="G454" s="378">
        <f t="shared" si="72"/>
        <v>51726666.66666667</v>
      </c>
      <c r="H454" s="378">
        <f t="shared" si="72"/>
        <v>-384374.8400000021</v>
      </c>
    </row>
    <row r="455" spans="6:8" ht="13.5" thickTop="1">
      <c r="F455" s="36"/>
      <c r="H455" s="36"/>
    </row>
    <row r="456" spans="6:8" ht="12.75">
      <c r="F456" s="36"/>
      <c r="H456" s="36"/>
    </row>
    <row r="457" spans="6:8" ht="12.75">
      <c r="F457" s="36"/>
      <c r="H457" s="36"/>
    </row>
    <row r="458" spans="6:8" ht="12.75">
      <c r="F458" s="36"/>
      <c r="H458" s="36"/>
    </row>
    <row r="459" spans="6:8" ht="12.75">
      <c r="F459" s="36"/>
      <c r="H459" s="36"/>
    </row>
    <row r="460" spans="1:8" ht="15">
      <c r="A460" s="112" t="s">
        <v>182</v>
      </c>
      <c r="F460" s="36"/>
      <c r="H460" s="36"/>
    </row>
    <row r="461" spans="6:8" ht="12.75">
      <c r="F461" s="36"/>
      <c r="H461" s="36"/>
    </row>
    <row r="462" spans="1:8" ht="12.75">
      <c r="A462" s="97"/>
      <c r="B462" s="147" t="str">
        <f>$B$5</f>
        <v>6/30/07</v>
      </c>
      <c r="C462" s="147" t="str">
        <f>$C$5</f>
        <v>6/30/08</v>
      </c>
      <c r="D462" s="147" t="str">
        <f>$D$5</f>
        <v>Year to</v>
      </c>
      <c r="E462" s="147"/>
      <c r="F462" s="147"/>
      <c r="G462" s="147"/>
      <c r="H462" s="208"/>
    </row>
    <row r="463" spans="1:8" ht="12.75">
      <c r="A463" s="102"/>
      <c r="B463" s="95" t="str">
        <f>$B$6</f>
        <v>FY07</v>
      </c>
      <c r="C463" s="95" t="str">
        <f>$C$6</f>
        <v>FY08</v>
      </c>
      <c r="D463" s="95" t="str">
        <f>$D$6</f>
        <v>Date</v>
      </c>
      <c r="E463" s="95" t="str">
        <f>$E$6</f>
        <v>Projected</v>
      </c>
      <c r="F463" s="95" t="str">
        <f>$F$6</f>
        <v>Projected at</v>
      </c>
      <c r="G463" s="95" t="str">
        <f>$G$6</f>
        <v>Approved</v>
      </c>
      <c r="H463" s="209" t="str">
        <f>$H$6</f>
        <v>Variance</v>
      </c>
    </row>
    <row r="464" spans="1:8" ht="12.75">
      <c r="A464" s="104" t="s">
        <v>10</v>
      </c>
      <c r="B464" s="141" t="str">
        <f>$B$7</f>
        <v>Audited</v>
      </c>
      <c r="C464" s="141" t="str">
        <f>$C$7</f>
        <v>Unaudited</v>
      </c>
      <c r="D464" s="216" t="str">
        <f>$D$7</f>
        <v>As of 4/30/09</v>
      </c>
      <c r="E464" s="141" t="str">
        <f>$E$7</f>
        <v>2 months</v>
      </c>
      <c r="F464" s="141" t="str">
        <f>$F$7</f>
        <v>Year End</v>
      </c>
      <c r="G464" s="141" t="str">
        <f>$G$7</f>
        <v>Budget</v>
      </c>
      <c r="H464" s="210" t="str">
        <f>$H$7</f>
        <v>Over/(Under)</v>
      </c>
    </row>
    <row r="465" spans="1:8" ht="12.75">
      <c r="A465" s="119">
        <v>10010001</v>
      </c>
      <c r="B465" s="110"/>
      <c r="C465" s="110"/>
      <c r="D465" s="110"/>
      <c r="E465" s="95"/>
      <c r="F465" s="95"/>
      <c r="G465" s="95"/>
      <c r="H465" s="95"/>
    </row>
    <row r="466" spans="1:8" ht="12.75">
      <c r="A466" s="1" t="s">
        <v>394</v>
      </c>
      <c r="B466" s="153"/>
      <c r="C466" s="153"/>
      <c r="D466" s="153"/>
      <c r="F466" s="76"/>
      <c r="G466" s="76"/>
      <c r="H466" s="36"/>
    </row>
    <row r="467" spans="1:13" ht="12.75">
      <c r="A467" s="14" t="s">
        <v>325</v>
      </c>
      <c r="B467" s="381">
        <v>1170291.69</v>
      </c>
      <c r="C467" s="381">
        <v>1294785.6333333333</v>
      </c>
      <c r="D467" s="284">
        <v>327442.8466666667</v>
      </c>
      <c r="E467" s="284">
        <v>80356.48666666665</v>
      </c>
      <c r="F467" s="377">
        <f aca="true" t="shared" si="73" ref="F467:F473">SUM(D467:E467)</f>
        <v>407799.3333333333</v>
      </c>
      <c r="G467" s="381">
        <v>402799.3333333333</v>
      </c>
      <c r="H467" s="377">
        <f aca="true" t="shared" si="74" ref="H467:H473">+F467-G467</f>
        <v>5000</v>
      </c>
      <c r="K467" s="18"/>
      <c r="L467" s="18"/>
      <c r="M467" s="18"/>
    </row>
    <row r="468" spans="1:13" ht="12.75">
      <c r="A468" s="14" t="s">
        <v>326</v>
      </c>
      <c r="B468" s="381">
        <v>0</v>
      </c>
      <c r="C468" s="381">
        <v>0</v>
      </c>
      <c r="D468" s="284">
        <v>680843.44</v>
      </c>
      <c r="E468" s="284">
        <v>180475.22666666665</v>
      </c>
      <c r="F468" s="377">
        <f t="shared" si="73"/>
        <v>861318.6666666666</v>
      </c>
      <c r="G468" s="381">
        <v>861318.6666666666</v>
      </c>
      <c r="H468" s="377">
        <f t="shared" si="74"/>
        <v>0</v>
      </c>
      <c r="K468" s="18"/>
      <c r="L468" s="18"/>
      <c r="M468" s="18"/>
    </row>
    <row r="469" spans="1:13" ht="12.75">
      <c r="A469" s="14" t="s">
        <v>327</v>
      </c>
      <c r="B469" s="381">
        <v>0</v>
      </c>
      <c r="C469" s="381">
        <v>0</v>
      </c>
      <c r="D469" s="284">
        <v>41304.02333333334</v>
      </c>
      <c r="E469" s="284">
        <v>17029.31</v>
      </c>
      <c r="F469" s="377">
        <f t="shared" si="73"/>
        <v>58333.33333333334</v>
      </c>
      <c r="G469" s="381">
        <v>58333.333333333336</v>
      </c>
      <c r="H469" s="377">
        <f t="shared" si="74"/>
        <v>0</v>
      </c>
      <c r="K469" s="18"/>
      <c r="L469" s="18"/>
      <c r="M469" s="18"/>
    </row>
    <row r="470" spans="1:13" ht="12.75">
      <c r="A470" s="14" t="s">
        <v>305</v>
      </c>
      <c r="B470" s="381">
        <v>203846.65</v>
      </c>
      <c r="C470" s="381">
        <v>208331.19</v>
      </c>
      <c r="D470" s="284">
        <v>192817.86666666667</v>
      </c>
      <c r="E470" s="284">
        <v>23848.8</v>
      </c>
      <c r="F470" s="377">
        <f t="shared" si="73"/>
        <v>216666.66666666666</v>
      </c>
      <c r="G470" s="381">
        <v>216666.66666666666</v>
      </c>
      <c r="H470" s="377">
        <f t="shared" si="74"/>
        <v>0</v>
      </c>
      <c r="K470" s="18"/>
      <c r="L470" s="18"/>
      <c r="M470" s="18"/>
    </row>
    <row r="471" spans="1:13" ht="12.75">
      <c r="A471" s="14" t="s">
        <v>487</v>
      </c>
      <c r="B471" s="381">
        <v>15825333.333333334</v>
      </c>
      <c r="C471" s="381">
        <v>17780022</v>
      </c>
      <c r="D471" s="284">
        <v>15152777.766666666</v>
      </c>
      <c r="E471" s="284">
        <v>3030555.566666668</v>
      </c>
      <c r="F471" s="386">
        <v>18183333</v>
      </c>
      <c r="G471" s="381">
        <v>18183333.333333332</v>
      </c>
      <c r="H471" s="377">
        <f t="shared" si="74"/>
        <v>-0.3333333320915699</v>
      </c>
      <c r="K471" s="18"/>
      <c r="L471" s="18"/>
      <c r="M471" s="18"/>
    </row>
    <row r="472" spans="1:13" ht="12.75">
      <c r="A472" s="14" t="s">
        <v>306</v>
      </c>
      <c r="B472" s="381">
        <v>114080.49333333333</v>
      </c>
      <c r="C472" s="381">
        <v>128385.47333333334</v>
      </c>
      <c r="D472" s="284">
        <v>141571.64</v>
      </c>
      <c r="E472" s="284">
        <v>51761.69333333332</v>
      </c>
      <c r="F472" s="377">
        <f t="shared" si="73"/>
        <v>193333.33333333334</v>
      </c>
      <c r="G472" s="381">
        <v>193333.33333333334</v>
      </c>
      <c r="H472" s="377">
        <f t="shared" si="74"/>
        <v>0</v>
      </c>
      <c r="K472" s="18"/>
      <c r="L472" s="18"/>
      <c r="M472" s="18"/>
    </row>
    <row r="473" spans="1:13" ht="12.75">
      <c r="A473" s="14" t="s">
        <v>307</v>
      </c>
      <c r="B473" s="381">
        <v>1123333.3333333333</v>
      </c>
      <c r="C473" s="381">
        <v>1033333.3333333334</v>
      </c>
      <c r="D473" s="284">
        <v>715277.7666666666</v>
      </c>
      <c r="E473" s="284">
        <v>143055.56666666674</v>
      </c>
      <c r="F473" s="377">
        <f t="shared" si="73"/>
        <v>858333.3333333334</v>
      </c>
      <c r="G473" s="381">
        <v>858333.3333333334</v>
      </c>
      <c r="H473" s="377">
        <f t="shared" si="74"/>
        <v>0</v>
      </c>
      <c r="K473" s="18"/>
      <c r="L473" s="18"/>
      <c r="M473" s="18"/>
    </row>
    <row r="474" spans="2:13" ht="12.75">
      <c r="B474" s="381"/>
      <c r="C474" s="381"/>
      <c r="D474" s="284"/>
      <c r="E474" s="284"/>
      <c r="F474" s="377"/>
      <c r="G474" s="381"/>
      <c r="H474" s="377"/>
      <c r="K474" s="18"/>
      <c r="L474" s="18"/>
      <c r="M474" s="18"/>
    </row>
    <row r="475" spans="1:13" s="1" customFormat="1" ht="12.75">
      <c r="A475" s="1" t="s">
        <v>390</v>
      </c>
      <c r="B475" s="381"/>
      <c r="C475" s="381"/>
      <c r="D475" s="284"/>
      <c r="E475" s="284"/>
      <c r="F475" s="387"/>
      <c r="G475" s="381"/>
      <c r="H475" s="367"/>
      <c r="K475" s="18"/>
      <c r="L475" s="18"/>
      <c r="M475" s="18"/>
    </row>
    <row r="476" spans="1:13" ht="12.75">
      <c r="A476" s="14" t="s">
        <v>308</v>
      </c>
      <c r="B476" s="381">
        <v>32004</v>
      </c>
      <c r="C476" s="381">
        <v>62830.27</v>
      </c>
      <c r="D476" s="284">
        <v>18115.25</v>
      </c>
      <c r="E476" s="284">
        <v>24251.416666666668</v>
      </c>
      <c r="F476" s="377">
        <f>SUM(D476:E476)</f>
        <v>42366.66666666667</v>
      </c>
      <c r="G476" s="381">
        <v>42366.666666666664</v>
      </c>
      <c r="H476" s="377">
        <f>+F476-G476</f>
        <v>0</v>
      </c>
      <c r="K476" s="18"/>
      <c r="L476" s="18"/>
      <c r="M476" s="18"/>
    </row>
    <row r="477" spans="1:13" ht="12.75">
      <c r="A477" s="14" t="s">
        <v>309</v>
      </c>
      <c r="B477" s="381">
        <v>44490</v>
      </c>
      <c r="C477" s="381">
        <v>45467.666666666664</v>
      </c>
      <c r="D477" s="284">
        <v>46817</v>
      </c>
      <c r="E477" s="284">
        <v>1673.3333333333333</v>
      </c>
      <c r="F477" s="377">
        <f>SUM(D477:E477)</f>
        <v>48490.333333333336</v>
      </c>
      <c r="G477" s="381">
        <v>48490.333333333336</v>
      </c>
      <c r="H477" s="377">
        <f>+F477-G477</f>
        <v>0</v>
      </c>
      <c r="K477" s="18"/>
      <c r="L477" s="18"/>
      <c r="M477" s="18"/>
    </row>
    <row r="478" spans="2:13" ht="12.75">
      <c r="B478" s="381"/>
      <c r="C478" s="381"/>
      <c r="D478" s="284"/>
      <c r="E478" s="284"/>
      <c r="F478" s="377"/>
      <c r="G478" s="381"/>
      <c r="H478" s="377"/>
      <c r="K478" s="18"/>
      <c r="L478" s="18"/>
      <c r="M478" s="18"/>
    </row>
    <row r="479" spans="1:13" ht="12.75">
      <c r="A479" s="1" t="s">
        <v>391</v>
      </c>
      <c r="B479" s="381"/>
      <c r="C479" s="381"/>
      <c r="D479" s="284"/>
      <c r="E479" s="284"/>
      <c r="F479" s="388"/>
      <c r="G479" s="381"/>
      <c r="H479" s="377"/>
      <c r="K479" s="18"/>
      <c r="L479" s="18"/>
      <c r="M479" s="18"/>
    </row>
    <row r="480" spans="1:13" ht="12.75">
      <c r="A480" s="14" t="s">
        <v>314</v>
      </c>
      <c r="B480" s="381">
        <v>0</v>
      </c>
      <c r="C480" s="381">
        <v>0</v>
      </c>
      <c r="D480" s="284">
        <v>0</v>
      </c>
      <c r="E480" s="284">
        <v>0</v>
      </c>
      <c r="F480" s="377">
        <f>SUM(D480:E480)</f>
        <v>0</v>
      </c>
      <c r="G480" s="381">
        <v>0</v>
      </c>
      <c r="H480" s="377">
        <f>+F480-G480</f>
        <v>0</v>
      </c>
      <c r="K480" s="18"/>
      <c r="L480" s="18"/>
      <c r="M480" s="18"/>
    </row>
    <row r="481" spans="1:13" ht="12.75">
      <c r="A481" s="113" t="s">
        <v>310</v>
      </c>
      <c r="B481" s="381">
        <v>658374</v>
      </c>
      <c r="C481" s="381">
        <v>573333.3333333334</v>
      </c>
      <c r="D481" s="284">
        <v>277777.76666666666</v>
      </c>
      <c r="E481" s="284">
        <v>55555.56666666665</v>
      </c>
      <c r="F481" s="377">
        <f>SUM(D481:E481)</f>
        <v>333333.3333333333</v>
      </c>
      <c r="G481" s="381">
        <v>333333.3333333333</v>
      </c>
      <c r="H481" s="377">
        <f>+F481-G481</f>
        <v>0</v>
      </c>
      <c r="K481" s="18"/>
      <c r="L481" s="18"/>
      <c r="M481" s="18"/>
    </row>
    <row r="482" spans="1:13" ht="12.75">
      <c r="A482" s="113" t="s">
        <v>190</v>
      </c>
      <c r="B482" s="381">
        <v>187761</v>
      </c>
      <c r="C482" s="381">
        <v>191687.66666666666</v>
      </c>
      <c r="D482" s="284">
        <v>184759.66666666666</v>
      </c>
      <c r="E482" s="284">
        <v>8056.666666666667</v>
      </c>
      <c r="F482" s="377">
        <f>SUM(D482:E482)</f>
        <v>192816.3333333333</v>
      </c>
      <c r="G482" s="381">
        <v>192816.33333333334</v>
      </c>
      <c r="H482" s="377">
        <f>+F482-G482</f>
        <v>0</v>
      </c>
      <c r="K482" s="18"/>
      <c r="L482" s="18"/>
      <c r="M482" s="18"/>
    </row>
    <row r="483" spans="1:13" ht="12.75">
      <c r="A483" s="119"/>
      <c r="B483" s="381"/>
      <c r="C483" s="381"/>
      <c r="D483" s="284"/>
      <c r="E483" s="284"/>
      <c r="F483" s="388"/>
      <c r="G483" s="381"/>
      <c r="H483" s="377"/>
      <c r="K483" s="18"/>
      <c r="L483" s="18"/>
      <c r="M483" s="18"/>
    </row>
    <row r="484" spans="1:13" ht="12.75">
      <c r="A484" s="41" t="s">
        <v>392</v>
      </c>
      <c r="B484" s="381"/>
      <c r="C484" s="381"/>
      <c r="D484" s="284"/>
      <c r="E484" s="284"/>
      <c r="F484" s="388"/>
      <c r="G484" s="381"/>
      <c r="H484" s="377"/>
      <c r="K484" s="18"/>
      <c r="L484" s="18"/>
      <c r="M484" s="18"/>
    </row>
    <row r="485" spans="1:13" ht="12.75">
      <c r="A485" s="14" t="s">
        <v>98</v>
      </c>
      <c r="B485" s="381">
        <v>168774.7666666667</v>
      </c>
      <c r="C485" s="381">
        <v>206829.4833333333</v>
      </c>
      <c r="D485" s="284">
        <v>188189.20666666664</v>
      </c>
      <c r="E485" s="284">
        <v>47283.46</v>
      </c>
      <c r="F485" s="377">
        <f>SUM(D485:E485)</f>
        <v>235472.66666666663</v>
      </c>
      <c r="G485" s="381">
        <v>235472.66666666666</v>
      </c>
      <c r="H485" s="377">
        <f>+F485-G485</f>
        <v>0</v>
      </c>
      <c r="K485" s="18"/>
      <c r="L485" s="18"/>
      <c r="M485" s="18"/>
    </row>
    <row r="486" spans="1:13" ht="12.75">
      <c r="A486" s="14" t="s">
        <v>191</v>
      </c>
      <c r="B486" s="381">
        <v>5854.866666666666</v>
      </c>
      <c r="C486" s="381">
        <v>5811.556666666666</v>
      </c>
      <c r="D486" s="284">
        <v>7398.27</v>
      </c>
      <c r="E486" s="284">
        <v>0</v>
      </c>
      <c r="F486" s="377">
        <f>SUM(D486:E486)</f>
        <v>7398.27</v>
      </c>
      <c r="G486" s="381">
        <v>7416</v>
      </c>
      <c r="H486" s="377">
        <f>+F486-G486</f>
        <v>-17.729999999999563</v>
      </c>
      <c r="K486" s="18"/>
      <c r="L486" s="18"/>
      <c r="M486" s="18"/>
    </row>
    <row r="487" spans="1:13" ht="12.75">
      <c r="A487" s="14" t="s">
        <v>311</v>
      </c>
      <c r="B487" s="381">
        <v>2658850.66666667</v>
      </c>
      <c r="C487" s="381">
        <v>2833333.3333333335</v>
      </c>
      <c r="D487" s="284">
        <v>2638888.9</v>
      </c>
      <c r="E487" s="284">
        <v>527777.7666666666</v>
      </c>
      <c r="F487" s="377">
        <f>SUM(D487:E487)</f>
        <v>3166666.6666666665</v>
      </c>
      <c r="G487" s="381">
        <v>3166666.6666666665</v>
      </c>
      <c r="H487" s="377">
        <f>+F487-G487</f>
        <v>0</v>
      </c>
      <c r="K487" s="18"/>
      <c r="L487" s="18"/>
      <c r="M487" s="18"/>
    </row>
    <row r="488" spans="1:13" ht="12.75">
      <c r="A488" s="79"/>
      <c r="B488" s="381"/>
      <c r="C488" s="381"/>
      <c r="D488" s="284"/>
      <c r="E488" s="284"/>
      <c r="F488" s="388"/>
      <c r="G488" s="381"/>
      <c r="H488" s="377"/>
      <c r="K488" s="18"/>
      <c r="L488" s="18"/>
      <c r="M488" s="18"/>
    </row>
    <row r="489" spans="1:13" ht="12.75">
      <c r="A489" s="151" t="s">
        <v>393</v>
      </c>
      <c r="B489" s="381"/>
      <c r="C489" s="381"/>
      <c r="D489" s="284"/>
      <c r="E489" s="284"/>
      <c r="F489" s="388"/>
      <c r="G489" s="381"/>
      <c r="H489" s="377"/>
      <c r="K489" s="18"/>
      <c r="L489" s="18"/>
      <c r="M489" s="18"/>
    </row>
    <row r="490" spans="1:13" ht="12.75">
      <c r="A490" s="14" t="s">
        <v>194</v>
      </c>
      <c r="B490" s="381">
        <v>605208.3333333334</v>
      </c>
      <c r="C490" s="381">
        <v>369666.6666666667</v>
      </c>
      <c r="D490" s="284">
        <v>266666.6666666667</v>
      </c>
      <c r="E490" s="284">
        <v>0</v>
      </c>
      <c r="F490" s="377">
        <f aca="true" t="shared" si="75" ref="F490:F496">SUM(D490:E490)</f>
        <v>266666.6666666667</v>
      </c>
      <c r="G490" s="381">
        <v>266666.6666666667</v>
      </c>
      <c r="H490" s="377">
        <f aca="true" t="shared" si="76" ref="H490:H496">+F490-G490</f>
        <v>0</v>
      </c>
      <c r="K490" s="18"/>
      <c r="L490" s="18"/>
      <c r="M490" s="18"/>
    </row>
    <row r="491" spans="1:13" ht="12.75">
      <c r="A491" s="14" t="s">
        <v>192</v>
      </c>
      <c r="B491" s="381">
        <v>6542721.33333333</v>
      </c>
      <c r="C491" s="381">
        <v>4924014.333333333</v>
      </c>
      <c r="D491" s="284">
        <v>3932224.6666666665</v>
      </c>
      <c r="E491" s="284">
        <v>0</v>
      </c>
      <c r="F491" s="377">
        <f t="shared" si="75"/>
        <v>3932224.6666666665</v>
      </c>
      <c r="G491" s="381">
        <v>3932224.6666666665</v>
      </c>
      <c r="H491" s="377">
        <f t="shared" si="76"/>
        <v>0</v>
      </c>
      <c r="K491" s="18"/>
      <c r="L491" s="18"/>
      <c r="M491" s="18"/>
    </row>
    <row r="492" spans="1:13" ht="12.75">
      <c r="A492" s="14" t="s">
        <v>488</v>
      </c>
      <c r="B492" s="381">
        <v>150000</v>
      </c>
      <c r="C492" s="381">
        <v>286000</v>
      </c>
      <c r="D492" s="284">
        <v>164508.27333333335</v>
      </c>
      <c r="E492" s="284">
        <v>47158.39333333333</v>
      </c>
      <c r="F492" s="377">
        <f>SUM(D492:E492)</f>
        <v>211666.6666666667</v>
      </c>
      <c r="G492" s="381">
        <v>211666.66666666666</v>
      </c>
      <c r="H492" s="377">
        <f>+F492-G492</f>
        <v>0</v>
      </c>
      <c r="K492" s="18"/>
      <c r="L492" s="18"/>
      <c r="M492" s="18"/>
    </row>
    <row r="493" spans="1:13" ht="12.75">
      <c r="A493" s="14" t="s">
        <v>193</v>
      </c>
      <c r="B493" s="381">
        <v>0</v>
      </c>
      <c r="C493" s="381">
        <v>500000</v>
      </c>
      <c r="D493" s="284">
        <v>500000</v>
      </c>
      <c r="E493" s="284">
        <v>0</v>
      </c>
      <c r="F493" s="377">
        <f t="shared" si="75"/>
        <v>500000</v>
      </c>
      <c r="G493" s="381">
        <v>500000</v>
      </c>
      <c r="H493" s="377">
        <f t="shared" si="76"/>
        <v>0</v>
      </c>
      <c r="K493" s="18"/>
      <c r="L493" s="18"/>
      <c r="M493" s="18"/>
    </row>
    <row r="494" spans="1:13" ht="12.75">
      <c r="A494" s="14" t="s">
        <v>278</v>
      </c>
      <c r="B494" s="381">
        <v>4333.333333333333</v>
      </c>
      <c r="C494" s="381">
        <v>20000</v>
      </c>
      <c r="D494" s="284">
        <v>0</v>
      </c>
      <c r="E494" s="284">
        <v>0</v>
      </c>
      <c r="F494" s="377">
        <f>SUM(D494:E494)</f>
        <v>0</v>
      </c>
      <c r="G494" s="381">
        <v>0</v>
      </c>
      <c r="H494" s="377">
        <f>+F494-G494</f>
        <v>0</v>
      </c>
      <c r="K494" s="18"/>
      <c r="L494" s="18"/>
      <c r="M494" s="18"/>
    </row>
    <row r="495" spans="1:13" ht="12.75">
      <c r="A495" s="14" t="s">
        <v>286</v>
      </c>
      <c r="B495" s="381">
        <v>0</v>
      </c>
      <c r="C495" s="381">
        <v>0</v>
      </c>
      <c r="D495" s="284">
        <v>0</v>
      </c>
      <c r="E495" s="284">
        <v>61366.666666666664</v>
      </c>
      <c r="F495" s="377">
        <f t="shared" si="75"/>
        <v>61366.666666666664</v>
      </c>
      <c r="G495" s="381">
        <v>61366.666666666664</v>
      </c>
      <c r="H495" s="377">
        <f t="shared" si="76"/>
        <v>0</v>
      </c>
      <c r="K495" s="18"/>
      <c r="L495" s="18"/>
      <c r="M495" s="18"/>
    </row>
    <row r="496" spans="1:13" ht="12.75">
      <c r="A496" s="14" t="s">
        <v>287</v>
      </c>
      <c r="B496" s="381">
        <v>0</v>
      </c>
      <c r="C496" s="381">
        <v>0</v>
      </c>
      <c r="D496" s="284">
        <v>0</v>
      </c>
      <c r="E496" s="284">
        <v>0</v>
      </c>
      <c r="F496" s="377">
        <f t="shared" si="75"/>
        <v>0</v>
      </c>
      <c r="G496" s="381">
        <v>0</v>
      </c>
      <c r="H496" s="377">
        <f t="shared" si="76"/>
        <v>0</v>
      </c>
      <c r="K496" s="18"/>
      <c r="L496" s="18"/>
      <c r="M496" s="18"/>
    </row>
    <row r="497" spans="6:8" ht="12.75">
      <c r="F497" s="36"/>
      <c r="H497" s="36"/>
    </row>
    <row r="498" spans="1:8" ht="13.5" thickBot="1">
      <c r="A498" s="111" t="s">
        <v>7</v>
      </c>
      <c r="B498" s="378">
        <f aca="true" t="shared" si="77" ref="B498:H498">SUM(B467:B497)</f>
        <v>29495257.799999993</v>
      </c>
      <c r="C498" s="378">
        <f t="shared" si="77"/>
        <v>30463831.94</v>
      </c>
      <c r="D498" s="378">
        <f t="shared" si="77"/>
        <v>25477381.016666666</v>
      </c>
      <c r="E498" s="378">
        <f t="shared" si="77"/>
        <v>4300205.920000001</v>
      </c>
      <c r="F498" s="378">
        <f t="shared" si="77"/>
        <v>29777586.603333335</v>
      </c>
      <c r="G498" s="378">
        <f t="shared" si="77"/>
        <v>29772604.666666668</v>
      </c>
      <c r="H498" s="378">
        <f t="shared" si="77"/>
        <v>4981.936666667909</v>
      </c>
    </row>
    <row r="499" spans="2:8" ht="13.5" thickTop="1">
      <c r="B499" s="36" t="s">
        <v>132</v>
      </c>
      <c r="C499" s="36" t="s">
        <v>132</v>
      </c>
      <c r="D499" s="36" t="s">
        <v>132</v>
      </c>
      <c r="F499" s="36"/>
      <c r="H499" s="36"/>
    </row>
    <row r="500" spans="6:8" ht="12.75">
      <c r="F500" s="36"/>
      <c r="H500" s="36"/>
    </row>
    <row r="501" spans="6:8" ht="12.75">
      <c r="F501" s="36"/>
      <c r="H501" s="36"/>
    </row>
    <row r="502" spans="6:8" ht="12.75">
      <c r="F502" s="36"/>
      <c r="H502" s="36"/>
    </row>
    <row r="503" spans="1:8" ht="15">
      <c r="A503" s="112" t="s">
        <v>400</v>
      </c>
      <c r="F503" s="36"/>
      <c r="H503" s="36"/>
    </row>
    <row r="504" spans="6:8" ht="12.75">
      <c r="F504" s="36"/>
      <c r="H504" s="36"/>
    </row>
    <row r="505" spans="1:8" ht="12.75">
      <c r="A505" s="97"/>
      <c r="B505" s="147" t="str">
        <f>$B$5</f>
        <v>6/30/07</v>
      </c>
      <c r="C505" s="147" t="str">
        <f>$C$5</f>
        <v>6/30/08</v>
      </c>
      <c r="D505" s="147" t="str">
        <f>$D$5</f>
        <v>Year to</v>
      </c>
      <c r="E505" s="147"/>
      <c r="F505" s="147"/>
      <c r="G505" s="147"/>
      <c r="H505" s="208"/>
    </row>
    <row r="506" spans="1:8" ht="12.75">
      <c r="A506" s="102"/>
      <c r="B506" s="95" t="str">
        <f>$B$6</f>
        <v>FY07</v>
      </c>
      <c r="C506" s="95" t="str">
        <f>$C$6</f>
        <v>FY08</v>
      </c>
      <c r="D506" s="95" t="str">
        <f>$D$6</f>
        <v>Date</v>
      </c>
      <c r="E506" s="95" t="str">
        <f>$E$6</f>
        <v>Projected</v>
      </c>
      <c r="F506" s="95" t="str">
        <f>$F$6</f>
        <v>Projected at</v>
      </c>
      <c r="G506" s="95" t="str">
        <f>$G$6</f>
        <v>Approved</v>
      </c>
      <c r="H506" s="209" t="str">
        <f>$H$6</f>
        <v>Variance</v>
      </c>
    </row>
    <row r="507" spans="1:8" ht="12.75">
      <c r="A507" s="104" t="s">
        <v>10</v>
      </c>
      <c r="B507" s="141" t="str">
        <f>$B$7</f>
        <v>Audited</v>
      </c>
      <c r="C507" s="141" t="str">
        <f>$C$7</f>
        <v>Unaudited</v>
      </c>
      <c r="D507" s="216" t="str">
        <f>$D$7</f>
        <v>As of 4/30/09</v>
      </c>
      <c r="E507" s="141" t="str">
        <f>$E$7</f>
        <v>2 months</v>
      </c>
      <c r="F507" s="141" t="str">
        <f>$F$7</f>
        <v>Year End</v>
      </c>
      <c r="G507" s="141" t="str">
        <f>$G$7</f>
        <v>Budget</v>
      </c>
      <c r="H507" s="210" t="str">
        <f>$H$7</f>
        <v>Over/(Under)</v>
      </c>
    </row>
    <row r="508" spans="1:8" ht="12.75">
      <c r="A508" s="60"/>
      <c r="B508" s="110"/>
      <c r="C508" s="110"/>
      <c r="D508" s="110"/>
      <c r="E508" s="95"/>
      <c r="F508" s="95"/>
      <c r="G508" s="95"/>
      <c r="H508" s="95"/>
    </row>
    <row r="509" spans="1:15" ht="12.75">
      <c r="A509" s="14" t="s">
        <v>178</v>
      </c>
      <c r="B509" s="381">
        <v>14548192</v>
      </c>
      <c r="C509" s="381">
        <v>14657958</v>
      </c>
      <c r="D509" s="284">
        <v>12354166.666666666</v>
      </c>
      <c r="E509" s="284">
        <v>2470833.3333333335</v>
      </c>
      <c r="F509" s="377">
        <f>SUM(D509:E509)</f>
        <v>14825000</v>
      </c>
      <c r="G509" s="381">
        <v>14825000</v>
      </c>
      <c r="H509" s="377">
        <f>SUM(F509-G509)</f>
        <v>0</v>
      </c>
      <c r="J509" s="18"/>
      <c r="K509" s="18"/>
      <c r="L509" s="18"/>
      <c r="M509" s="18"/>
      <c r="N509" s="18"/>
      <c r="O509" s="18"/>
    </row>
    <row r="510" spans="1:15" ht="12.75">
      <c r="A510" s="14" t="s">
        <v>179</v>
      </c>
      <c r="B510" s="381">
        <v>25404</v>
      </c>
      <c r="C510" s="381">
        <v>25796.36</v>
      </c>
      <c r="D510" s="284">
        <v>13647.013333333334</v>
      </c>
      <c r="E510" s="284">
        <v>45452.986666666664</v>
      </c>
      <c r="F510" s="377">
        <f>SUM(D510:E510)</f>
        <v>59100</v>
      </c>
      <c r="G510" s="381">
        <v>59100</v>
      </c>
      <c r="H510" s="377">
        <f>SUM(F510-G510)</f>
        <v>0</v>
      </c>
      <c r="J510" s="18"/>
      <c r="K510" s="18"/>
      <c r="L510" s="18"/>
      <c r="M510" s="18"/>
      <c r="N510" s="18"/>
      <c r="O510" s="18"/>
    </row>
    <row r="511" spans="1:15" ht="12.75">
      <c r="A511" s="16" t="s">
        <v>180</v>
      </c>
      <c r="B511" s="381">
        <v>298.3333333333333</v>
      </c>
      <c r="C511" s="381">
        <v>0</v>
      </c>
      <c r="D511" s="284">
        <v>0</v>
      </c>
      <c r="E511" s="284">
        <v>833.3333333333334</v>
      </c>
      <c r="F511" s="377">
        <f>SUM(D511:E511)</f>
        <v>833.3333333333334</v>
      </c>
      <c r="G511" s="381">
        <v>833.3333333333334</v>
      </c>
      <c r="H511" s="379">
        <f>SUM(F511-G511)</f>
        <v>0</v>
      </c>
      <c r="J511" s="18"/>
      <c r="K511" s="18"/>
      <c r="L511" s="18"/>
      <c r="M511" s="18"/>
      <c r="N511" s="18"/>
      <c r="O511" s="18"/>
    </row>
    <row r="512" spans="1:8" ht="13.5" thickBot="1">
      <c r="A512" s="111" t="s">
        <v>7</v>
      </c>
      <c r="B512" s="378">
        <f aca="true" t="shared" si="78" ref="B512:H512">SUM(B509:B511)</f>
        <v>14573894.333333334</v>
      </c>
      <c r="C512" s="378">
        <f t="shared" si="78"/>
        <v>14683754.36</v>
      </c>
      <c r="D512" s="378">
        <f t="shared" si="78"/>
        <v>12367813.68</v>
      </c>
      <c r="E512" s="378">
        <f t="shared" si="78"/>
        <v>2517119.653333334</v>
      </c>
      <c r="F512" s="378">
        <f t="shared" si="78"/>
        <v>14884933.333333334</v>
      </c>
      <c r="G512" s="378">
        <f t="shared" si="78"/>
        <v>14884933.333333334</v>
      </c>
      <c r="H512" s="378">
        <f t="shared" si="78"/>
        <v>0</v>
      </c>
    </row>
    <row r="513" spans="2:8" ht="13.5" thickTop="1">
      <c r="B513" s="37"/>
      <c r="C513" s="37"/>
      <c r="D513" s="37"/>
      <c r="E513" s="37"/>
      <c r="F513" s="37"/>
      <c r="G513" s="37"/>
      <c r="H513" s="37"/>
    </row>
    <row r="514" spans="6:8" ht="12.75">
      <c r="F514" s="36"/>
      <c r="H514" s="36"/>
    </row>
    <row r="515" spans="6:8" ht="12.75">
      <c r="F515" s="36"/>
      <c r="H515" s="36"/>
    </row>
    <row r="516" spans="1:8" s="1" customFormat="1" ht="12.75">
      <c r="A516" s="12" t="s">
        <v>171</v>
      </c>
      <c r="B516" s="389">
        <f aca="true" t="shared" si="79" ref="B516:H516">SUM(B18+B226+B98+B34+B512+B141+B164+B186+B249+B206+B53+B120+B74+B365+B338+B272+B305+B387+B408+B454+B429+B498)</f>
        <v>115525697.09333338</v>
      </c>
      <c r="C516" s="389">
        <f t="shared" si="79"/>
        <v>119175793.22666664</v>
      </c>
      <c r="D516" s="389">
        <f t="shared" si="79"/>
        <v>98435274.86666666</v>
      </c>
      <c r="E516" s="389">
        <f t="shared" si="79"/>
        <v>24704445.72016778</v>
      </c>
      <c r="F516" s="389">
        <f t="shared" si="79"/>
        <v>123139720.2535011</v>
      </c>
      <c r="G516" s="389">
        <f t="shared" si="79"/>
        <v>123405876.33333334</v>
      </c>
      <c r="H516" s="389">
        <f t="shared" si="79"/>
        <v>-266156.07983222243</v>
      </c>
    </row>
    <row r="517" spans="1:8" s="1" customFormat="1" ht="12.75">
      <c r="A517" s="12"/>
      <c r="B517" s="159"/>
      <c r="C517" s="159"/>
      <c r="D517" s="159"/>
      <c r="E517" s="159"/>
      <c r="F517" s="159"/>
      <c r="G517" s="159"/>
      <c r="H517" s="159"/>
    </row>
    <row r="518" spans="1:8" s="1" customFormat="1" ht="12.75">
      <c r="A518" s="12"/>
      <c r="B518" s="159"/>
      <c r="C518" s="159"/>
      <c r="D518" s="159"/>
      <c r="E518" s="159"/>
      <c r="F518" s="159"/>
      <c r="G518" s="159"/>
      <c r="H518" s="159"/>
    </row>
    <row r="519" spans="1:8" s="1" customFormat="1" ht="12.75">
      <c r="A519" s="12"/>
      <c r="B519" s="41"/>
      <c r="C519" s="537" t="s">
        <v>552</v>
      </c>
      <c r="D519" s="21"/>
      <c r="E519" s="521"/>
      <c r="F519" s="521"/>
      <c r="G519" s="159"/>
      <c r="H519" s="159"/>
    </row>
    <row r="520" spans="1:8" s="1" customFormat="1" ht="12.75">
      <c r="A520" s="12"/>
      <c r="B520" s="41"/>
      <c r="C520" s="7"/>
      <c r="D520" s="21"/>
      <c r="E520" s="521"/>
      <c r="F520" s="521"/>
      <c r="G520" s="159"/>
      <c r="H520" s="159"/>
    </row>
    <row r="521" spans="1:8" s="1" customFormat="1" ht="12.75">
      <c r="A521" s="12"/>
      <c r="B521" s="41"/>
      <c r="C521" s="504" t="s">
        <v>553</v>
      </c>
      <c r="D521" s="21"/>
      <c r="E521" s="521"/>
      <c r="F521" s="521"/>
      <c r="G521" s="159"/>
      <c r="H521" s="159"/>
    </row>
    <row r="522" spans="1:8" s="1" customFormat="1" ht="12.75">
      <c r="A522" s="12"/>
      <c r="B522" s="41"/>
      <c r="C522" s="505"/>
      <c r="D522" s="21"/>
      <c r="E522" s="521"/>
      <c r="F522" s="521"/>
      <c r="G522" s="159"/>
      <c r="H522" s="159"/>
    </row>
    <row r="523" spans="1:8" s="1" customFormat="1" ht="25.5">
      <c r="A523" s="12"/>
      <c r="B523" s="41"/>
      <c r="C523" s="506" t="s">
        <v>554</v>
      </c>
      <c r="D523" s="21"/>
      <c r="E523" s="521"/>
      <c r="F523" s="521"/>
      <c r="G523" s="159"/>
      <c r="H523" s="159"/>
    </row>
    <row r="524" spans="1:8" s="1" customFormat="1" ht="12.75">
      <c r="A524" s="12"/>
      <c r="B524" s="41"/>
      <c r="C524" s="505"/>
      <c r="D524" s="21"/>
      <c r="E524" s="521"/>
      <c r="F524" s="521"/>
      <c r="G524" s="159"/>
      <c r="H524" s="159"/>
    </row>
    <row r="525" spans="1:8" s="1" customFormat="1" ht="25.5">
      <c r="A525" s="12"/>
      <c r="B525" s="41"/>
      <c r="C525" s="507" t="s">
        <v>555</v>
      </c>
      <c r="D525" s="21"/>
      <c r="E525" s="521"/>
      <c r="F525" s="521"/>
      <c r="G525" s="159"/>
      <c r="H525" s="159"/>
    </row>
    <row r="526" spans="1:8" s="1" customFormat="1" ht="12.75">
      <c r="A526" s="12"/>
      <c r="B526" s="41"/>
      <c r="C526" s="79"/>
      <c r="D526" s="21"/>
      <c r="E526" s="521"/>
      <c r="F526" s="521"/>
      <c r="G526" s="159"/>
      <c r="H526" s="159"/>
    </row>
    <row r="527" spans="1:8" s="1" customFormat="1" ht="25.5">
      <c r="A527" s="12"/>
      <c r="B527" s="41"/>
      <c r="C527" s="508" t="s">
        <v>556</v>
      </c>
      <c r="D527" s="21"/>
      <c r="E527" s="521"/>
      <c r="F527" s="521"/>
      <c r="G527" s="159"/>
      <c r="H527" s="159"/>
    </row>
    <row r="528" spans="1:8" s="1" customFormat="1" ht="14.25">
      <c r="A528" s="12"/>
      <c r="B528" s="531"/>
      <c r="C528" s="79"/>
      <c r="D528" s="21"/>
      <c r="E528" s="532"/>
      <c r="F528" s="532"/>
      <c r="G528" s="159"/>
      <c r="H528" s="159"/>
    </row>
    <row r="529" spans="1:8" s="1" customFormat="1" ht="12.75">
      <c r="A529" s="12"/>
      <c r="B529" s="159"/>
      <c r="C529" s="159"/>
      <c r="D529" s="159"/>
      <c r="E529" s="159"/>
      <c r="F529" s="159"/>
      <c r="G529" s="159"/>
      <c r="H529" s="159"/>
    </row>
    <row r="532" spans="2:6" ht="12.75">
      <c r="B532" s="14"/>
      <c r="C532" s="14"/>
      <c r="D532" s="14"/>
      <c r="E532" s="14"/>
      <c r="F532" s="14"/>
    </row>
    <row r="533" spans="2:6" ht="12.75">
      <c r="B533" s="14"/>
      <c r="C533" s="14"/>
      <c r="D533" s="14"/>
      <c r="E533" s="14"/>
      <c r="F533" s="14"/>
    </row>
    <row r="534" spans="2:6" ht="12.75">
      <c r="B534" s="14"/>
      <c r="C534" s="14"/>
      <c r="D534" s="14"/>
      <c r="E534" s="14"/>
      <c r="F534" s="14"/>
    </row>
    <row r="535" spans="2:6" ht="12.75">
      <c r="B535" s="14"/>
      <c r="C535" s="14"/>
      <c r="D535" s="14"/>
      <c r="E535" s="14"/>
      <c r="F535" s="14"/>
    </row>
    <row r="536" spans="2:6" ht="12.75">
      <c r="B536" s="14"/>
      <c r="C536" s="14"/>
      <c r="D536" s="14"/>
      <c r="E536" s="14"/>
      <c r="F536" s="14"/>
    </row>
    <row r="537" spans="2:6" ht="12.75">
      <c r="B537" s="14"/>
      <c r="C537" s="14"/>
      <c r="D537" s="14"/>
      <c r="E537" s="14"/>
      <c r="F537" s="14"/>
    </row>
    <row r="538" spans="2:6" ht="12.75">
      <c r="B538" s="14"/>
      <c r="C538" s="14"/>
      <c r="D538" s="14"/>
      <c r="E538" s="14"/>
      <c r="F538" s="14"/>
    </row>
    <row r="539" spans="2:6" ht="12.75">
      <c r="B539" s="14"/>
      <c r="C539" s="14"/>
      <c r="D539" s="14"/>
      <c r="E539" s="14"/>
      <c r="F539" s="14"/>
    </row>
    <row r="540" spans="2:6" ht="12.75">
      <c r="B540" s="14"/>
      <c r="C540" s="14"/>
      <c r="D540" s="14"/>
      <c r="E540" s="14"/>
      <c r="F540" s="14"/>
    </row>
    <row r="541" spans="2:6" ht="12.75">
      <c r="B541" s="14"/>
      <c r="C541" s="14"/>
      <c r="D541" s="14"/>
      <c r="E541" s="14"/>
      <c r="F541" s="14"/>
    </row>
  </sheetData>
  <printOptions horizontalCentered="1"/>
  <pageMargins left="0.17" right="0.17" top="0.44" bottom="0.65" header="0.6" footer="0.27"/>
  <pageSetup horizontalDpi="300" verticalDpi="300" orientation="landscape" scale="95" r:id="rId1"/>
  <headerFooter alignWithMargins="0">
    <oddFooter>&amp;L&amp;D&amp;REXPENDITURES
DEPARTMENT  DETAIL</oddFooter>
  </headerFooter>
  <rowBreaks count="9" manualBreakCount="9">
    <brk id="35" max="255" man="1"/>
    <brk id="252" max="255" man="1"/>
    <brk id="284" max="255" man="1"/>
    <brk id="318" max="255" man="1"/>
    <brk id="347" max="255" man="1"/>
    <brk id="391" max="255" man="1"/>
    <brk id="433" max="255" man="1"/>
    <brk id="458" max="255" man="1"/>
    <brk id="50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51"/>
  <sheetViews>
    <sheetView zoomScale="75" zoomScaleNormal="75" workbookViewId="0" topLeftCell="A1">
      <pane xSplit="1" ySplit="9" topLeftCell="B2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17" sqref="O217"/>
    </sheetView>
  </sheetViews>
  <sheetFormatPr defaultColWidth="9.140625" defaultRowHeight="12.75"/>
  <cols>
    <col min="1" max="1" width="35.28125" style="0" customWidth="1"/>
    <col min="2" max="4" width="14.421875" style="0" customWidth="1"/>
    <col min="5" max="5" width="12.7109375" style="0" customWidth="1"/>
    <col min="6" max="6" width="12.00390625" style="0" customWidth="1"/>
    <col min="7" max="7" width="14.140625" style="139" customWidth="1"/>
    <col min="8" max="8" width="11.421875" style="0" bestFit="1" customWidth="1"/>
    <col min="10" max="10" width="15.140625" style="0" bestFit="1" customWidth="1"/>
  </cols>
  <sheetData>
    <row r="1" spans="1:8" s="170" customFormat="1" ht="20.25">
      <c r="A1" s="269" t="s">
        <v>369</v>
      </c>
      <c r="E1" s="168"/>
      <c r="F1" s="168"/>
      <c r="G1" s="168"/>
      <c r="H1" s="169"/>
    </row>
    <row r="2" spans="1:8" s="14" customFormat="1" ht="15.75">
      <c r="A2" s="112"/>
      <c r="B2" s="112"/>
      <c r="C2" s="112"/>
      <c r="D2" s="167" t="s">
        <v>401</v>
      </c>
      <c r="E2" s="167"/>
      <c r="F2" s="36"/>
      <c r="G2" s="36"/>
      <c r="H2" s="13"/>
    </row>
    <row r="3" spans="1:8" s="14" customFormat="1" ht="15">
      <c r="A3" s="112"/>
      <c r="B3" s="112"/>
      <c r="C3" s="112"/>
      <c r="D3" s="112"/>
      <c r="E3" s="36"/>
      <c r="F3" s="36"/>
      <c r="G3" s="36"/>
      <c r="H3" s="13"/>
    </row>
    <row r="4" spans="1:8" s="14" customFormat="1" ht="15">
      <c r="A4" s="112"/>
      <c r="B4" s="112"/>
      <c r="C4" s="112"/>
      <c r="D4" s="112"/>
      <c r="E4" s="36"/>
      <c r="F4" s="36"/>
      <c r="G4" s="36"/>
      <c r="H4" s="13"/>
    </row>
    <row r="5" spans="1:8" s="14" customFormat="1" ht="15">
      <c r="A5" s="112"/>
      <c r="B5" s="112"/>
      <c r="C5" s="112"/>
      <c r="D5" s="112"/>
      <c r="E5" s="36"/>
      <c r="F5" s="36"/>
      <c r="G5" s="36"/>
      <c r="H5" s="13"/>
    </row>
    <row r="6" spans="1:8" s="14" customFormat="1" ht="12.75">
      <c r="A6" s="1" t="s">
        <v>493</v>
      </c>
      <c r="B6" s="36"/>
      <c r="C6" s="36"/>
      <c r="D6" s="36"/>
      <c r="E6" s="36"/>
      <c r="F6" s="13"/>
      <c r="G6" s="36"/>
      <c r="H6" s="13"/>
    </row>
    <row r="7" spans="1:10" s="14" customFormat="1" ht="12.75">
      <c r="A7" s="97"/>
      <c r="B7" s="108" t="str">
        <f>'Schedule 6 Expends Dept Detail'!B323</f>
        <v>6/30/07</v>
      </c>
      <c r="C7" s="108" t="s">
        <v>319</v>
      </c>
      <c r="D7" s="99" t="s">
        <v>0</v>
      </c>
      <c r="E7" s="98"/>
      <c r="F7" s="100"/>
      <c r="G7" s="98"/>
      <c r="H7" s="101"/>
      <c r="J7" s="13"/>
    </row>
    <row r="8" spans="1:10" s="14" customFormat="1" ht="12.75">
      <c r="A8" s="102"/>
      <c r="B8" s="96" t="str">
        <f>'Schedule 6 Expends Dept Detail'!B324</f>
        <v>FY07</v>
      </c>
      <c r="C8" s="96" t="s">
        <v>290</v>
      </c>
      <c r="D8" s="95" t="s">
        <v>1</v>
      </c>
      <c r="E8" s="96" t="s">
        <v>8</v>
      </c>
      <c r="F8" s="91" t="s">
        <v>36</v>
      </c>
      <c r="G8" s="96" t="s">
        <v>113</v>
      </c>
      <c r="H8" s="103" t="s">
        <v>9</v>
      </c>
      <c r="J8" s="13"/>
    </row>
    <row r="9" spans="1:8" s="14" customFormat="1" ht="12.75">
      <c r="A9" s="104" t="s">
        <v>10</v>
      </c>
      <c r="B9" s="105" t="s">
        <v>214</v>
      </c>
      <c r="C9" s="105" t="s">
        <v>124</v>
      </c>
      <c r="D9" s="152" t="str">
        <f>'Schedule 6 Expends Dept Detail'!D7</f>
        <v>As of 4/30/09</v>
      </c>
      <c r="E9" s="105" t="str">
        <f>'Schedule 6 Expends Dept Detail'!E7</f>
        <v>2 months</v>
      </c>
      <c r="F9" s="106" t="s">
        <v>29</v>
      </c>
      <c r="G9" s="105" t="s">
        <v>13</v>
      </c>
      <c r="H9" s="107" t="s">
        <v>14</v>
      </c>
    </row>
    <row r="10" spans="1:8" s="14" customFormat="1" ht="12.75">
      <c r="A10" s="60"/>
      <c r="B10" s="110"/>
      <c r="C10" s="110"/>
      <c r="D10" s="110"/>
      <c r="E10" s="95"/>
      <c r="F10" s="94"/>
      <c r="G10" s="95"/>
      <c r="H10" s="94"/>
    </row>
    <row r="11" spans="1:8" s="14" customFormat="1" ht="12.75">
      <c r="A11" s="14" t="s">
        <v>2</v>
      </c>
      <c r="B11" s="36">
        <f>SUM(B41+B64+B107+B168+B210+B189+B146+B84+B125)</f>
        <v>2319401</v>
      </c>
      <c r="C11" s="36">
        <f aca="true" t="shared" si="0" ref="C11:G13">SUM(C41+C64+C107+C168+C210+C189+C146+C84+C125)</f>
        <v>2442378</v>
      </c>
      <c r="D11" s="36">
        <f t="shared" si="0"/>
        <v>2143178</v>
      </c>
      <c r="E11" s="36">
        <f t="shared" si="0"/>
        <v>554063</v>
      </c>
      <c r="F11" s="36">
        <f t="shared" si="0"/>
        <v>2697241</v>
      </c>
      <c r="G11" s="36">
        <f t="shared" si="0"/>
        <v>2766445.333333333</v>
      </c>
      <c r="H11" s="377">
        <f aca="true" t="shared" si="1" ref="H11:H21">SUM(F11-G11)</f>
        <v>-69204.33333333302</v>
      </c>
    </row>
    <row r="12" spans="1:8" s="14" customFormat="1" ht="12.75">
      <c r="A12" s="14" t="s">
        <v>3</v>
      </c>
      <c r="B12" s="36">
        <f>SUM(B42+B65+B108+B169+B211+B190+B147+B85+B126)</f>
        <v>253906.80333333332</v>
      </c>
      <c r="C12" s="36">
        <f t="shared" si="0"/>
        <v>286442.81</v>
      </c>
      <c r="D12" s="36">
        <f t="shared" si="0"/>
        <v>260563.78000000003</v>
      </c>
      <c r="E12" s="36">
        <f t="shared" si="0"/>
        <v>40039.24333333333</v>
      </c>
      <c r="F12" s="36">
        <f>SUM(F42+F65+F108+F169+F211+F190+F147+F85+F126)</f>
        <v>300603.02333333326</v>
      </c>
      <c r="G12" s="36">
        <f t="shared" si="0"/>
        <v>230333.33333333334</v>
      </c>
      <c r="H12" s="377">
        <f t="shared" si="1"/>
        <v>70269.68999999992</v>
      </c>
    </row>
    <row r="13" spans="1:8" s="14" customFormat="1" ht="12.75">
      <c r="A13" s="14" t="s">
        <v>4</v>
      </c>
      <c r="B13" s="36">
        <f>SUM(B43+B66+B109+B170+B212+B191+B148+B86+B127)</f>
        <v>231019.57333333336</v>
      </c>
      <c r="C13" s="36">
        <f t="shared" si="0"/>
        <v>223311.9733333333</v>
      </c>
      <c r="D13" s="36">
        <f t="shared" si="0"/>
        <v>206916.38666666666</v>
      </c>
      <c r="E13" s="36">
        <f t="shared" si="0"/>
        <v>31672.920000000006</v>
      </c>
      <c r="F13" s="36">
        <f t="shared" si="0"/>
        <v>238589.30666666664</v>
      </c>
      <c r="G13" s="36">
        <f t="shared" si="0"/>
        <v>269758.6666666666</v>
      </c>
      <c r="H13" s="377">
        <f t="shared" si="1"/>
        <v>-31169.359999999986</v>
      </c>
    </row>
    <row r="14" spans="1:8" s="14" customFormat="1" ht="12.75">
      <c r="A14" s="14" t="s">
        <v>5</v>
      </c>
      <c r="B14" s="36">
        <f aca="true" t="shared" si="2" ref="B14:G14">SUM(B11:B13)</f>
        <v>2804327.3766666665</v>
      </c>
      <c r="C14" s="36">
        <f t="shared" si="2"/>
        <v>2952132.783333333</v>
      </c>
      <c r="D14" s="36">
        <f t="shared" si="2"/>
        <v>2610658.166666667</v>
      </c>
      <c r="E14" s="36">
        <f t="shared" si="2"/>
        <v>625775.1633333333</v>
      </c>
      <c r="F14" s="36">
        <f t="shared" si="2"/>
        <v>3236433.33</v>
      </c>
      <c r="G14" s="36">
        <f t="shared" si="2"/>
        <v>3266537.333333333</v>
      </c>
      <c r="H14" s="377">
        <f t="shared" si="1"/>
        <v>-30104.00333333295</v>
      </c>
    </row>
    <row r="15" spans="1:8" s="14" customFormat="1" ht="12.75">
      <c r="A15" s="93" t="s">
        <v>178</v>
      </c>
      <c r="B15" s="36">
        <f aca="true" t="shared" si="3" ref="B15:G15">SUM(+B45+B68+B111+B172+B214+B193+B150+B88+B129)</f>
        <v>18548.323333333334</v>
      </c>
      <c r="C15" s="36">
        <f t="shared" si="3"/>
        <v>18416.756666666668</v>
      </c>
      <c r="D15" s="36">
        <f t="shared" si="3"/>
        <v>17134.916666666664</v>
      </c>
      <c r="E15" s="36">
        <f t="shared" si="3"/>
        <v>6889.543333333334</v>
      </c>
      <c r="F15" s="36">
        <f t="shared" si="3"/>
        <v>24024.460000000003</v>
      </c>
      <c r="G15" s="36">
        <f t="shared" si="3"/>
        <v>24024.66666666667</v>
      </c>
      <c r="H15" s="377">
        <f t="shared" si="1"/>
        <v>-0.20666666666875244</v>
      </c>
    </row>
    <row r="16" spans="1:8" s="14" customFormat="1" ht="12.75">
      <c r="A16" s="93" t="s">
        <v>179</v>
      </c>
      <c r="B16" s="36">
        <f aca="true" t="shared" si="4" ref="B16:G16">SUM(+B46+B69+B151+B173+B215+B194+B130)</f>
        <v>37732.753333333334</v>
      </c>
      <c r="C16" s="36">
        <f t="shared" si="4"/>
        <v>44050.926666666666</v>
      </c>
      <c r="D16" s="36">
        <f t="shared" si="4"/>
        <v>36529.88333333333</v>
      </c>
      <c r="E16" s="36">
        <f t="shared" si="4"/>
        <v>46161.78333333333</v>
      </c>
      <c r="F16" s="36">
        <f t="shared" si="4"/>
        <v>82691.66666666666</v>
      </c>
      <c r="G16" s="36">
        <f t="shared" si="4"/>
        <v>82691.33333333333</v>
      </c>
      <c r="H16" s="377">
        <f t="shared" si="1"/>
        <v>0.3333333333284827</v>
      </c>
    </row>
    <row r="17" spans="1:8" s="14" customFormat="1" ht="12.75">
      <c r="A17" s="93" t="s">
        <v>173</v>
      </c>
      <c r="B17" s="36">
        <f aca="true" t="shared" si="5" ref="B17:G17">SUM(+B47+B70+B112+B174+B216+B195+B152+B89)</f>
        <v>1552811.22</v>
      </c>
      <c r="C17" s="36">
        <f t="shared" si="5"/>
        <v>1525007.183333333</v>
      </c>
      <c r="D17" s="36">
        <f t="shared" si="5"/>
        <v>1281278.3866666667</v>
      </c>
      <c r="E17" s="36">
        <f t="shared" si="5"/>
        <v>471006.61333333334</v>
      </c>
      <c r="F17" s="36">
        <f t="shared" si="5"/>
        <v>1752285.0000000002</v>
      </c>
      <c r="G17" s="36">
        <f t="shared" si="5"/>
        <v>1692065</v>
      </c>
      <c r="H17" s="377">
        <f t="shared" si="1"/>
        <v>60220.00000000023</v>
      </c>
    </row>
    <row r="18" spans="1:8" s="14" customFormat="1" ht="12.75">
      <c r="A18" s="93" t="s">
        <v>174</v>
      </c>
      <c r="B18" s="36">
        <f aca="true" t="shared" si="6" ref="B18:G18">SUM(B48+B71+B113+B217+B196+B153+B90)</f>
        <v>209800.54333333333</v>
      </c>
      <c r="C18" s="36">
        <f t="shared" si="6"/>
        <v>200697.9333333333</v>
      </c>
      <c r="D18" s="36">
        <f t="shared" si="6"/>
        <v>117449.74999999999</v>
      </c>
      <c r="E18" s="36">
        <f t="shared" si="6"/>
        <v>24116.91666666667</v>
      </c>
      <c r="F18" s="36">
        <f t="shared" si="6"/>
        <v>141566.6666666667</v>
      </c>
      <c r="G18" s="36">
        <f t="shared" si="6"/>
        <v>141566.6666666667</v>
      </c>
      <c r="H18" s="377">
        <f t="shared" si="1"/>
        <v>0</v>
      </c>
    </row>
    <row r="19" spans="1:8" s="14" customFormat="1" ht="12.75">
      <c r="A19" s="93" t="s">
        <v>175</v>
      </c>
      <c r="B19" s="36">
        <f aca="true" t="shared" si="7" ref="B19:G19">SUM(B49+B72+B114+B175+B218+B197+B154+B91+B131)</f>
        <v>1066958.0666666667</v>
      </c>
      <c r="C19" s="36">
        <f t="shared" si="7"/>
        <v>1183739.4233333336</v>
      </c>
      <c r="D19" s="36">
        <f t="shared" si="7"/>
        <v>1106135.9766666668</v>
      </c>
      <c r="E19" s="36">
        <f t="shared" si="7"/>
        <v>280875.0233333334</v>
      </c>
      <c r="F19" s="36">
        <f t="shared" si="7"/>
        <v>1387011</v>
      </c>
      <c r="G19" s="36">
        <f t="shared" si="7"/>
        <v>1387011</v>
      </c>
      <c r="H19" s="377">
        <f t="shared" si="1"/>
        <v>0</v>
      </c>
    </row>
    <row r="20" spans="1:8" s="14" customFormat="1" ht="12.75">
      <c r="A20" s="93" t="s">
        <v>177</v>
      </c>
      <c r="B20" s="36">
        <f aca="true" t="shared" si="8" ref="B20:G20">SUM(B50+B73+B155+B92)</f>
        <v>978.5866666666667</v>
      </c>
      <c r="C20" s="36">
        <f t="shared" si="8"/>
        <v>2502.346666666667</v>
      </c>
      <c r="D20" s="36">
        <f t="shared" si="8"/>
        <v>741.6866666666667</v>
      </c>
      <c r="E20" s="36">
        <f t="shared" si="8"/>
        <v>2958.7499999999995</v>
      </c>
      <c r="F20" s="36">
        <f t="shared" si="8"/>
        <v>3700.4366666666665</v>
      </c>
      <c r="G20" s="36">
        <f t="shared" si="8"/>
        <v>3700.6666666666665</v>
      </c>
      <c r="H20" s="377">
        <f t="shared" si="1"/>
        <v>-0.2300000000000182</v>
      </c>
    </row>
    <row r="21" spans="1:8" s="14" customFormat="1" ht="12.75">
      <c r="A21" s="148" t="s">
        <v>176</v>
      </c>
      <c r="B21" s="373">
        <f aca="true" t="shared" si="9" ref="B21:G21">SUM(B51+B74+B176+B198+B156+B93+B132+B219)</f>
        <v>35165.21666666666</v>
      </c>
      <c r="C21" s="373">
        <f t="shared" si="9"/>
        <v>36396.78333333333</v>
      </c>
      <c r="D21" s="373">
        <f t="shared" si="9"/>
        <v>30633.4</v>
      </c>
      <c r="E21" s="373">
        <f t="shared" si="9"/>
        <v>7611.599999999999</v>
      </c>
      <c r="F21" s="373">
        <f t="shared" si="9"/>
        <v>38245</v>
      </c>
      <c r="G21" s="373">
        <f t="shared" si="9"/>
        <v>38244.666666666664</v>
      </c>
      <c r="H21" s="377">
        <f t="shared" si="1"/>
        <v>0.33333333333575865</v>
      </c>
    </row>
    <row r="22" spans="1:8" s="14" customFormat="1" ht="13.5" thickBot="1">
      <c r="A22" s="111" t="s">
        <v>7</v>
      </c>
      <c r="B22" s="378">
        <f aca="true" t="shared" si="10" ref="B22:H22">SUM(B14:B21)</f>
        <v>5726322.086666666</v>
      </c>
      <c r="C22" s="378">
        <f t="shared" si="10"/>
        <v>5962944.136666668</v>
      </c>
      <c r="D22" s="378">
        <f t="shared" si="10"/>
        <v>5200562.166666667</v>
      </c>
      <c r="E22" s="378">
        <f t="shared" si="10"/>
        <v>1465395.3933333335</v>
      </c>
      <c r="F22" s="378">
        <f t="shared" si="10"/>
        <v>6665957.5600000005</v>
      </c>
      <c r="G22" s="378">
        <f>SUM(G14:G21)</f>
        <v>6635841.333333334</v>
      </c>
      <c r="H22" s="378">
        <f t="shared" si="10"/>
        <v>30116.22666666728</v>
      </c>
    </row>
    <row r="23" spans="2:8" ht="13.5" thickTop="1">
      <c r="B23" s="139"/>
      <c r="C23" s="139"/>
      <c r="D23" s="139"/>
      <c r="E23" s="139"/>
      <c r="F23" s="139"/>
      <c r="H23" s="139"/>
    </row>
    <row r="24" spans="2:8" ht="12.75">
      <c r="B24" s="139" t="s">
        <v>132</v>
      </c>
      <c r="C24" s="139" t="s">
        <v>132</v>
      </c>
      <c r="D24" s="139" t="s">
        <v>132</v>
      </c>
      <c r="E24" s="139"/>
      <c r="F24" s="139"/>
      <c r="G24" s="142"/>
      <c r="H24" s="139"/>
    </row>
    <row r="25" spans="2:8" ht="12.75">
      <c r="B25" s="139"/>
      <c r="C25" s="139"/>
      <c r="D25" s="139"/>
      <c r="E25" s="139" t="s">
        <v>215</v>
      </c>
      <c r="F25" s="142"/>
      <c r="G25" s="117"/>
      <c r="H25" s="139"/>
    </row>
    <row r="26" spans="2:8" ht="6" customHeight="1">
      <c r="B26" s="139"/>
      <c r="C26" s="139"/>
      <c r="D26" s="139"/>
      <c r="E26" s="139"/>
      <c r="F26" s="222"/>
      <c r="G26" s="117"/>
      <c r="H26" s="139"/>
    </row>
    <row r="27" spans="2:8" ht="12.75">
      <c r="B27" s="139"/>
      <c r="C27" s="139"/>
      <c r="D27" s="139"/>
      <c r="E27" s="118" t="str">
        <f>'Schedule 6 Expends Dept Detail'!F20</f>
        <v>Bi-Weekly PP posted 5/22/09</v>
      </c>
      <c r="F27" s="36">
        <f>SUM(G547+G77+G97+G118+G135+G160+G180+G202+G222)</f>
        <v>23314</v>
      </c>
      <c r="G27" s="223"/>
      <c r="H27" s="142"/>
    </row>
    <row r="28" spans="2:8" ht="12.75">
      <c r="B28" s="139"/>
      <c r="C28" s="139"/>
      <c r="D28" s="139"/>
      <c r="E28" s="118" t="str">
        <f>'Schedule 6 Expends Dept Detail'!F276</f>
        <v>Weekly PP posted 5/22/09</v>
      </c>
      <c r="F28" s="36">
        <f>+G98+G119+G161+G181+G203+G223+G78</f>
        <v>35062</v>
      </c>
      <c r="H28" s="139"/>
    </row>
    <row r="29" spans="2:8" ht="13.5" thickBot="1">
      <c r="B29" s="139"/>
      <c r="C29" s="139"/>
      <c r="D29" s="139"/>
      <c r="E29" s="139"/>
      <c r="F29" s="390">
        <f>SUM(F27:F28)</f>
        <v>58376</v>
      </c>
      <c r="H29" s="139"/>
    </row>
    <row r="30" spans="2:8" ht="13.5" thickTop="1">
      <c r="B30" s="139"/>
      <c r="C30" s="139"/>
      <c r="D30" s="139"/>
      <c r="E30" s="139"/>
      <c r="F30" s="139"/>
      <c r="H30" s="139"/>
    </row>
    <row r="31" spans="2:8" ht="12.75">
      <c r="B31" s="139"/>
      <c r="C31" s="139"/>
      <c r="D31" s="139"/>
      <c r="E31" s="139"/>
      <c r="F31" s="139"/>
      <c r="H31" s="139"/>
    </row>
    <row r="32" spans="2:8" ht="12.75">
      <c r="B32" s="139"/>
      <c r="C32" s="139"/>
      <c r="D32" s="139"/>
      <c r="E32" s="139"/>
      <c r="F32" s="139"/>
      <c r="H32" s="139"/>
    </row>
    <row r="33" spans="2:8" ht="12.75">
      <c r="B33" s="139"/>
      <c r="C33" s="139"/>
      <c r="D33" s="139"/>
      <c r="E33" s="139"/>
      <c r="F33" s="139"/>
      <c r="H33" s="139"/>
    </row>
    <row r="34" spans="2:8" ht="12.75">
      <c r="B34" s="139"/>
      <c r="C34" s="139"/>
      <c r="D34" s="139"/>
      <c r="E34" s="139"/>
      <c r="F34" s="139"/>
      <c r="H34" s="139"/>
    </row>
    <row r="35" spans="2:8" ht="12.75">
      <c r="B35" s="139"/>
      <c r="C35" s="139"/>
      <c r="D35" s="139"/>
      <c r="E35" s="139"/>
      <c r="F35" s="139"/>
      <c r="H35" s="139"/>
    </row>
    <row r="36" spans="2:8" ht="12.75">
      <c r="B36" s="139"/>
      <c r="C36" s="139"/>
      <c r="D36" s="139"/>
      <c r="E36" s="139"/>
      <c r="F36" s="139"/>
      <c r="H36" s="139"/>
    </row>
    <row r="37" spans="1:8" s="14" customFormat="1" ht="12.75">
      <c r="A37" s="1" t="s">
        <v>248</v>
      </c>
      <c r="B37" s="36"/>
      <c r="C37" s="36"/>
      <c r="D37" s="36"/>
      <c r="E37" s="36"/>
      <c r="F37" s="36"/>
      <c r="G37" s="36"/>
      <c r="H37" s="36"/>
    </row>
    <row r="38" spans="1:8" s="14" customFormat="1" ht="12.75">
      <c r="A38" s="97"/>
      <c r="B38" s="99" t="str">
        <f>$B$7</f>
        <v>6/30/07</v>
      </c>
      <c r="C38" s="99" t="str">
        <f>$C$7</f>
        <v>6/30/08</v>
      </c>
      <c r="D38" s="99" t="str">
        <f>$D$7</f>
        <v>Year to</v>
      </c>
      <c r="E38" s="98"/>
      <c r="F38" s="98"/>
      <c r="G38" s="98"/>
      <c r="H38" s="391"/>
    </row>
    <row r="39" spans="1:8" s="14" customFormat="1" ht="12.75">
      <c r="A39" s="102"/>
      <c r="B39" s="95" t="str">
        <f>$B$8</f>
        <v>FY07</v>
      </c>
      <c r="C39" s="95" t="str">
        <f>$C$8</f>
        <v>FY08</v>
      </c>
      <c r="D39" s="95" t="str">
        <f>$D$8</f>
        <v>Date</v>
      </c>
      <c r="E39" s="96" t="s">
        <v>8</v>
      </c>
      <c r="F39" s="96" t="s">
        <v>36</v>
      </c>
      <c r="G39" s="96" t="s">
        <v>113</v>
      </c>
      <c r="H39" s="392" t="s">
        <v>9</v>
      </c>
    </row>
    <row r="40" spans="1:16" s="14" customFormat="1" ht="12.75">
      <c r="A40" s="104" t="s">
        <v>10</v>
      </c>
      <c r="B40" s="105" t="str">
        <f>$B$9</f>
        <v>Audited</v>
      </c>
      <c r="C40" s="105" t="str">
        <f>$C$9</f>
        <v>Unaudited</v>
      </c>
      <c r="D40" s="201" t="str">
        <f>$D$9</f>
        <v>As of 4/30/09</v>
      </c>
      <c r="E40" s="105" t="str">
        <f>$E$9</f>
        <v>2 months</v>
      </c>
      <c r="F40" s="105" t="s">
        <v>29</v>
      </c>
      <c r="G40" s="105" t="s">
        <v>13</v>
      </c>
      <c r="H40" s="393" t="s">
        <v>14</v>
      </c>
      <c r="I40" s="177"/>
      <c r="P40" s="14" t="s">
        <v>132</v>
      </c>
    </row>
    <row r="41" spans="1:16" s="14" customFormat="1" ht="12.75">
      <c r="A41" s="14" t="s">
        <v>2</v>
      </c>
      <c r="B41" s="372">
        <v>87242</v>
      </c>
      <c r="C41" s="372">
        <v>117378</v>
      </c>
      <c r="D41" s="272">
        <v>114003</v>
      </c>
      <c r="E41" s="377">
        <f>G55*'Schedule 1 Summary'!D15+6700</f>
        <v>34135</v>
      </c>
      <c r="F41" s="377">
        <f>SUM(D41:E41)</f>
        <v>148138</v>
      </c>
      <c r="G41" s="381">
        <v>141512</v>
      </c>
      <c r="H41" s="377">
        <f>SUM(F41-G41)</f>
        <v>6626</v>
      </c>
      <c r="I41" s="177"/>
      <c r="M41" s="18"/>
      <c r="N41" s="18"/>
      <c r="O41" s="18"/>
      <c r="P41" s="18"/>
    </row>
    <row r="42" spans="1:16" s="14" customFormat="1" ht="12.75">
      <c r="A42" s="14" t="s">
        <v>3</v>
      </c>
      <c r="B42" s="381">
        <v>162.09333333333333</v>
      </c>
      <c r="C42" s="381">
        <v>715.64</v>
      </c>
      <c r="D42" s="284">
        <v>278.93</v>
      </c>
      <c r="E42" s="284">
        <v>54.40333333333334</v>
      </c>
      <c r="F42" s="377">
        <f>SUM(D42:E42)</f>
        <v>333.33333333333337</v>
      </c>
      <c r="G42" s="381">
        <v>333.3333333333333</v>
      </c>
      <c r="H42" s="377">
        <f>SUM(F42-G42)</f>
        <v>5.684341886080802E-14</v>
      </c>
      <c r="I42" s="177"/>
      <c r="J42" s="18"/>
      <c r="K42" s="18"/>
      <c r="L42" s="18"/>
      <c r="M42" s="18"/>
      <c r="N42" s="18"/>
      <c r="O42" s="18"/>
      <c r="P42" s="18"/>
    </row>
    <row r="43" spans="1:16" s="14" customFormat="1" ht="12.75">
      <c r="A43" s="14" t="s">
        <v>4</v>
      </c>
      <c r="B43" s="381">
        <v>520</v>
      </c>
      <c r="C43" s="381">
        <v>535</v>
      </c>
      <c r="D43" s="284">
        <v>366.6666666666667</v>
      </c>
      <c r="E43" s="284">
        <v>0</v>
      </c>
      <c r="F43" s="377">
        <f>SUM(D43:E43)</f>
        <v>366.6666666666667</v>
      </c>
      <c r="G43" s="381">
        <v>535</v>
      </c>
      <c r="H43" s="377">
        <f>SUM(F43-G43)</f>
        <v>-168.33333333333331</v>
      </c>
      <c r="J43" s="18"/>
      <c r="K43" s="18"/>
      <c r="L43" s="18"/>
      <c r="M43" s="18"/>
      <c r="N43" s="18"/>
      <c r="O43" s="18"/>
      <c r="P43" s="18"/>
    </row>
    <row r="44" spans="1:16" s="14" customFormat="1" ht="12.75">
      <c r="A44" s="14" t="s">
        <v>5</v>
      </c>
      <c r="B44" s="377">
        <f aca="true" t="shared" si="11" ref="B44:H44">SUM(B41:B43)</f>
        <v>87924.09333333334</v>
      </c>
      <c r="C44" s="377">
        <f t="shared" si="11"/>
        <v>118628.64</v>
      </c>
      <c r="D44" s="377">
        <f t="shared" si="11"/>
        <v>114648.59666666666</v>
      </c>
      <c r="E44" s="377">
        <f t="shared" si="11"/>
        <v>34189.403333333335</v>
      </c>
      <c r="F44" s="377">
        <f t="shared" si="11"/>
        <v>148838</v>
      </c>
      <c r="G44" s="377">
        <f t="shared" si="11"/>
        <v>142380.33333333334</v>
      </c>
      <c r="H44" s="377">
        <f t="shared" si="11"/>
        <v>6457.666666666667</v>
      </c>
      <c r="J44" s="18"/>
      <c r="K44" s="18"/>
      <c r="L44" s="18"/>
      <c r="M44" s="18"/>
      <c r="N44" s="18"/>
      <c r="O44" s="18"/>
      <c r="P44" s="18"/>
    </row>
    <row r="45" spans="1:16" s="14" customFormat="1" ht="12.75">
      <c r="A45" s="93" t="s">
        <v>178</v>
      </c>
      <c r="B45" s="381">
        <v>0</v>
      </c>
      <c r="C45" s="381">
        <v>0</v>
      </c>
      <c r="D45" s="284">
        <v>0</v>
      </c>
      <c r="E45" s="284">
        <v>106.66666666666667</v>
      </c>
      <c r="F45" s="377">
        <f aca="true" t="shared" si="12" ref="F45:F51">SUM(D45:E45)</f>
        <v>106.66666666666667</v>
      </c>
      <c r="G45" s="381">
        <v>106.66666666666667</v>
      </c>
      <c r="H45" s="377">
        <f aca="true" t="shared" si="13" ref="H45:H51">SUM(F45-G45)</f>
        <v>0</v>
      </c>
      <c r="J45" s="18"/>
      <c r="K45" s="18"/>
      <c r="L45" s="18"/>
      <c r="M45" s="18"/>
      <c r="N45" s="18"/>
      <c r="O45" s="18"/>
      <c r="P45" s="18"/>
    </row>
    <row r="46" spans="1:16" s="14" customFormat="1" ht="12.75">
      <c r="A46" s="93" t="s">
        <v>179</v>
      </c>
      <c r="B46" s="381">
        <v>0</v>
      </c>
      <c r="C46" s="381">
        <v>58</v>
      </c>
      <c r="D46" s="284">
        <v>87.66666666666667</v>
      </c>
      <c r="E46" s="284">
        <v>245.66666666666666</v>
      </c>
      <c r="F46" s="377">
        <f t="shared" si="12"/>
        <v>333.3333333333333</v>
      </c>
      <c r="G46" s="381">
        <v>333.3333333333333</v>
      </c>
      <c r="H46" s="377">
        <f t="shared" si="13"/>
        <v>0</v>
      </c>
      <c r="J46" s="18"/>
      <c r="K46" s="18"/>
      <c r="L46" s="18"/>
      <c r="M46" s="18"/>
      <c r="N46" s="18"/>
      <c r="O46" s="18"/>
      <c r="P46" s="18"/>
    </row>
    <row r="47" spans="1:16" s="14" customFormat="1" ht="12.75">
      <c r="A47" s="93" t="s">
        <v>173</v>
      </c>
      <c r="B47" s="381">
        <v>0</v>
      </c>
      <c r="C47" s="381">
        <v>0</v>
      </c>
      <c r="D47" s="284">
        <v>75.34</v>
      </c>
      <c r="E47" s="284">
        <v>324.66</v>
      </c>
      <c r="F47" s="377">
        <f t="shared" si="12"/>
        <v>400</v>
      </c>
      <c r="G47" s="381">
        <v>400</v>
      </c>
      <c r="H47" s="377">
        <f t="shared" si="13"/>
        <v>0</v>
      </c>
      <c r="J47" s="18"/>
      <c r="K47" s="18"/>
      <c r="L47" s="18"/>
      <c r="M47" s="18"/>
      <c r="N47" s="18"/>
      <c r="O47" s="18"/>
      <c r="P47" s="18"/>
    </row>
    <row r="48" spans="1:16" s="14" customFormat="1" ht="12.75">
      <c r="A48" s="93" t="s">
        <v>174</v>
      </c>
      <c r="B48" s="381">
        <v>26313.823333333334</v>
      </c>
      <c r="C48" s="381">
        <v>28254.826666666664</v>
      </c>
      <c r="D48" s="284">
        <v>29007.89</v>
      </c>
      <c r="E48" s="284">
        <v>1492.11</v>
      </c>
      <c r="F48" s="377">
        <f t="shared" si="12"/>
        <v>30500</v>
      </c>
      <c r="G48" s="381">
        <v>30500</v>
      </c>
      <c r="H48" s="377">
        <f t="shared" si="13"/>
        <v>0</v>
      </c>
      <c r="J48" s="18"/>
      <c r="K48" s="18"/>
      <c r="L48" s="18"/>
      <c r="M48" s="18"/>
      <c r="N48" s="18"/>
      <c r="O48" s="18"/>
      <c r="P48" s="18"/>
    </row>
    <row r="49" spans="1:16" s="14" customFormat="1" ht="12.75">
      <c r="A49" s="93" t="s">
        <v>175</v>
      </c>
      <c r="B49" s="381">
        <v>488.49666666666667</v>
      </c>
      <c r="C49" s="381">
        <v>2456.7833333333333</v>
      </c>
      <c r="D49" s="284">
        <v>2688.65</v>
      </c>
      <c r="E49" s="284">
        <v>311.35</v>
      </c>
      <c r="F49" s="377">
        <f t="shared" si="12"/>
        <v>3000</v>
      </c>
      <c r="G49" s="381">
        <v>3000</v>
      </c>
      <c r="H49" s="377">
        <f t="shared" si="13"/>
        <v>0</v>
      </c>
      <c r="J49" s="18"/>
      <c r="K49" s="18"/>
      <c r="L49" s="18"/>
      <c r="M49" s="18"/>
      <c r="N49" s="18"/>
      <c r="O49" s="18"/>
      <c r="P49" s="18"/>
    </row>
    <row r="50" spans="1:16" s="14" customFormat="1" ht="12.75">
      <c r="A50" s="93" t="s">
        <v>177</v>
      </c>
      <c r="B50" s="381">
        <v>0</v>
      </c>
      <c r="C50" s="381">
        <v>1517.4966666666667</v>
      </c>
      <c r="D50" s="284">
        <v>192.7</v>
      </c>
      <c r="E50" s="284">
        <v>1473.9666666666665</v>
      </c>
      <c r="F50" s="377">
        <f t="shared" si="12"/>
        <v>1666.6666666666665</v>
      </c>
      <c r="G50" s="381">
        <v>1667</v>
      </c>
      <c r="H50" s="377">
        <f t="shared" si="13"/>
        <v>-0.3333333333334849</v>
      </c>
      <c r="J50" s="18"/>
      <c r="K50" s="18"/>
      <c r="L50" s="18"/>
      <c r="M50" s="18"/>
      <c r="N50" s="18"/>
      <c r="O50" s="18"/>
      <c r="P50" s="18"/>
    </row>
    <row r="51" spans="1:16" s="14" customFormat="1" ht="12.75">
      <c r="A51" s="148" t="s">
        <v>176</v>
      </c>
      <c r="B51" s="381">
        <v>731.9733333333334</v>
      </c>
      <c r="C51" s="381">
        <v>550.9066666666666</v>
      </c>
      <c r="D51" s="284">
        <v>532.03</v>
      </c>
      <c r="E51" s="284">
        <v>801.3033333333333</v>
      </c>
      <c r="F51" s="377">
        <f t="shared" si="12"/>
        <v>1333.3333333333333</v>
      </c>
      <c r="G51" s="381">
        <v>1333.3333333333333</v>
      </c>
      <c r="H51" s="377">
        <f t="shared" si="13"/>
        <v>0</v>
      </c>
      <c r="J51" s="18"/>
      <c r="K51" s="18"/>
      <c r="L51" s="18"/>
      <c r="M51" s="18"/>
      <c r="N51" s="18"/>
      <c r="O51" s="18"/>
      <c r="P51" s="18"/>
    </row>
    <row r="52" spans="1:8" s="14" customFormat="1" ht="13.5" thickBot="1">
      <c r="A52" s="111" t="s">
        <v>7</v>
      </c>
      <c r="B52" s="378">
        <f aca="true" t="shared" si="14" ref="B52:G52">SUM(B44:B51)</f>
        <v>115458.38666666667</v>
      </c>
      <c r="C52" s="378">
        <f t="shared" si="14"/>
        <v>151466.65333333335</v>
      </c>
      <c r="D52" s="378">
        <f t="shared" si="14"/>
        <v>147232.87333333335</v>
      </c>
      <c r="E52" s="378">
        <f t="shared" si="14"/>
        <v>38945.12666666666</v>
      </c>
      <c r="F52" s="378">
        <f t="shared" si="14"/>
        <v>186178</v>
      </c>
      <c r="G52" s="378">
        <f t="shared" si="14"/>
        <v>179720.6666666667</v>
      </c>
      <c r="H52" s="378">
        <f>SUM(H44:H51)</f>
        <v>6457.333333333334</v>
      </c>
    </row>
    <row r="53" spans="2:8" s="14" customFormat="1" ht="13.5" thickTop="1">
      <c r="B53" s="36"/>
      <c r="C53" s="36"/>
      <c r="D53" s="36"/>
      <c r="E53" s="36"/>
      <c r="F53" s="36"/>
      <c r="G53" s="36"/>
      <c r="H53" s="36"/>
    </row>
    <row r="54" spans="1:8" s="14" customFormat="1" ht="12.75">
      <c r="A54" s="113"/>
      <c r="B54" s="36"/>
      <c r="C54" s="36"/>
      <c r="D54" s="36"/>
      <c r="E54" s="118"/>
      <c r="F54" s="36"/>
      <c r="G54" s="36"/>
      <c r="H54" s="36"/>
    </row>
    <row r="55" spans="1:8" s="14" customFormat="1" ht="12.75">
      <c r="A55" s="14" t="s">
        <v>428</v>
      </c>
      <c r="B55" s="272"/>
      <c r="C55" s="36"/>
      <c r="D55" s="36"/>
      <c r="E55" s="93"/>
      <c r="F55" s="118" t="str">
        <f>$E$27</f>
        <v>Bi-Weekly PP posted 5/22/09</v>
      </c>
      <c r="G55" s="272">
        <v>5487</v>
      </c>
      <c r="H55" s="36"/>
    </row>
    <row r="56" spans="2:8" s="14" customFormat="1" ht="12.75">
      <c r="B56" s="36"/>
      <c r="C56" s="36"/>
      <c r="D56" s="36"/>
      <c r="E56" s="36"/>
      <c r="F56" s="36"/>
      <c r="G56" s="36"/>
      <c r="H56" s="36"/>
    </row>
    <row r="57" spans="2:8" s="14" customFormat="1" ht="12.75">
      <c r="B57" s="36"/>
      <c r="C57" s="36"/>
      <c r="D57" s="36"/>
      <c r="E57" s="36"/>
      <c r="F57" s="36"/>
      <c r="G57" s="36"/>
      <c r="H57" s="36"/>
    </row>
    <row r="58" spans="2:8" s="14" customFormat="1" ht="12.75">
      <c r="B58" s="37"/>
      <c r="C58" s="37"/>
      <c r="D58" s="37"/>
      <c r="E58" s="37"/>
      <c r="F58" s="37"/>
      <c r="G58" s="37"/>
      <c r="H58" s="37"/>
    </row>
    <row r="59" spans="1:8" s="14" customFormat="1" ht="12.75">
      <c r="A59" s="2"/>
      <c r="B59" s="36"/>
      <c r="C59" s="36"/>
      <c r="D59" s="36"/>
      <c r="E59" s="36"/>
      <c r="F59" s="36"/>
      <c r="G59" s="36"/>
      <c r="H59" s="36"/>
    </row>
    <row r="60" spans="1:8" s="14" customFormat="1" ht="12.75">
      <c r="A60" s="1" t="s">
        <v>249</v>
      </c>
      <c r="B60" s="36"/>
      <c r="C60" s="36"/>
      <c r="D60" s="36"/>
      <c r="E60" s="36"/>
      <c r="F60" s="36"/>
      <c r="G60" s="36"/>
      <c r="H60" s="36"/>
    </row>
    <row r="61" spans="1:8" s="14" customFormat="1" ht="12.75">
      <c r="A61" s="97"/>
      <c r="B61" s="99" t="str">
        <f>$B$7</f>
        <v>6/30/07</v>
      </c>
      <c r="C61" s="99" t="str">
        <f>$C$7</f>
        <v>6/30/08</v>
      </c>
      <c r="D61" s="99" t="str">
        <f>$D$7</f>
        <v>Year to</v>
      </c>
      <c r="E61" s="98"/>
      <c r="F61" s="98"/>
      <c r="G61" s="98"/>
      <c r="H61" s="391"/>
    </row>
    <row r="62" spans="1:8" s="14" customFormat="1" ht="12.75">
      <c r="A62" s="102"/>
      <c r="B62" s="95" t="str">
        <f>$B$8</f>
        <v>FY07</v>
      </c>
      <c r="C62" s="95" t="str">
        <f>$C$8</f>
        <v>FY08</v>
      </c>
      <c r="D62" s="95" t="str">
        <f>$D$8</f>
        <v>Date</v>
      </c>
      <c r="E62" s="96" t="s">
        <v>8</v>
      </c>
      <c r="F62" s="96" t="s">
        <v>36</v>
      </c>
      <c r="G62" s="96" t="s">
        <v>113</v>
      </c>
      <c r="H62" s="392" t="s">
        <v>9</v>
      </c>
    </row>
    <row r="63" spans="1:9" s="14" customFormat="1" ht="12.75">
      <c r="A63" s="104" t="s">
        <v>10</v>
      </c>
      <c r="B63" s="105" t="str">
        <f>$B$9</f>
        <v>Audited</v>
      </c>
      <c r="C63" s="105" t="str">
        <f>$C$9</f>
        <v>Unaudited</v>
      </c>
      <c r="D63" s="201" t="str">
        <f>$D$9</f>
        <v>As of 4/30/09</v>
      </c>
      <c r="E63" s="105" t="str">
        <f>$E$9</f>
        <v>2 months</v>
      </c>
      <c r="F63" s="105" t="s">
        <v>29</v>
      </c>
      <c r="G63" s="105" t="s">
        <v>13</v>
      </c>
      <c r="H63" s="393" t="s">
        <v>14</v>
      </c>
      <c r="I63" s="177"/>
    </row>
    <row r="64" spans="1:16" s="14" customFormat="1" ht="12.75">
      <c r="A64" s="14" t="s">
        <v>2</v>
      </c>
      <c r="B64" s="372">
        <v>213310</v>
      </c>
      <c r="C64" s="372">
        <v>283178</v>
      </c>
      <c r="D64" s="272">
        <v>267441</v>
      </c>
      <c r="E64" s="377">
        <f>(G77*'Schedule 1 Summary'!$D$15)+(G78*'Schedule 1 Summary'!$D$18)+5300+3300</f>
        <v>69052</v>
      </c>
      <c r="F64" s="377">
        <f>SUM(D64:E64)</f>
        <v>336493</v>
      </c>
      <c r="G64" s="381">
        <v>343079.3333333333</v>
      </c>
      <c r="H64" s="377">
        <f aca="true" t="shared" si="15" ref="H64:H74">SUM(F64-G64)</f>
        <v>-6586.333333333314</v>
      </c>
      <c r="M64" s="18"/>
      <c r="N64" s="18"/>
      <c r="O64" s="18"/>
      <c r="P64" s="18"/>
    </row>
    <row r="65" spans="1:16" s="14" customFormat="1" ht="12.75">
      <c r="A65" s="14" t="s">
        <v>3</v>
      </c>
      <c r="B65" s="381">
        <v>22800.486666666668</v>
      </c>
      <c r="C65" s="381">
        <v>21503.296666666665</v>
      </c>
      <c r="D65" s="284">
        <v>6783.583333333333</v>
      </c>
      <c r="E65" s="284">
        <v>1666.6666666666667</v>
      </c>
      <c r="F65" s="377">
        <f>SUM(D65:E65)</f>
        <v>8450.25</v>
      </c>
      <c r="G65" s="381">
        <v>3333.3333333333335</v>
      </c>
      <c r="H65" s="377">
        <f t="shared" si="15"/>
        <v>5116.916666666666</v>
      </c>
      <c r="J65" s="18"/>
      <c r="K65" s="18"/>
      <c r="L65" s="18"/>
      <c r="M65" s="18"/>
      <c r="N65" s="18"/>
      <c r="O65" s="18"/>
      <c r="P65" s="18"/>
    </row>
    <row r="66" spans="1:16" s="14" customFormat="1" ht="12.75">
      <c r="A66" s="14" t="s">
        <v>4</v>
      </c>
      <c r="B66" s="381">
        <v>651.6666666666666</v>
      </c>
      <c r="C66" s="381">
        <v>820</v>
      </c>
      <c r="D66" s="284">
        <v>820</v>
      </c>
      <c r="E66" s="284">
        <v>0</v>
      </c>
      <c r="F66" s="377">
        <f>SUM(D66:E66)</f>
        <v>820</v>
      </c>
      <c r="G66" s="381">
        <v>820</v>
      </c>
      <c r="H66" s="377">
        <f t="shared" si="15"/>
        <v>0</v>
      </c>
      <c r="J66" s="18"/>
      <c r="K66" s="18"/>
      <c r="L66" s="18"/>
      <c r="M66" s="18"/>
      <c r="N66" s="18"/>
      <c r="O66" s="18"/>
      <c r="P66" s="18"/>
    </row>
    <row r="67" spans="1:16" s="14" customFormat="1" ht="12.75">
      <c r="A67" s="14" t="s">
        <v>5</v>
      </c>
      <c r="B67" s="377">
        <f aca="true" t="shared" si="16" ref="B67:H67">SUM(B64:B66)</f>
        <v>236762.15333333332</v>
      </c>
      <c r="C67" s="377">
        <f t="shared" si="16"/>
        <v>305501.2966666667</v>
      </c>
      <c r="D67" s="377">
        <f t="shared" si="16"/>
        <v>275044.5833333333</v>
      </c>
      <c r="E67" s="377">
        <f t="shared" si="16"/>
        <v>70718.66666666667</v>
      </c>
      <c r="F67" s="377">
        <f t="shared" si="16"/>
        <v>345763.25</v>
      </c>
      <c r="G67" s="377">
        <f t="shared" si="16"/>
        <v>347232.6666666666</v>
      </c>
      <c r="H67" s="377">
        <f t="shared" si="16"/>
        <v>-1469.4166666666479</v>
      </c>
      <c r="J67" s="18"/>
      <c r="K67" s="18"/>
      <c r="L67" s="18"/>
      <c r="M67" s="18"/>
      <c r="N67" s="18"/>
      <c r="O67" s="18"/>
      <c r="P67" s="18"/>
    </row>
    <row r="68" spans="1:16" s="14" customFormat="1" ht="12.75">
      <c r="A68" s="93" t="s">
        <v>178</v>
      </c>
      <c r="B68" s="381">
        <v>200.75</v>
      </c>
      <c r="C68" s="381">
        <v>266.32</v>
      </c>
      <c r="D68" s="284">
        <v>312.7</v>
      </c>
      <c r="E68" s="284">
        <v>114</v>
      </c>
      <c r="F68" s="377">
        <f aca="true" t="shared" si="17" ref="F68:F74">SUM(D68:E68)</f>
        <v>426.7</v>
      </c>
      <c r="G68" s="381">
        <v>427</v>
      </c>
      <c r="H68" s="377">
        <f t="shared" si="15"/>
        <v>-0.30000000000001137</v>
      </c>
      <c r="J68" s="18"/>
      <c r="K68" s="18"/>
      <c r="L68" s="18"/>
      <c r="M68" s="18"/>
      <c r="N68" s="18"/>
      <c r="O68" s="18"/>
      <c r="P68" s="18"/>
    </row>
    <row r="69" spans="1:16" s="14" customFormat="1" ht="12.75">
      <c r="A69" s="93" t="s">
        <v>179</v>
      </c>
      <c r="B69" s="381">
        <v>4890.79</v>
      </c>
      <c r="C69" s="381">
        <v>3396.16</v>
      </c>
      <c r="D69" s="284">
        <v>2430.883333333333</v>
      </c>
      <c r="E69" s="284">
        <v>4069.116666666667</v>
      </c>
      <c r="F69" s="377">
        <f t="shared" si="17"/>
        <v>6500</v>
      </c>
      <c r="G69" s="381">
        <v>6500</v>
      </c>
      <c r="H69" s="377">
        <f t="shared" si="15"/>
        <v>0</v>
      </c>
      <c r="J69" s="18"/>
      <c r="K69" s="18"/>
      <c r="L69" s="18"/>
      <c r="M69" s="18"/>
      <c r="N69" s="18"/>
      <c r="O69" s="18"/>
      <c r="P69" s="18"/>
    </row>
    <row r="70" spans="1:16" s="14" customFormat="1" ht="12.75">
      <c r="A70" s="93" t="s">
        <v>173</v>
      </c>
      <c r="B70" s="381">
        <v>50860.42</v>
      </c>
      <c r="C70" s="381">
        <v>36034.06</v>
      </c>
      <c r="D70" s="284">
        <v>22466.38666666667</v>
      </c>
      <c r="E70" s="284">
        <v>21173.28</v>
      </c>
      <c r="F70" s="377">
        <f t="shared" si="17"/>
        <v>43639.66666666667</v>
      </c>
      <c r="G70" s="381">
        <v>43639.666666666664</v>
      </c>
      <c r="H70" s="377">
        <f t="shared" si="15"/>
        <v>7.275957614183426E-12</v>
      </c>
      <c r="J70" s="18"/>
      <c r="K70" s="18"/>
      <c r="L70" s="18"/>
      <c r="M70" s="18"/>
      <c r="N70" s="18"/>
      <c r="O70" s="18"/>
      <c r="P70" s="18"/>
    </row>
    <row r="71" spans="1:16" s="14" customFormat="1" ht="12.75">
      <c r="A71" s="93" t="s">
        <v>174</v>
      </c>
      <c r="B71" s="381">
        <v>619.1566666666666</v>
      </c>
      <c r="C71" s="381">
        <v>821.0766666666667</v>
      </c>
      <c r="D71" s="284">
        <v>669.6566666666666</v>
      </c>
      <c r="E71" s="284">
        <v>297.01</v>
      </c>
      <c r="F71" s="377">
        <f t="shared" si="17"/>
        <v>966.6666666666666</v>
      </c>
      <c r="G71" s="381">
        <v>966.6666666666666</v>
      </c>
      <c r="H71" s="377">
        <f t="shared" si="15"/>
        <v>0</v>
      </c>
      <c r="J71" s="18"/>
      <c r="K71" s="18"/>
      <c r="L71" s="18"/>
      <c r="M71" s="18"/>
      <c r="N71" s="18"/>
      <c r="O71" s="18"/>
      <c r="P71" s="18"/>
    </row>
    <row r="72" spans="1:16" s="14" customFormat="1" ht="12.75">
      <c r="A72" s="93" t="s">
        <v>175</v>
      </c>
      <c r="B72" s="381">
        <v>12085.04</v>
      </c>
      <c r="C72" s="381">
        <v>8145.96</v>
      </c>
      <c r="D72" s="284">
        <v>7338.35</v>
      </c>
      <c r="E72" s="284">
        <v>1128.3166666666668</v>
      </c>
      <c r="F72" s="377">
        <f t="shared" si="17"/>
        <v>8466.666666666668</v>
      </c>
      <c r="G72" s="381">
        <v>8466.666666666666</v>
      </c>
      <c r="H72" s="377">
        <f t="shared" si="15"/>
        <v>1.8189894035458565E-12</v>
      </c>
      <c r="J72" s="18"/>
      <c r="K72" s="18"/>
      <c r="L72" s="18"/>
      <c r="M72" s="18"/>
      <c r="N72" s="18"/>
      <c r="O72" s="18"/>
      <c r="P72" s="18"/>
    </row>
    <row r="73" spans="1:16" s="14" customFormat="1" ht="12.75">
      <c r="A73" s="93" t="s">
        <v>177</v>
      </c>
      <c r="B73" s="381">
        <v>0</v>
      </c>
      <c r="C73" s="381">
        <v>326.48</v>
      </c>
      <c r="D73" s="284">
        <v>121.10333333333334</v>
      </c>
      <c r="E73" s="284">
        <v>1246</v>
      </c>
      <c r="F73" s="377">
        <f>SUM(D73:E73)</f>
        <v>1367.1033333333332</v>
      </c>
      <c r="G73" s="381">
        <v>1367</v>
      </c>
      <c r="H73" s="377">
        <f t="shared" si="15"/>
        <v>0.10333333333323935</v>
      </c>
      <c r="J73" s="18"/>
      <c r="K73" s="18"/>
      <c r="L73" s="18"/>
      <c r="M73" s="18"/>
      <c r="N73" s="18"/>
      <c r="O73" s="18"/>
      <c r="P73" s="18"/>
    </row>
    <row r="74" spans="1:16" s="14" customFormat="1" ht="12.75">
      <c r="A74" s="148" t="s">
        <v>176</v>
      </c>
      <c r="B74" s="381">
        <v>481.66</v>
      </c>
      <c r="C74" s="381">
        <v>748.6766666666667</v>
      </c>
      <c r="D74" s="284">
        <v>474.3333333333333</v>
      </c>
      <c r="E74" s="284">
        <v>54</v>
      </c>
      <c r="F74" s="377">
        <f t="shared" si="17"/>
        <v>528.3333333333333</v>
      </c>
      <c r="G74" s="381">
        <v>528</v>
      </c>
      <c r="H74" s="377">
        <f t="shared" si="15"/>
        <v>0.33333333333325754</v>
      </c>
      <c r="J74" s="18"/>
      <c r="K74" s="18"/>
      <c r="L74" s="18"/>
      <c r="M74" s="18"/>
      <c r="N74" s="18"/>
      <c r="O74" s="18"/>
      <c r="P74" s="18"/>
    </row>
    <row r="75" spans="1:8" s="14" customFormat="1" ht="12.75">
      <c r="A75" s="14" t="s">
        <v>7</v>
      </c>
      <c r="B75" s="395">
        <f aca="true" t="shared" si="18" ref="B75:G75">SUM(B67:B74)</f>
        <v>305899.97</v>
      </c>
      <c r="C75" s="395">
        <f t="shared" si="18"/>
        <v>355240.03</v>
      </c>
      <c r="D75" s="395">
        <f t="shared" si="18"/>
        <v>308857.99666666664</v>
      </c>
      <c r="E75" s="395">
        <f t="shared" si="18"/>
        <v>98800.39</v>
      </c>
      <c r="F75" s="395">
        <f t="shared" si="18"/>
        <v>407658.3866666667</v>
      </c>
      <c r="G75" s="395">
        <f t="shared" si="18"/>
        <v>409127.6666666667</v>
      </c>
      <c r="H75" s="395">
        <f>SUM(H67:H74)</f>
        <v>-1469.2799999999722</v>
      </c>
    </row>
    <row r="76" spans="2:8" s="14" customFormat="1" ht="12.75">
      <c r="B76" s="37"/>
      <c r="C76" s="37"/>
      <c r="D76" s="37"/>
      <c r="E76" s="37"/>
      <c r="F76" s="37"/>
      <c r="G76" s="37"/>
      <c r="H76" s="37"/>
    </row>
    <row r="77" spans="1:8" s="14" customFormat="1" ht="12.75">
      <c r="A77" s="14" t="s">
        <v>430</v>
      </c>
      <c r="B77" s="285"/>
      <c r="C77" s="37"/>
      <c r="D77" s="37"/>
      <c r="E77" s="118"/>
      <c r="F77" s="118" t="str">
        <f>$E$27</f>
        <v>Bi-Weekly PP posted 5/22/09</v>
      </c>
      <c r="G77" s="272">
        <v>10825</v>
      </c>
      <c r="H77" s="37"/>
    </row>
    <row r="78" spans="1:8" s="14" customFormat="1" ht="12.75">
      <c r="A78" s="113" t="s">
        <v>489</v>
      </c>
      <c r="B78" s="285"/>
      <c r="C78" s="37"/>
      <c r="D78" s="37"/>
      <c r="E78" s="93"/>
      <c r="F78" s="118" t="str">
        <f>$E$28</f>
        <v>Weekly PP posted 5/22/09</v>
      </c>
      <c r="G78" s="285">
        <v>703</v>
      </c>
      <c r="H78" s="37"/>
    </row>
    <row r="79" spans="2:8" s="14" customFormat="1" ht="12.75">
      <c r="B79" s="36"/>
      <c r="C79" s="36"/>
      <c r="D79" s="36"/>
      <c r="E79" s="36"/>
      <c r="F79" s="36"/>
      <c r="G79" s="36"/>
      <c r="H79" s="36"/>
    </row>
    <row r="80" spans="1:8" s="14" customFormat="1" ht="12.75">
      <c r="A80" s="1" t="s">
        <v>250</v>
      </c>
      <c r="B80" s="36"/>
      <c r="C80" s="36"/>
      <c r="D80" s="36"/>
      <c r="E80" s="36"/>
      <c r="F80" s="36"/>
      <c r="G80" s="36"/>
      <c r="H80" s="36"/>
    </row>
    <row r="81" spans="1:8" s="14" customFormat="1" ht="12.75">
      <c r="A81" s="97"/>
      <c r="B81" s="99" t="str">
        <f>$B$7</f>
        <v>6/30/07</v>
      </c>
      <c r="C81" s="99" t="str">
        <f>$C$7</f>
        <v>6/30/08</v>
      </c>
      <c r="D81" s="99" t="str">
        <f>$D$7</f>
        <v>Year to</v>
      </c>
      <c r="E81" s="98"/>
      <c r="F81" s="98"/>
      <c r="G81" s="98"/>
      <c r="H81" s="391"/>
    </row>
    <row r="82" spans="1:8" s="14" customFormat="1" ht="12.75">
      <c r="A82" s="102"/>
      <c r="B82" s="95" t="str">
        <f>$B$8</f>
        <v>FY07</v>
      </c>
      <c r="C82" s="95" t="str">
        <f>$C$8</f>
        <v>FY08</v>
      </c>
      <c r="D82" s="95" t="str">
        <f>$D$8</f>
        <v>Date</v>
      </c>
      <c r="E82" s="96" t="s">
        <v>8</v>
      </c>
      <c r="F82" s="96" t="s">
        <v>36</v>
      </c>
      <c r="G82" s="96" t="s">
        <v>113</v>
      </c>
      <c r="H82" s="392" t="s">
        <v>9</v>
      </c>
    </row>
    <row r="83" spans="1:9" s="14" customFormat="1" ht="12.75">
      <c r="A83" s="104" t="s">
        <v>10</v>
      </c>
      <c r="B83" s="105" t="str">
        <f>$B$9</f>
        <v>Audited</v>
      </c>
      <c r="C83" s="105" t="str">
        <f>$C$9</f>
        <v>Unaudited</v>
      </c>
      <c r="D83" s="201" t="str">
        <f>$D$9</f>
        <v>As of 4/30/09</v>
      </c>
      <c r="E83" s="105" t="str">
        <f>$E$9</f>
        <v>2 months</v>
      </c>
      <c r="F83" s="105" t="s">
        <v>29</v>
      </c>
      <c r="G83" s="105" t="s">
        <v>13</v>
      </c>
      <c r="H83" s="393" t="s">
        <v>14</v>
      </c>
      <c r="I83" s="177"/>
    </row>
    <row r="84" spans="1:13" s="14" customFormat="1" ht="12.75">
      <c r="A84" s="14" t="s">
        <v>2</v>
      </c>
      <c r="B84" s="372">
        <v>452902</v>
      </c>
      <c r="C84" s="372">
        <v>434132</v>
      </c>
      <c r="D84" s="272">
        <v>363498</v>
      </c>
      <c r="E84" s="377">
        <f>(G97*'Schedule 1 Summary'!$D$15)+(G98*'Schedule 1 Summary'!$D$18)+7000+10000</f>
        <v>92368</v>
      </c>
      <c r="F84" s="377">
        <f>SUM(D84:E84)</f>
        <v>455866</v>
      </c>
      <c r="G84" s="381">
        <v>487217.6666666667</v>
      </c>
      <c r="H84" s="377">
        <f>SUM(F84-G84)</f>
        <v>-31351.666666666686</v>
      </c>
      <c r="J84" s="18"/>
      <c r="K84" s="18"/>
      <c r="L84" s="18"/>
      <c r="M84" s="18"/>
    </row>
    <row r="85" spans="1:13" s="14" customFormat="1" ht="12.75">
      <c r="A85" s="14" t="s">
        <v>3</v>
      </c>
      <c r="B85" s="381">
        <v>59274.44</v>
      </c>
      <c r="C85" s="381">
        <v>71379.06333333334</v>
      </c>
      <c r="D85" s="284">
        <v>51102.26666666666</v>
      </c>
      <c r="E85" s="284">
        <v>15564.4</v>
      </c>
      <c r="F85" s="377">
        <f aca="true" t="shared" si="19" ref="F85:F93">SUM(D85:E85)</f>
        <v>66666.66666666666</v>
      </c>
      <c r="G85" s="381">
        <v>66666.66666666667</v>
      </c>
      <c r="H85" s="377">
        <f>SUM(F85-G85)</f>
        <v>-1.4551915228366852E-11</v>
      </c>
      <c r="J85" s="18"/>
      <c r="K85" s="18"/>
      <c r="L85" s="18"/>
      <c r="M85" s="18"/>
    </row>
    <row r="86" spans="1:13" s="14" customFormat="1" ht="12.75">
      <c r="A86" s="14" t="s">
        <v>4</v>
      </c>
      <c r="B86" s="381">
        <v>39142.816666666666</v>
      </c>
      <c r="C86" s="381">
        <v>23178.6</v>
      </c>
      <c r="D86" s="284">
        <v>18468.593333333334</v>
      </c>
      <c r="E86" s="284">
        <v>2833.3333333333335</v>
      </c>
      <c r="F86" s="377">
        <f t="shared" si="19"/>
        <v>21301.926666666666</v>
      </c>
      <c r="G86" s="381">
        <v>32800.666666666664</v>
      </c>
      <c r="H86" s="377">
        <f>SUM(F86-G86)</f>
        <v>-11498.739999999998</v>
      </c>
      <c r="J86" s="18"/>
      <c r="K86" s="18"/>
      <c r="L86" s="18"/>
      <c r="M86" s="18"/>
    </row>
    <row r="87" spans="1:13" s="14" customFormat="1" ht="12.75">
      <c r="A87" s="14" t="s">
        <v>5</v>
      </c>
      <c r="B87" s="377">
        <f aca="true" t="shared" si="20" ref="B87:H87">SUM(B84:B86)</f>
        <v>551319.2566666667</v>
      </c>
      <c r="C87" s="377">
        <f t="shared" si="20"/>
        <v>528689.6633333333</v>
      </c>
      <c r="D87" s="377">
        <f t="shared" si="20"/>
        <v>433068.86</v>
      </c>
      <c r="E87" s="377">
        <f t="shared" si="20"/>
        <v>110765.73333333332</v>
      </c>
      <c r="F87" s="377">
        <f t="shared" si="20"/>
        <v>543834.5933333333</v>
      </c>
      <c r="G87" s="377">
        <f t="shared" si="20"/>
        <v>586685</v>
      </c>
      <c r="H87" s="377">
        <f t="shared" si="20"/>
        <v>-42850.4066666667</v>
      </c>
      <c r="J87" s="18"/>
      <c r="K87" s="18"/>
      <c r="L87" s="18"/>
      <c r="M87" s="18"/>
    </row>
    <row r="88" spans="1:13" s="14" customFormat="1" ht="12.75">
      <c r="A88" s="93" t="s">
        <v>178</v>
      </c>
      <c r="B88" s="381">
        <v>3208.85</v>
      </c>
      <c r="C88" s="381">
        <v>2871.396666666667</v>
      </c>
      <c r="D88" s="284">
        <v>2399.7633333333333</v>
      </c>
      <c r="E88" s="284">
        <v>566.9033333333333</v>
      </c>
      <c r="F88" s="377">
        <f t="shared" si="19"/>
        <v>2966.6666666666665</v>
      </c>
      <c r="G88" s="381">
        <v>2966.6666666666665</v>
      </c>
      <c r="H88" s="377">
        <f aca="true" t="shared" si="21" ref="H88:H93">SUM(F88-G88)</f>
        <v>0</v>
      </c>
      <c r="J88" s="18"/>
      <c r="K88" s="18"/>
      <c r="L88" s="18"/>
      <c r="M88" s="18"/>
    </row>
    <row r="89" spans="1:13" s="14" customFormat="1" ht="12.75">
      <c r="A89" s="93" t="s">
        <v>173</v>
      </c>
      <c r="B89" s="381">
        <v>63654.60333333333</v>
      </c>
      <c r="C89" s="381">
        <v>80103.17</v>
      </c>
      <c r="D89" s="284">
        <v>66235.35</v>
      </c>
      <c r="E89" s="284">
        <v>32549.31666666667</v>
      </c>
      <c r="F89" s="377">
        <f t="shared" si="19"/>
        <v>98784.66666666667</v>
      </c>
      <c r="G89" s="381">
        <v>98784.66666666667</v>
      </c>
      <c r="H89" s="377">
        <f t="shared" si="21"/>
        <v>0</v>
      </c>
      <c r="J89" s="18"/>
      <c r="K89" s="18"/>
      <c r="L89" s="18"/>
      <c r="M89" s="18"/>
    </row>
    <row r="90" spans="1:13" s="14" customFormat="1" ht="12.75">
      <c r="A90" s="93" t="s">
        <v>174</v>
      </c>
      <c r="B90" s="381">
        <v>0</v>
      </c>
      <c r="C90" s="381">
        <v>0</v>
      </c>
      <c r="D90" s="284">
        <v>0</v>
      </c>
      <c r="E90" s="284">
        <v>0</v>
      </c>
      <c r="F90" s="377">
        <f t="shared" si="19"/>
        <v>0</v>
      </c>
      <c r="G90" s="381">
        <v>0</v>
      </c>
      <c r="H90" s="377">
        <f t="shared" si="21"/>
        <v>0</v>
      </c>
      <c r="J90" s="18"/>
      <c r="K90" s="18"/>
      <c r="L90" s="18"/>
      <c r="M90" s="18"/>
    </row>
    <row r="91" spans="1:13" s="14" customFormat="1" ht="12.75">
      <c r="A91" s="93" t="s">
        <v>132</v>
      </c>
      <c r="B91" s="381">
        <v>85206.6</v>
      </c>
      <c r="C91" s="381">
        <v>84671.89666666667</v>
      </c>
      <c r="D91" s="284">
        <v>66602.29</v>
      </c>
      <c r="E91" s="284">
        <v>17941.043333333335</v>
      </c>
      <c r="F91" s="377">
        <f t="shared" si="19"/>
        <v>84543.33333333333</v>
      </c>
      <c r="G91" s="381">
        <v>84543.33333333333</v>
      </c>
      <c r="H91" s="377">
        <f t="shared" si="21"/>
        <v>0</v>
      </c>
      <c r="J91" s="18"/>
      <c r="K91" s="18"/>
      <c r="L91" s="18"/>
      <c r="M91" s="18"/>
    </row>
    <row r="92" spans="1:13" s="14" customFormat="1" ht="12.75">
      <c r="A92" s="93" t="s">
        <v>177</v>
      </c>
      <c r="B92" s="381">
        <v>0</v>
      </c>
      <c r="C92" s="381">
        <v>0</v>
      </c>
      <c r="D92" s="284">
        <v>0</v>
      </c>
      <c r="E92" s="284">
        <v>0</v>
      </c>
      <c r="F92" s="377">
        <f t="shared" si="19"/>
        <v>0</v>
      </c>
      <c r="G92" s="381">
        <v>0</v>
      </c>
      <c r="H92" s="377">
        <f t="shared" si="21"/>
        <v>0</v>
      </c>
      <c r="J92" s="18"/>
      <c r="K92" s="18"/>
      <c r="L92" s="18"/>
      <c r="M92" s="18"/>
    </row>
    <row r="93" spans="1:13" s="14" customFormat="1" ht="12.75">
      <c r="A93" s="148" t="s">
        <v>176</v>
      </c>
      <c r="B93" s="381">
        <v>166.16666666666666</v>
      </c>
      <c r="C93" s="381">
        <v>158.13</v>
      </c>
      <c r="D93" s="284">
        <v>3.3333333333333335</v>
      </c>
      <c r="E93" s="284">
        <v>163.33333333333334</v>
      </c>
      <c r="F93" s="377">
        <f t="shared" si="19"/>
        <v>166.66666666666669</v>
      </c>
      <c r="G93" s="381">
        <v>166.66666666666666</v>
      </c>
      <c r="H93" s="377">
        <f t="shared" si="21"/>
        <v>2.842170943040401E-14</v>
      </c>
      <c r="J93" s="18"/>
      <c r="K93" s="18"/>
      <c r="L93" s="18"/>
      <c r="M93" s="18"/>
    </row>
    <row r="94" spans="1:8" s="14" customFormat="1" ht="12.75">
      <c r="A94" s="14" t="s">
        <v>7</v>
      </c>
      <c r="B94" s="395">
        <f aca="true" t="shared" si="22" ref="B94:G94">SUM(B87:B93)</f>
        <v>703555.4766666666</v>
      </c>
      <c r="C94" s="395">
        <f t="shared" si="22"/>
        <v>696494.2566666667</v>
      </c>
      <c r="D94" s="395">
        <f t="shared" si="22"/>
        <v>568309.5966666667</v>
      </c>
      <c r="E94" s="395">
        <f t="shared" si="22"/>
        <v>161986.33000000002</v>
      </c>
      <c r="F94" s="395">
        <f t="shared" si="22"/>
        <v>730295.9266666665</v>
      </c>
      <c r="G94" s="395">
        <f t="shared" si="22"/>
        <v>773146.3333333333</v>
      </c>
      <c r="H94" s="395">
        <f>SUM(H87:H93)</f>
        <v>-42850.4066666667</v>
      </c>
    </row>
    <row r="95" spans="2:8" s="14" customFormat="1" ht="12.75">
      <c r="B95" s="36"/>
      <c r="C95" s="36"/>
      <c r="D95" s="36"/>
      <c r="E95" s="36"/>
      <c r="F95" s="36"/>
      <c r="G95" s="36"/>
      <c r="H95" s="36"/>
    </row>
    <row r="96" spans="1:8" s="14" customFormat="1" ht="12.75">
      <c r="A96" s="113"/>
      <c r="B96" s="36"/>
      <c r="C96" s="36"/>
      <c r="D96" s="36"/>
      <c r="E96" s="93"/>
      <c r="F96" s="118"/>
      <c r="G96" s="36"/>
      <c r="H96" s="36"/>
    </row>
    <row r="97" spans="1:8" s="14" customFormat="1" ht="12.75">
      <c r="A97" s="14" t="s">
        <v>426</v>
      </c>
      <c r="B97" s="272"/>
      <c r="C97" s="36"/>
      <c r="D97" s="36"/>
      <c r="E97" s="93"/>
      <c r="F97" s="118" t="str">
        <f>$E$27</f>
        <v>Bi-Weekly PP posted 5/22/09</v>
      </c>
      <c r="G97" s="272">
        <v>1345</v>
      </c>
      <c r="H97" s="36"/>
    </row>
    <row r="98" spans="1:8" s="14" customFormat="1" ht="12.75">
      <c r="A98" s="113" t="s">
        <v>490</v>
      </c>
      <c r="B98" s="272"/>
      <c r="C98" s="36"/>
      <c r="D98" s="36"/>
      <c r="E98" s="93"/>
      <c r="F98" s="118" t="str">
        <f>$E$28</f>
        <v>Weekly PP posted 5/22/09</v>
      </c>
      <c r="G98" s="272">
        <v>7627</v>
      </c>
      <c r="H98" s="36"/>
    </row>
    <row r="99" spans="2:8" s="14" customFormat="1" ht="12.75">
      <c r="B99" s="36"/>
      <c r="C99" s="36"/>
      <c r="D99" s="36"/>
      <c r="E99" s="93"/>
      <c r="F99" s="138" t="s">
        <v>338</v>
      </c>
      <c r="G99" s="272">
        <v>567</v>
      </c>
      <c r="H99" s="36"/>
    </row>
    <row r="100" spans="1:8" s="14" customFormat="1" ht="12.75">
      <c r="A100" s="93"/>
      <c r="B100" s="36"/>
      <c r="C100" s="36"/>
      <c r="D100" s="36"/>
      <c r="E100" s="93"/>
      <c r="F100" s="118"/>
      <c r="G100" s="36"/>
      <c r="H100" s="36"/>
    </row>
    <row r="101" spans="1:8" s="14" customFormat="1" ht="12.75">
      <c r="A101" s="93"/>
      <c r="B101" s="36"/>
      <c r="C101" s="36"/>
      <c r="D101" s="36"/>
      <c r="E101" s="93"/>
      <c r="F101" s="118"/>
      <c r="G101" s="36"/>
      <c r="H101" s="36"/>
    </row>
    <row r="102" spans="1:8" s="14" customFormat="1" ht="12.75">
      <c r="A102" s="93"/>
      <c r="B102" s="36"/>
      <c r="C102" s="36"/>
      <c r="D102" s="36"/>
      <c r="E102" s="154"/>
      <c r="F102" s="118"/>
      <c r="G102" s="36"/>
      <c r="H102" s="36"/>
    </row>
    <row r="103" spans="1:8" s="14" customFormat="1" ht="12.75">
      <c r="A103" s="1" t="s">
        <v>244</v>
      </c>
      <c r="B103" s="36"/>
      <c r="C103" s="36"/>
      <c r="D103" s="36"/>
      <c r="E103" s="36"/>
      <c r="F103" s="36"/>
      <c r="G103" s="36"/>
      <c r="H103" s="36"/>
    </row>
    <row r="104" spans="1:8" s="14" customFormat="1" ht="12.75">
      <c r="A104" s="97"/>
      <c r="B104" s="99" t="str">
        <f>$B$7</f>
        <v>6/30/07</v>
      </c>
      <c r="C104" s="99" t="str">
        <f>$C$7</f>
        <v>6/30/08</v>
      </c>
      <c r="D104" s="99" t="str">
        <f>$D$7</f>
        <v>Year to</v>
      </c>
      <c r="E104" s="98"/>
      <c r="F104" s="98"/>
      <c r="G104" s="98"/>
      <c r="H104" s="391"/>
    </row>
    <row r="105" spans="1:8" s="14" customFormat="1" ht="12.75">
      <c r="A105" s="102"/>
      <c r="B105" s="95" t="str">
        <f>$B$8</f>
        <v>FY07</v>
      </c>
      <c r="C105" s="95" t="str">
        <f>$C$8</f>
        <v>FY08</v>
      </c>
      <c r="D105" s="95" t="str">
        <f>$D$8</f>
        <v>Date</v>
      </c>
      <c r="E105" s="96" t="s">
        <v>8</v>
      </c>
      <c r="F105" s="96" t="s">
        <v>36</v>
      </c>
      <c r="G105" s="96" t="s">
        <v>113</v>
      </c>
      <c r="H105" s="392" t="s">
        <v>9</v>
      </c>
    </row>
    <row r="106" spans="1:9" s="14" customFormat="1" ht="12.75">
      <c r="A106" s="104" t="s">
        <v>10</v>
      </c>
      <c r="B106" s="105" t="str">
        <f>$B$9</f>
        <v>Audited</v>
      </c>
      <c r="C106" s="105" t="str">
        <f>$C$9</f>
        <v>Unaudited</v>
      </c>
      <c r="D106" s="201" t="str">
        <f>$D$9</f>
        <v>As of 4/30/09</v>
      </c>
      <c r="E106" s="105" t="str">
        <f>$E$9</f>
        <v>2 months</v>
      </c>
      <c r="F106" s="105" t="s">
        <v>29</v>
      </c>
      <c r="G106" s="105" t="s">
        <v>13</v>
      </c>
      <c r="H106" s="393" t="s">
        <v>14</v>
      </c>
      <c r="I106" s="177"/>
    </row>
    <row r="107" spans="1:16" s="14" customFormat="1" ht="12.75">
      <c r="A107" s="14" t="s">
        <v>2</v>
      </c>
      <c r="B107" s="372">
        <v>199318</v>
      </c>
      <c r="C107" s="372">
        <v>185270</v>
      </c>
      <c r="D107" s="272">
        <v>175358</v>
      </c>
      <c r="E107" s="377">
        <f>(G118*'Schedule 1 Summary'!$D$15)+(G119*'Schedule 1 Summary'!$D$18)+35000</f>
        <v>71009</v>
      </c>
      <c r="F107" s="377">
        <f>SUM(D107:E107)</f>
        <v>246367</v>
      </c>
      <c r="G107" s="381">
        <v>219538.33333333334</v>
      </c>
      <c r="H107" s="377">
        <f aca="true" t="shared" si="23" ref="H107:H114">SUM(F107-G107)</f>
        <v>26828.666666666657</v>
      </c>
      <c r="M107" s="18"/>
      <c r="N107" s="18"/>
      <c r="O107" s="18"/>
      <c r="P107" s="18"/>
    </row>
    <row r="108" spans="1:16" s="14" customFormat="1" ht="12.75">
      <c r="A108" s="14" t="s">
        <v>3</v>
      </c>
      <c r="B108" s="381">
        <v>10060.316666666668</v>
      </c>
      <c r="C108" s="381">
        <v>11148.26</v>
      </c>
      <c r="D108" s="284">
        <v>12224.316666666666</v>
      </c>
      <c r="E108" s="284">
        <v>1666.6666666666667</v>
      </c>
      <c r="F108" s="377">
        <f>SUM(D108:E108)</f>
        <v>13890.983333333332</v>
      </c>
      <c r="G108" s="381">
        <v>10000</v>
      </c>
      <c r="H108" s="377">
        <f t="shared" si="23"/>
        <v>3890.9833333333318</v>
      </c>
      <c r="J108" s="18"/>
      <c r="K108" s="18"/>
      <c r="L108" s="18"/>
      <c r="M108" s="18"/>
      <c r="N108" s="18"/>
      <c r="O108" s="18"/>
      <c r="P108" s="18"/>
    </row>
    <row r="109" spans="1:16" s="14" customFormat="1" ht="12.75">
      <c r="A109" s="14" t="s">
        <v>4</v>
      </c>
      <c r="B109" s="381">
        <v>916.6666666666666</v>
      </c>
      <c r="C109" s="381">
        <v>916.6666666666666</v>
      </c>
      <c r="D109" s="284">
        <v>4959.986666666667</v>
      </c>
      <c r="E109" s="284">
        <v>0</v>
      </c>
      <c r="F109" s="377">
        <f>SUM(D109:E109)</f>
        <v>4959.986666666667</v>
      </c>
      <c r="G109" s="381">
        <v>916.6666666666666</v>
      </c>
      <c r="H109" s="377">
        <f t="shared" si="23"/>
        <v>4043.32</v>
      </c>
      <c r="J109" s="18"/>
      <c r="K109" s="18"/>
      <c r="L109" s="18"/>
      <c r="M109" s="18"/>
      <c r="N109" s="18"/>
      <c r="O109" s="18"/>
      <c r="P109" s="18"/>
    </row>
    <row r="110" spans="1:16" s="14" customFormat="1" ht="12.75">
      <c r="A110" s="14" t="s">
        <v>5</v>
      </c>
      <c r="B110" s="377">
        <f aca="true" t="shared" si="24" ref="B110:H110">SUM(B107:B109)</f>
        <v>210294.98333333334</v>
      </c>
      <c r="C110" s="377">
        <f t="shared" si="24"/>
        <v>197334.92666666667</v>
      </c>
      <c r="D110" s="377">
        <f t="shared" si="24"/>
        <v>192542.30333333332</v>
      </c>
      <c r="E110" s="377">
        <f t="shared" si="24"/>
        <v>72675.66666666667</v>
      </c>
      <c r="F110" s="377">
        <f t="shared" si="24"/>
        <v>265217.97000000003</v>
      </c>
      <c r="G110" s="377">
        <f t="shared" si="24"/>
        <v>230455</v>
      </c>
      <c r="H110" s="377">
        <f t="shared" si="24"/>
        <v>34762.96999999999</v>
      </c>
      <c r="J110" s="18"/>
      <c r="K110" s="18"/>
      <c r="L110" s="18"/>
      <c r="M110" s="18"/>
      <c r="N110" s="18"/>
      <c r="O110" s="18"/>
      <c r="P110" s="18"/>
    </row>
    <row r="111" spans="1:16" s="14" customFormat="1" ht="12.75">
      <c r="A111" s="93" t="s">
        <v>178</v>
      </c>
      <c r="B111" s="381">
        <v>3286.1</v>
      </c>
      <c r="C111" s="381">
        <v>3619.36</v>
      </c>
      <c r="D111" s="284">
        <v>4337.2733333333335</v>
      </c>
      <c r="E111" s="284">
        <v>329.39333333333343</v>
      </c>
      <c r="F111" s="377">
        <f>SUM(D111:E111)</f>
        <v>4666.666666666667</v>
      </c>
      <c r="G111" s="381">
        <v>4666.666666666667</v>
      </c>
      <c r="H111" s="377">
        <f t="shared" si="23"/>
        <v>0</v>
      </c>
      <c r="J111" s="18"/>
      <c r="K111" s="18"/>
      <c r="L111" s="18"/>
      <c r="M111" s="18"/>
      <c r="N111" s="18"/>
      <c r="O111" s="18"/>
      <c r="P111" s="18"/>
    </row>
    <row r="112" spans="1:16" s="14" customFormat="1" ht="12.75">
      <c r="A112" s="93" t="s">
        <v>173</v>
      </c>
      <c r="B112" s="381">
        <v>81469.77333333333</v>
      </c>
      <c r="C112" s="381">
        <v>74066.72666666667</v>
      </c>
      <c r="D112" s="284">
        <v>49798.22</v>
      </c>
      <c r="E112" s="284">
        <v>32536.78</v>
      </c>
      <c r="F112" s="377">
        <f>SUM(D112:E112)</f>
        <v>82335</v>
      </c>
      <c r="G112" s="381">
        <v>82335</v>
      </c>
      <c r="H112" s="377">
        <f t="shared" si="23"/>
        <v>0</v>
      </c>
      <c r="J112" s="18"/>
      <c r="K112" s="18"/>
      <c r="L112" s="18"/>
      <c r="M112" s="18"/>
      <c r="N112" s="18"/>
      <c r="O112" s="18"/>
      <c r="P112" s="18"/>
    </row>
    <row r="113" spans="1:16" s="14" customFormat="1" ht="12.75">
      <c r="A113" s="93" t="s">
        <v>174</v>
      </c>
      <c r="B113" s="381">
        <v>182022.12333333332</v>
      </c>
      <c r="C113" s="381">
        <v>171318.00333333333</v>
      </c>
      <c r="D113" s="284">
        <v>87116.86</v>
      </c>
      <c r="E113" s="284">
        <v>21549.80666666667</v>
      </c>
      <c r="F113" s="377">
        <f>SUM(D113:E113)</f>
        <v>108666.66666666667</v>
      </c>
      <c r="G113" s="381">
        <v>108666.66666666667</v>
      </c>
      <c r="H113" s="377">
        <f t="shared" si="23"/>
        <v>0</v>
      </c>
      <c r="J113" s="18"/>
      <c r="K113" s="18"/>
      <c r="L113" s="18"/>
      <c r="M113" s="18"/>
      <c r="N113" s="18"/>
      <c r="O113" s="18"/>
      <c r="P113" s="18"/>
    </row>
    <row r="114" spans="1:16" s="14" customFormat="1" ht="12.75">
      <c r="A114" s="93" t="s">
        <v>175</v>
      </c>
      <c r="B114" s="381">
        <v>79547.27333333333</v>
      </c>
      <c r="C114" s="381">
        <v>67983.48666666666</v>
      </c>
      <c r="D114" s="284">
        <v>71117.69666666667</v>
      </c>
      <c r="E114" s="284">
        <v>5016.97</v>
      </c>
      <c r="F114" s="377">
        <f>SUM(D114:E114)</f>
        <v>76134.66666666667</v>
      </c>
      <c r="G114" s="381">
        <v>76134.66666666667</v>
      </c>
      <c r="H114" s="377">
        <f t="shared" si="23"/>
        <v>0</v>
      </c>
      <c r="J114" s="18"/>
      <c r="K114" s="18"/>
      <c r="L114" s="18"/>
      <c r="M114" s="18"/>
      <c r="N114" s="18"/>
      <c r="O114" s="18"/>
      <c r="P114" s="18"/>
    </row>
    <row r="115" spans="1:8" s="14" customFormat="1" ht="12.75">
      <c r="A115" s="14" t="s">
        <v>7</v>
      </c>
      <c r="B115" s="395">
        <f aca="true" t="shared" si="25" ref="B115:H115">SUM(B110:B114)</f>
        <v>556620.2533333333</v>
      </c>
      <c r="C115" s="395">
        <f t="shared" si="25"/>
        <v>514322.5033333333</v>
      </c>
      <c r="D115" s="395">
        <f t="shared" si="25"/>
        <v>404912.35333333333</v>
      </c>
      <c r="E115" s="395">
        <f t="shared" si="25"/>
        <v>132108.61666666667</v>
      </c>
      <c r="F115" s="395">
        <f t="shared" si="25"/>
        <v>537020.9700000001</v>
      </c>
      <c r="G115" s="395">
        <f t="shared" si="25"/>
        <v>502258</v>
      </c>
      <c r="H115" s="395">
        <f t="shared" si="25"/>
        <v>34762.96999999999</v>
      </c>
    </row>
    <row r="116" spans="2:8" s="14" customFormat="1" ht="12.75">
      <c r="B116" s="37"/>
      <c r="C116" s="37"/>
      <c r="D116" s="37"/>
      <c r="E116" s="37"/>
      <c r="F116" s="37"/>
      <c r="G116" s="37"/>
      <c r="H116" s="37"/>
    </row>
    <row r="117" spans="1:8" s="14" customFormat="1" ht="12.75">
      <c r="A117" s="113" t="s">
        <v>479</v>
      </c>
      <c r="B117" s="285"/>
      <c r="C117" s="37"/>
      <c r="D117" s="37"/>
      <c r="E117" s="93"/>
      <c r="F117" s="93"/>
      <c r="G117" s="93"/>
      <c r="H117" s="37"/>
    </row>
    <row r="118" spans="1:8" s="14" customFormat="1" ht="12.75">
      <c r="A118" s="14" t="s">
        <v>425</v>
      </c>
      <c r="B118" s="285"/>
      <c r="C118" s="37"/>
      <c r="D118" s="37"/>
      <c r="E118" s="93"/>
      <c r="F118" s="118" t="str">
        <f>$E$27</f>
        <v>Bi-Weekly PP posted 5/22/09</v>
      </c>
      <c r="G118" s="272">
        <v>0</v>
      </c>
      <c r="H118" s="37"/>
    </row>
    <row r="119" spans="2:8" s="14" customFormat="1" ht="12.75">
      <c r="B119" s="37"/>
      <c r="C119" s="37"/>
      <c r="D119" s="37"/>
      <c r="E119" s="37"/>
      <c r="F119" s="118" t="str">
        <f>$E$28</f>
        <v>Weekly PP posted 5/22/09</v>
      </c>
      <c r="G119" s="272">
        <v>4001</v>
      </c>
      <c r="H119" s="37"/>
    </row>
    <row r="120" spans="2:8" s="14" customFormat="1" ht="12.75">
      <c r="B120" s="37"/>
      <c r="C120" s="37"/>
      <c r="D120" s="37"/>
      <c r="E120" s="37"/>
      <c r="F120" s="118"/>
      <c r="G120" s="36"/>
      <c r="H120" s="37"/>
    </row>
    <row r="121" spans="1:8" s="14" customFormat="1" ht="12.75">
      <c r="A121" s="1" t="s">
        <v>403</v>
      </c>
      <c r="B121" s="36"/>
      <c r="C121" s="36"/>
      <c r="D121" s="36"/>
      <c r="E121" s="36"/>
      <c r="F121" s="36"/>
      <c r="G121" s="36"/>
      <c r="H121" s="36"/>
    </row>
    <row r="122" spans="1:8" s="14" customFormat="1" ht="12.75">
      <c r="A122" s="97"/>
      <c r="B122" s="99" t="str">
        <f>$B$7</f>
        <v>6/30/07</v>
      </c>
      <c r="C122" s="99" t="str">
        <f>$C$7</f>
        <v>6/30/08</v>
      </c>
      <c r="D122" s="99" t="str">
        <f>$D$7</f>
        <v>Year to</v>
      </c>
      <c r="E122" s="98"/>
      <c r="F122" s="98"/>
      <c r="G122" s="98"/>
      <c r="H122" s="391"/>
    </row>
    <row r="123" spans="1:8" s="14" customFormat="1" ht="12.75">
      <c r="A123" s="102"/>
      <c r="B123" s="95" t="str">
        <f>$B$8</f>
        <v>FY07</v>
      </c>
      <c r="C123" s="95" t="str">
        <f>$C$8</f>
        <v>FY08</v>
      </c>
      <c r="D123" s="95" t="str">
        <f>$D$8</f>
        <v>Date</v>
      </c>
      <c r="E123" s="96" t="s">
        <v>8</v>
      </c>
      <c r="F123" s="96" t="s">
        <v>36</v>
      </c>
      <c r="G123" s="96" t="s">
        <v>113</v>
      </c>
      <c r="H123" s="392" t="s">
        <v>9</v>
      </c>
    </row>
    <row r="124" spans="1:9" s="14" customFormat="1" ht="12.75">
      <c r="A124" s="104" t="s">
        <v>10</v>
      </c>
      <c r="B124" s="105" t="str">
        <f>$B$9</f>
        <v>Audited</v>
      </c>
      <c r="C124" s="105" t="str">
        <f>$C$9</f>
        <v>Unaudited</v>
      </c>
      <c r="D124" s="201" t="str">
        <f>$D$9</f>
        <v>As of 4/30/09</v>
      </c>
      <c r="E124" s="105" t="str">
        <f>$E$9</f>
        <v>2 months</v>
      </c>
      <c r="F124" s="105" t="s">
        <v>29</v>
      </c>
      <c r="G124" s="105" t="s">
        <v>13</v>
      </c>
      <c r="H124" s="393" t="s">
        <v>14</v>
      </c>
      <c r="I124" s="177"/>
    </row>
    <row r="125" spans="1:16" s="14" customFormat="1" ht="12.75">
      <c r="A125" s="14" t="s">
        <v>2</v>
      </c>
      <c r="B125" s="372">
        <v>159709</v>
      </c>
      <c r="C125" s="372">
        <v>146170</v>
      </c>
      <c r="D125" s="272">
        <v>118797</v>
      </c>
      <c r="E125" s="377">
        <f>(G135*'Schedule 1 Summary'!$D$15)+3300</f>
        <v>31755</v>
      </c>
      <c r="F125" s="377">
        <f>SUM(D125:E125)</f>
        <v>150552</v>
      </c>
      <c r="G125" s="381">
        <v>153358.66666666666</v>
      </c>
      <c r="H125" s="377">
        <f>SUM(F125-G125)</f>
        <v>-2806.666666666657</v>
      </c>
      <c r="J125" s="18"/>
      <c r="K125" s="18"/>
      <c r="L125" s="18"/>
      <c r="M125" s="18"/>
      <c r="N125" s="18"/>
      <c r="O125" s="18"/>
      <c r="P125" s="18"/>
    </row>
    <row r="126" spans="1:16" s="14" customFormat="1" ht="12.75">
      <c r="A126" s="14" t="s">
        <v>3</v>
      </c>
      <c r="B126" s="381">
        <v>4777.733333333334</v>
      </c>
      <c r="C126" s="381">
        <v>4481.56</v>
      </c>
      <c r="D126" s="284">
        <v>5985.286666666667</v>
      </c>
      <c r="E126" s="284">
        <v>1666.6666666666667</v>
      </c>
      <c r="F126" s="377">
        <f aca="true" t="shared" si="26" ref="F126:F132">SUM(D126:E126)</f>
        <v>7651.953333333334</v>
      </c>
      <c r="G126" s="381">
        <v>3333.3333333333335</v>
      </c>
      <c r="H126" s="377">
        <f>SUM(F126-G126)</f>
        <v>4318.620000000001</v>
      </c>
      <c r="J126" s="18"/>
      <c r="K126" s="18"/>
      <c r="L126" s="18"/>
      <c r="M126" s="18"/>
      <c r="N126" s="18"/>
      <c r="O126" s="18"/>
      <c r="P126" s="18"/>
    </row>
    <row r="127" spans="1:16" s="14" customFormat="1" ht="12.75">
      <c r="A127" s="14" t="s">
        <v>4</v>
      </c>
      <c r="B127" s="381">
        <v>114062.66</v>
      </c>
      <c r="C127" s="381">
        <v>132453.89666666664</v>
      </c>
      <c r="D127" s="284">
        <v>135365.08</v>
      </c>
      <c r="E127" s="284">
        <v>24049.58666666667</v>
      </c>
      <c r="F127" s="377">
        <f t="shared" si="26"/>
        <v>159414.66666666666</v>
      </c>
      <c r="G127" s="381">
        <v>159414.66666666666</v>
      </c>
      <c r="H127" s="377">
        <f>SUM(F127-G127)</f>
        <v>0</v>
      </c>
      <c r="J127" s="18"/>
      <c r="K127" s="18"/>
      <c r="L127" s="18"/>
      <c r="M127" s="18"/>
      <c r="N127" s="18"/>
      <c r="O127" s="18"/>
      <c r="P127" s="18"/>
    </row>
    <row r="128" spans="1:16" s="14" customFormat="1" ht="12.75">
      <c r="A128" s="14" t="s">
        <v>5</v>
      </c>
      <c r="B128" s="377">
        <f aca="true" t="shared" si="27" ref="B128:H128">SUM(B125:B127)</f>
        <v>278549.3933333333</v>
      </c>
      <c r="C128" s="377">
        <f t="shared" si="27"/>
        <v>283105.45666666667</v>
      </c>
      <c r="D128" s="377">
        <f t="shared" si="27"/>
        <v>260147.36666666664</v>
      </c>
      <c r="E128" s="377">
        <f t="shared" si="27"/>
        <v>57471.253333333334</v>
      </c>
      <c r="F128" s="377">
        <f t="shared" si="27"/>
        <v>317618.62</v>
      </c>
      <c r="G128" s="377">
        <f t="shared" si="27"/>
        <v>316106.6666666666</v>
      </c>
      <c r="H128" s="377">
        <f t="shared" si="27"/>
        <v>1511.9533333333438</v>
      </c>
      <c r="J128" s="18"/>
      <c r="K128" s="18"/>
      <c r="L128" s="18"/>
      <c r="M128" s="18"/>
      <c r="N128" s="18"/>
      <c r="O128" s="18"/>
      <c r="P128" s="18"/>
    </row>
    <row r="129" spans="1:16" s="14" customFormat="1" ht="12.75">
      <c r="A129" s="93" t="s">
        <v>178</v>
      </c>
      <c r="B129" s="381">
        <v>0</v>
      </c>
      <c r="C129" s="381">
        <v>0</v>
      </c>
      <c r="D129" s="284">
        <v>35.1</v>
      </c>
      <c r="E129" s="284">
        <v>214.9</v>
      </c>
      <c r="F129" s="377">
        <f t="shared" si="26"/>
        <v>250</v>
      </c>
      <c r="G129" s="381">
        <v>250</v>
      </c>
      <c r="H129" s="377">
        <f>SUM(F129-G129)</f>
        <v>0</v>
      </c>
      <c r="J129" s="18"/>
      <c r="K129" s="18"/>
      <c r="L129" s="18"/>
      <c r="M129" s="18"/>
      <c r="N129" s="18"/>
      <c r="O129" s="18"/>
      <c r="P129" s="18"/>
    </row>
    <row r="130" spans="1:16" s="14" customFormat="1" ht="12.75">
      <c r="A130" s="93" t="s">
        <v>313</v>
      </c>
      <c r="B130" s="381">
        <v>0</v>
      </c>
      <c r="C130" s="381">
        <v>11983.333333333334</v>
      </c>
      <c r="D130" s="284">
        <v>14377.333333333334</v>
      </c>
      <c r="E130" s="284">
        <v>13956</v>
      </c>
      <c r="F130" s="377">
        <f t="shared" si="26"/>
        <v>28333.333333333336</v>
      </c>
      <c r="G130" s="381">
        <v>28333.333333333332</v>
      </c>
      <c r="H130" s="377">
        <f>SUM(F130-G130)</f>
        <v>3.637978807091713E-12</v>
      </c>
      <c r="J130" s="18"/>
      <c r="K130" s="18"/>
      <c r="L130" s="18"/>
      <c r="M130" s="18"/>
      <c r="N130" s="18"/>
      <c r="O130" s="18"/>
      <c r="P130" s="18"/>
    </row>
    <row r="131" spans="1:16" s="14" customFormat="1" ht="12.75">
      <c r="A131" s="93" t="s">
        <v>175</v>
      </c>
      <c r="B131" s="381">
        <v>2095.806666666667</v>
      </c>
      <c r="C131" s="381">
        <v>2074.4066666666668</v>
      </c>
      <c r="D131" s="284">
        <v>2042.83</v>
      </c>
      <c r="E131" s="284">
        <v>790.5033333333334</v>
      </c>
      <c r="F131" s="377">
        <f t="shared" si="26"/>
        <v>2833.3333333333335</v>
      </c>
      <c r="G131" s="381">
        <v>2833.3333333333335</v>
      </c>
      <c r="H131" s="377">
        <f>SUM(F131-G131)</f>
        <v>0</v>
      </c>
      <c r="J131" s="18"/>
      <c r="K131" s="18"/>
      <c r="L131" s="18"/>
      <c r="M131" s="18"/>
      <c r="N131" s="18"/>
      <c r="O131" s="18"/>
      <c r="P131" s="18"/>
    </row>
    <row r="132" spans="1:16" s="14" customFormat="1" ht="12.75">
      <c r="A132" s="148" t="s">
        <v>176</v>
      </c>
      <c r="B132" s="381">
        <v>1666.6666666666667</v>
      </c>
      <c r="C132" s="381">
        <v>2838.4466666666667</v>
      </c>
      <c r="D132" s="284">
        <v>3312.036666666667</v>
      </c>
      <c r="E132" s="284">
        <v>354.63</v>
      </c>
      <c r="F132" s="377">
        <f t="shared" si="26"/>
        <v>3666.666666666667</v>
      </c>
      <c r="G132" s="381">
        <v>3666.6666666666665</v>
      </c>
      <c r="H132" s="377">
        <f>SUM(F132-G132)</f>
        <v>4.547473508864641E-13</v>
      </c>
      <c r="J132" s="18"/>
      <c r="K132" s="18"/>
      <c r="L132" s="18"/>
      <c r="M132" s="18"/>
      <c r="N132" s="18"/>
      <c r="O132" s="18"/>
      <c r="P132" s="18"/>
    </row>
    <row r="133" spans="1:8" s="14" customFormat="1" ht="12.75">
      <c r="A133" s="14" t="s">
        <v>7</v>
      </c>
      <c r="B133" s="395">
        <f>SUM(B128:B132)</f>
        <v>282311.86666666664</v>
      </c>
      <c r="C133" s="395">
        <f aca="true" t="shared" si="28" ref="C133:H133">SUM(C128:C132)</f>
        <v>300001.6433333333</v>
      </c>
      <c r="D133" s="395">
        <f t="shared" si="28"/>
        <v>279914.6666666667</v>
      </c>
      <c r="E133" s="395">
        <f t="shared" si="28"/>
        <v>72787.28666666667</v>
      </c>
      <c r="F133" s="395">
        <f t="shared" si="28"/>
        <v>352701.9533333333</v>
      </c>
      <c r="G133" s="395">
        <f t="shared" si="28"/>
        <v>351189.99999999994</v>
      </c>
      <c r="H133" s="395">
        <f t="shared" si="28"/>
        <v>1511.953333333348</v>
      </c>
    </row>
    <row r="134" spans="2:8" ht="12.75">
      <c r="B134" s="139"/>
      <c r="C134" s="139"/>
      <c r="D134" s="139"/>
      <c r="E134" s="139"/>
      <c r="F134" s="139"/>
      <c r="H134" s="139"/>
    </row>
    <row r="135" spans="1:8" ht="12.75">
      <c r="A135" s="14" t="s">
        <v>415</v>
      </c>
      <c r="B135" s="292"/>
      <c r="C135" s="139"/>
      <c r="D135" s="139"/>
      <c r="E135" s="139"/>
      <c r="F135" s="118" t="str">
        <f>$E$27</f>
        <v>Bi-Weekly PP posted 5/22/09</v>
      </c>
      <c r="G135" s="272">
        <v>5691</v>
      </c>
      <c r="H135" s="139"/>
    </row>
    <row r="136" spans="1:8" ht="12.75">
      <c r="A136" s="113" t="s">
        <v>479</v>
      </c>
      <c r="B136" s="292"/>
      <c r="C136" s="139"/>
      <c r="D136" s="139"/>
      <c r="E136" s="139"/>
      <c r="F136" s="118" t="s">
        <v>265</v>
      </c>
      <c r="G136" s="272">
        <v>0</v>
      </c>
      <c r="H136" s="139"/>
    </row>
    <row r="137" spans="2:8" ht="12.75">
      <c r="B137" s="139"/>
      <c r="C137" s="139"/>
      <c r="D137" s="139"/>
      <c r="E137" s="139"/>
      <c r="F137" s="118" t="s">
        <v>266</v>
      </c>
      <c r="G137" s="272">
        <v>3407</v>
      </c>
      <c r="H137" s="139"/>
    </row>
    <row r="138" spans="2:8" ht="12.75">
      <c r="B138" s="139"/>
      <c r="C138" s="139"/>
      <c r="D138" s="139"/>
      <c r="E138" s="139"/>
      <c r="F138" s="139"/>
      <c r="G138" s="224"/>
      <c r="H138" s="139"/>
    </row>
    <row r="139" spans="2:8" ht="12.75">
      <c r="B139" s="139"/>
      <c r="C139" s="139"/>
      <c r="D139" s="139"/>
      <c r="E139" s="139"/>
      <c r="F139" s="139"/>
      <c r="H139" s="139"/>
    </row>
    <row r="140" spans="2:8" ht="12.75">
      <c r="B140" s="224"/>
      <c r="C140" s="224"/>
      <c r="D140" s="224"/>
      <c r="E140" s="139"/>
      <c r="F140" s="394"/>
      <c r="H140" s="139"/>
    </row>
    <row r="141" spans="2:8" ht="12.75">
      <c r="B141" s="139"/>
      <c r="C141" s="139"/>
      <c r="D141" s="139"/>
      <c r="E141" s="139"/>
      <c r="F141" s="139"/>
      <c r="H141" s="139"/>
    </row>
    <row r="142" spans="1:8" s="14" customFormat="1" ht="12.75">
      <c r="A142" s="1" t="s">
        <v>245</v>
      </c>
      <c r="B142" s="36"/>
      <c r="C142" s="36"/>
      <c r="D142" s="36"/>
      <c r="E142" s="36"/>
      <c r="F142" s="36"/>
      <c r="G142" s="36"/>
      <c r="H142" s="36"/>
    </row>
    <row r="143" spans="1:8" s="14" customFormat="1" ht="12.75">
      <c r="A143" s="97"/>
      <c r="B143" s="99" t="str">
        <f>$B$7</f>
        <v>6/30/07</v>
      </c>
      <c r="C143" s="99" t="str">
        <f>$C$7</f>
        <v>6/30/08</v>
      </c>
      <c r="D143" s="99" t="str">
        <f>$D$7</f>
        <v>Year to</v>
      </c>
      <c r="E143" s="98"/>
      <c r="F143" s="98"/>
      <c r="G143" s="98"/>
      <c r="H143" s="391"/>
    </row>
    <row r="144" spans="1:8" s="14" customFormat="1" ht="12.75">
      <c r="A144" s="102"/>
      <c r="B144" s="95" t="str">
        <f>$B$8</f>
        <v>FY07</v>
      </c>
      <c r="C144" s="95" t="str">
        <f>$C$8</f>
        <v>FY08</v>
      </c>
      <c r="D144" s="95" t="str">
        <f>$D$8</f>
        <v>Date</v>
      </c>
      <c r="E144" s="96" t="s">
        <v>8</v>
      </c>
      <c r="F144" s="96" t="s">
        <v>36</v>
      </c>
      <c r="G144" s="96" t="s">
        <v>113</v>
      </c>
      <c r="H144" s="392" t="s">
        <v>9</v>
      </c>
    </row>
    <row r="145" spans="1:9" s="14" customFormat="1" ht="12.75">
      <c r="A145" s="104" t="s">
        <v>10</v>
      </c>
      <c r="B145" s="105" t="str">
        <f>$B$9</f>
        <v>Audited</v>
      </c>
      <c r="C145" s="105" t="str">
        <f>$C$9</f>
        <v>Unaudited</v>
      </c>
      <c r="D145" s="201" t="str">
        <f>$D$9</f>
        <v>As of 4/30/09</v>
      </c>
      <c r="E145" s="105" t="str">
        <f>$E$9</f>
        <v>2 months</v>
      </c>
      <c r="F145" s="105" t="s">
        <v>29</v>
      </c>
      <c r="G145" s="105" t="s">
        <v>13</v>
      </c>
      <c r="H145" s="393" t="s">
        <v>14</v>
      </c>
      <c r="I145" s="177"/>
    </row>
    <row r="146" spans="1:15" s="14" customFormat="1" ht="12.75">
      <c r="A146" s="14" t="s">
        <v>2</v>
      </c>
      <c r="B146" s="372">
        <v>254503</v>
      </c>
      <c r="C146" s="372">
        <v>269018</v>
      </c>
      <c r="D146" s="272">
        <v>211826</v>
      </c>
      <c r="E146" s="377">
        <f>(G160*'Schedule 1 Summary'!$D$15)+(G161*'Schedule 1 Summary'!$D$18)+4300+1600</f>
        <v>52143</v>
      </c>
      <c r="F146" s="377">
        <f>SUM(D146:E146)</f>
        <v>263969</v>
      </c>
      <c r="G146" s="381">
        <v>297793.6666666667</v>
      </c>
      <c r="H146" s="377">
        <f>SUM(F146-G146)</f>
        <v>-33824.666666666686</v>
      </c>
      <c r="J146" s="18"/>
      <c r="K146" s="18"/>
      <c r="L146" s="18"/>
      <c r="O146" s="18"/>
    </row>
    <row r="147" spans="1:16" s="14" customFormat="1" ht="12.75">
      <c r="A147" s="14" t="s">
        <v>3</v>
      </c>
      <c r="B147" s="381">
        <v>22440.913333333334</v>
      </c>
      <c r="C147" s="381">
        <v>22519.673333333336</v>
      </c>
      <c r="D147" s="284">
        <v>27006.36</v>
      </c>
      <c r="E147" s="284">
        <v>2250</v>
      </c>
      <c r="F147" s="377">
        <f>SUM(D147:E147)</f>
        <v>29256.36</v>
      </c>
      <c r="G147" s="381">
        <v>21666.666666666668</v>
      </c>
      <c r="H147" s="377">
        <f>SUM(F147-G147)</f>
        <v>7589.693333333333</v>
      </c>
      <c r="J147" s="18"/>
      <c r="K147" s="18"/>
      <c r="L147" s="18"/>
      <c r="M147" s="18"/>
      <c r="N147" s="18"/>
      <c r="O147" s="18"/>
      <c r="P147" s="18"/>
    </row>
    <row r="148" spans="1:16" s="14" customFormat="1" ht="12.75">
      <c r="A148" s="14" t="s">
        <v>4</v>
      </c>
      <c r="B148" s="381">
        <v>3979.6666666666665</v>
      </c>
      <c r="C148" s="381">
        <v>623.3333333333334</v>
      </c>
      <c r="D148" s="284">
        <v>1265.0333333333333</v>
      </c>
      <c r="E148" s="284">
        <v>0</v>
      </c>
      <c r="F148" s="377">
        <f>SUM(D148:E148)</f>
        <v>1265.0333333333333</v>
      </c>
      <c r="G148" s="381">
        <v>3956.6666666666665</v>
      </c>
      <c r="H148" s="377">
        <f>SUM(F148-G148)</f>
        <v>-2691.633333333333</v>
      </c>
      <c r="J148" s="18"/>
      <c r="K148" s="18"/>
      <c r="L148" s="18"/>
      <c r="M148" s="18"/>
      <c r="N148" s="18"/>
      <c r="O148" s="18"/>
      <c r="P148" s="18"/>
    </row>
    <row r="149" spans="1:16" s="14" customFormat="1" ht="12.75">
      <c r="A149" s="14" t="s">
        <v>5</v>
      </c>
      <c r="B149" s="377">
        <f aca="true" t="shared" si="29" ref="B149:H149">SUM(B146:B148)</f>
        <v>280923.58</v>
      </c>
      <c r="C149" s="377">
        <f t="shared" si="29"/>
        <v>292161.00666666665</v>
      </c>
      <c r="D149" s="377">
        <f t="shared" si="29"/>
        <v>240097.3933333333</v>
      </c>
      <c r="E149" s="377">
        <f t="shared" si="29"/>
        <v>54393</v>
      </c>
      <c r="F149" s="377">
        <f t="shared" si="29"/>
        <v>294490.3933333333</v>
      </c>
      <c r="G149" s="377">
        <f t="shared" si="29"/>
        <v>323417.00000000006</v>
      </c>
      <c r="H149" s="377">
        <f t="shared" si="29"/>
        <v>-28926.60666666669</v>
      </c>
      <c r="J149" s="18"/>
      <c r="K149" s="18"/>
      <c r="L149" s="18"/>
      <c r="M149" s="18"/>
      <c r="N149" s="18"/>
      <c r="O149" s="18"/>
      <c r="P149" s="18"/>
    </row>
    <row r="150" spans="1:16" s="14" customFormat="1" ht="12.75">
      <c r="A150" s="93" t="s">
        <v>178</v>
      </c>
      <c r="B150" s="381">
        <v>1736.4333333333334</v>
      </c>
      <c r="C150" s="381">
        <v>2061.5666666666666</v>
      </c>
      <c r="D150" s="284">
        <v>670.1566666666666</v>
      </c>
      <c r="E150" s="284">
        <v>3550.51</v>
      </c>
      <c r="F150" s="377">
        <f>SUM(D150+E150)</f>
        <v>4220.666666666667</v>
      </c>
      <c r="G150" s="381">
        <v>4220.666666666667</v>
      </c>
      <c r="H150" s="377">
        <f aca="true" t="shared" si="30" ref="H150:H156">SUM(F150-G150)</f>
        <v>0</v>
      </c>
      <c r="J150" s="18"/>
      <c r="K150" s="18"/>
      <c r="L150" s="18"/>
      <c r="M150" s="18"/>
      <c r="N150" s="18"/>
      <c r="O150" s="18"/>
      <c r="P150" s="18"/>
    </row>
    <row r="151" spans="1:16" s="14" customFormat="1" ht="12.75">
      <c r="A151" s="93" t="s">
        <v>179</v>
      </c>
      <c r="B151" s="381">
        <v>0</v>
      </c>
      <c r="C151" s="381">
        <v>91.66666666666667</v>
      </c>
      <c r="D151" s="284">
        <v>163.33333333333334</v>
      </c>
      <c r="E151" s="284">
        <v>336.6666666666667</v>
      </c>
      <c r="F151" s="377">
        <f aca="true" t="shared" si="31" ref="F151:F156">SUM(D151:E151)</f>
        <v>500</v>
      </c>
      <c r="G151" s="381">
        <v>500</v>
      </c>
      <c r="H151" s="377">
        <f t="shared" si="30"/>
        <v>0</v>
      </c>
      <c r="J151" s="18"/>
      <c r="K151" s="18"/>
      <c r="L151" s="18"/>
      <c r="M151" s="18"/>
      <c r="N151" s="18"/>
      <c r="O151" s="18"/>
      <c r="P151" s="18"/>
    </row>
    <row r="152" spans="1:16" s="14" customFormat="1" ht="12.75">
      <c r="A152" s="93" t="s">
        <v>173</v>
      </c>
      <c r="B152" s="381">
        <v>119910.76</v>
      </c>
      <c r="C152" s="381">
        <v>113099.72666666667</v>
      </c>
      <c r="D152" s="284">
        <v>91672.43</v>
      </c>
      <c r="E152" s="284">
        <v>34711.90333333334</v>
      </c>
      <c r="F152" s="377">
        <f t="shared" si="31"/>
        <v>126384.33333333334</v>
      </c>
      <c r="G152" s="381">
        <v>126384.33333333333</v>
      </c>
      <c r="H152" s="377">
        <f t="shared" si="30"/>
        <v>1.4551915228366852E-11</v>
      </c>
      <c r="J152" s="18"/>
      <c r="K152" s="18"/>
      <c r="L152" s="18"/>
      <c r="M152" s="18"/>
      <c r="N152" s="18"/>
      <c r="O152" s="18"/>
      <c r="P152" s="18"/>
    </row>
    <row r="153" spans="1:16" s="14" customFormat="1" ht="12.75">
      <c r="A153" s="93" t="s">
        <v>174</v>
      </c>
      <c r="B153" s="381">
        <v>256.4733333333333</v>
      </c>
      <c r="C153" s="381">
        <v>165.09333333333333</v>
      </c>
      <c r="D153" s="284">
        <v>251.33333333333334</v>
      </c>
      <c r="E153" s="284">
        <v>82</v>
      </c>
      <c r="F153" s="377">
        <f t="shared" si="31"/>
        <v>333.33333333333337</v>
      </c>
      <c r="G153" s="381">
        <v>333.3333333333333</v>
      </c>
      <c r="H153" s="377">
        <f t="shared" si="30"/>
        <v>5.684341886080802E-14</v>
      </c>
      <c r="J153" s="18"/>
      <c r="K153" s="18"/>
      <c r="L153" s="18"/>
      <c r="M153" s="18"/>
      <c r="N153" s="18"/>
      <c r="O153" s="18"/>
      <c r="P153" s="18"/>
    </row>
    <row r="154" spans="1:16" s="14" customFormat="1" ht="12.75">
      <c r="A154" s="93" t="s">
        <v>175</v>
      </c>
      <c r="B154" s="381">
        <v>170710.24</v>
      </c>
      <c r="C154" s="381">
        <v>172267.85</v>
      </c>
      <c r="D154" s="284">
        <v>136200.10666666666</v>
      </c>
      <c r="E154" s="284">
        <v>41966.56</v>
      </c>
      <c r="F154" s="377">
        <f t="shared" si="31"/>
        <v>178166.66666666666</v>
      </c>
      <c r="G154" s="381">
        <v>178166.66666666666</v>
      </c>
      <c r="H154" s="377">
        <f t="shared" si="30"/>
        <v>0</v>
      </c>
      <c r="J154" s="18"/>
      <c r="K154" s="18"/>
      <c r="L154" s="18"/>
      <c r="M154" s="18"/>
      <c r="N154" s="18"/>
      <c r="O154" s="18"/>
      <c r="P154" s="18"/>
    </row>
    <row r="155" spans="1:16" s="14" customFormat="1" ht="12.75">
      <c r="A155" s="93" t="s">
        <v>177</v>
      </c>
      <c r="B155" s="381">
        <v>978.5866666666667</v>
      </c>
      <c r="C155" s="381">
        <v>658.37</v>
      </c>
      <c r="D155" s="284">
        <v>427.8833333333334</v>
      </c>
      <c r="E155" s="284">
        <v>238.7833333333333</v>
      </c>
      <c r="F155" s="377">
        <f t="shared" si="31"/>
        <v>666.6666666666667</v>
      </c>
      <c r="G155" s="381">
        <v>666.6666666666666</v>
      </c>
      <c r="H155" s="377">
        <f t="shared" si="30"/>
        <v>1.1368683772161603E-13</v>
      </c>
      <c r="J155" s="18"/>
      <c r="K155" s="18"/>
      <c r="L155" s="18"/>
      <c r="M155" s="18"/>
      <c r="N155" s="18"/>
      <c r="O155" s="18"/>
      <c r="P155" s="18"/>
    </row>
    <row r="156" spans="1:16" s="14" customFormat="1" ht="12.75">
      <c r="A156" s="148" t="s">
        <v>176</v>
      </c>
      <c r="B156" s="381">
        <v>53.75</v>
      </c>
      <c r="C156" s="381">
        <v>62.29</v>
      </c>
      <c r="D156" s="284">
        <v>0</v>
      </c>
      <c r="E156" s="284">
        <v>183.33333333333334</v>
      </c>
      <c r="F156" s="377">
        <f t="shared" si="31"/>
        <v>183.33333333333334</v>
      </c>
      <c r="G156" s="381">
        <v>183.33333333333334</v>
      </c>
      <c r="H156" s="377">
        <f t="shared" si="30"/>
        <v>0</v>
      </c>
      <c r="J156" s="18"/>
      <c r="K156" s="18"/>
      <c r="L156" s="18"/>
      <c r="M156" s="18"/>
      <c r="N156" s="18"/>
      <c r="O156" s="18"/>
      <c r="P156" s="18"/>
    </row>
    <row r="157" spans="1:8" s="14" customFormat="1" ht="12.75">
      <c r="A157" s="14" t="s">
        <v>7</v>
      </c>
      <c r="B157" s="395">
        <f aca="true" t="shared" si="32" ref="B157:H157">SUM(B149:B156)</f>
        <v>574569.8233333334</v>
      </c>
      <c r="C157" s="395">
        <f t="shared" si="32"/>
        <v>580567.5700000001</v>
      </c>
      <c r="D157" s="395">
        <f t="shared" si="32"/>
        <v>469482.63666666666</v>
      </c>
      <c r="E157" s="395">
        <f t="shared" si="32"/>
        <v>135462.75666666668</v>
      </c>
      <c r="F157" s="395">
        <f t="shared" si="32"/>
        <v>604945.3933333333</v>
      </c>
      <c r="G157" s="395">
        <f t="shared" si="32"/>
        <v>633872</v>
      </c>
      <c r="H157" s="395">
        <f t="shared" si="32"/>
        <v>-28926.606666666674</v>
      </c>
    </row>
    <row r="158" spans="2:8" s="14" customFormat="1" ht="12.75">
      <c r="B158" s="36"/>
      <c r="C158" s="36"/>
      <c r="D158" s="36"/>
      <c r="E158" s="36"/>
      <c r="F158" s="36"/>
      <c r="G158" s="36"/>
      <c r="H158" s="36"/>
    </row>
    <row r="159" spans="1:8" s="14" customFormat="1" ht="12.75">
      <c r="A159" s="113" t="s">
        <v>491</v>
      </c>
      <c r="B159" s="272"/>
      <c r="C159" s="36"/>
      <c r="D159" s="36"/>
      <c r="E159" s="93"/>
      <c r="F159" s="93"/>
      <c r="G159" s="36"/>
      <c r="H159" s="36"/>
    </row>
    <row r="160" spans="1:8" s="14" customFormat="1" ht="12.75">
      <c r="A160" s="14" t="s">
        <v>431</v>
      </c>
      <c r="B160" s="272"/>
      <c r="C160" s="36"/>
      <c r="D160" s="36"/>
      <c r="E160" s="93"/>
      <c r="F160" s="118" t="str">
        <f>$E$27</f>
        <v>Bi-Weekly PP posted 5/22/09</v>
      </c>
      <c r="G160" s="272">
        <v>1037</v>
      </c>
      <c r="H160" s="36"/>
    </row>
    <row r="161" spans="2:8" s="14" customFormat="1" ht="12.75">
      <c r="B161" s="36"/>
      <c r="C161" s="36"/>
      <c r="D161" s="36"/>
      <c r="E161" s="93"/>
      <c r="F161" s="118" t="str">
        <f>$E$28</f>
        <v>Weekly PP posted 5/22/09</v>
      </c>
      <c r="G161" s="272">
        <v>4562</v>
      </c>
      <c r="H161" s="36"/>
    </row>
    <row r="162" spans="2:8" s="14" customFormat="1" ht="12.75">
      <c r="B162" s="36"/>
      <c r="C162" s="36"/>
      <c r="D162" s="36"/>
      <c r="E162" s="118"/>
      <c r="F162" s="36"/>
      <c r="G162" s="36"/>
      <c r="H162" s="36"/>
    </row>
    <row r="163" spans="2:8" s="14" customFormat="1" ht="12.75">
      <c r="B163" s="36"/>
      <c r="C163" s="36"/>
      <c r="D163" s="36"/>
      <c r="E163" s="118"/>
      <c r="F163" s="36"/>
      <c r="G163" s="36"/>
      <c r="H163" s="36"/>
    </row>
    <row r="164" spans="1:8" s="14" customFormat="1" ht="12.75">
      <c r="A164" s="1" t="s">
        <v>246</v>
      </c>
      <c r="B164" s="36"/>
      <c r="C164" s="36"/>
      <c r="D164" s="36"/>
      <c r="E164" s="36"/>
      <c r="F164" s="36"/>
      <c r="G164" s="36"/>
      <c r="H164" s="36"/>
    </row>
    <row r="165" spans="1:8" s="14" customFormat="1" ht="12.75">
      <c r="A165" s="97"/>
      <c r="B165" s="99" t="str">
        <f>$B$7</f>
        <v>6/30/07</v>
      </c>
      <c r="C165" s="99" t="str">
        <f>$C$7</f>
        <v>6/30/08</v>
      </c>
      <c r="D165" s="99" t="str">
        <f>$D$7</f>
        <v>Year to</v>
      </c>
      <c r="E165" s="98"/>
      <c r="F165" s="98"/>
      <c r="G165" s="98"/>
      <c r="H165" s="391"/>
    </row>
    <row r="166" spans="1:8" s="14" customFormat="1" ht="12.75">
      <c r="A166" s="102"/>
      <c r="B166" s="95" t="str">
        <f>$B$8</f>
        <v>FY07</v>
      </c>
      <c r="C166" s="95" t="str">
        <f>$C$8</f>
        <v>FY08</v>
      </c>
      <c r="D166" s="95" t="str">
        <f>$D$8</f>
        <v>Date</v>
      </c>
      <c r="E166" s="96" t="s">
        <v>8</v>
      </c>
      <c r="F166" s="96" t="s">
        <v>36</v>
      </c>
      <c r="G166" s="96" t="s">
        <v>113</v>
      </c>
      <c r="H166" s="392" t="s">
        <v>9</v>
      </c>
    </row>
    <row r="167" spans="1:9" s="14" customFormat="1" ht="12.75">
      <c r="A167" s="104" t="s">
        <v>10</v>
      </c>
      <c r="B167" s="105" t="str">
        <f>$B$9</f>
        <v>Audited</v>
      </c>
      <c r="C167" s="105" t="str">
        <f>$C$9</f>
        <v>Unaudited</v>
      </c>
      <c r="D167" s="201" t="str">
        <f>$D$9</f>
        <v>As of 4/30/09</v>
      </c>
      <c r="E167" s="105" t="str">
        <f>$E$9</f>
        <v>2 months</v>
      </c>
      <c r="F167" s="105" t="s">
        <v>29</v>
      </c>
      <c r="G167" s="105" t="s">
        <v>13</v>
      </c>
      <c r="H167" s="393" t="s">
        <v>14</v>
      </c>
      <c r="I167" s="177"/>
    </row>
    <row r="168" spans="1:15" s="14" customFormat="1" ht="12.75">
      <c r="A168" s="14" t="s">
        <v>2</v>
      </c>
      <c r="B168" s="372">
        <v>631315</v>
      </c>
      <c r="C168" s="372">
        <v>651225</v>
      </c>
      <c r="D168" s="272">
        <v>556399</v>
      </c>
      <c r="E168" s="377">
        <f>(G180*'Schedule 1 Summary'!$D$15)+(G181*'Schedule 1 Summary'!$D$18)+11000</f>
        <v>124340</v>
      </c>
      <c r="F168" s="377">
        <f>SUM(D168:E168)</f>
        <v>680739</v>
      </c>
      <c r="G168" s="381">
        <v>688464.3333333334</v>
      </c>
      <c r="H168" s="377">
        <f aca="true" t="shared" si="33" ref="H168:H176">SUM(F168-G168)</f>
        <v>-7725.333333333372</v>
      </c>
      <c r="J168" s="18"/>
      <c r="K168" s="18"/>
      <c r="L168" s="18"/>
      <c r="M168" s="18"/>
      <c r="N168" s="18"/>
      <c r="O168" s="18"/>
    </row>
    <row r="169" spans="1:15" s="14" customFormat="1" ht="12.75">
      <c r="A169" s="14" t="s">
        <v>3</v>
      </c>
      <c r="B169" s="381">
        <v>39079.2</v>
      </c>
      <c r="C169" s="381">
        <v>39468.47</v>
      </c>
      <c r="D169" s="284">
        <v>36212.89333333333</v>
      </c>
      <c r="E169" s="284">
        <v>7120.44</v>
      </c>
      <c r="F169" s="377">
        <f>SUM(D169:E169)</f>
        <v>43333.333333333336</v>
      </c>
      <c r="G169" s="381">
        <v>43333.333333333336</v>
      </c>
      <c r="H169" s="377">
        <f t="shared" si="33"/>
        <v>0</v>
      </c>
      <c r="J169" s="18"/>
      <c r="K169" s="18"/>
      <c r="L169" s="18"/>
      <c r="M169" s="18"/>
      <c r="N169" s="18"/>
      <c r="O169" s="18"/>
    </row>
    <row r="170" spans="1:15" s="14" customFormat="1" ht="12.75">
      <c r="A170" s="14" t="s">
        <v>4</v>
      </c>
      <c r="B170" s="381">
        <v>36557.40666666667</v>
      </c>
      <c r="C170" s="381">
        <v>40080.53666666667</v>
      </c>
      <c r="D170" s="284">
        <v>33180.556666666664</v>
      </c>
      <c r="E170" s="284">
        <v>2351.6666666666665</v>
      </c>
      <c r="F170" s="377">
        <f>SUM(D170:E170)</f>
        <v>35532.22333333333</v>
      </c>
      <c r="G170" s="381">
        <v>47121.666666666664</v>
      </c>
      <c r="H170" s="377">
        <f t="shared" si="33"/>
        <v>-11589.443333333336</v>
      </c>
      <c r="J170" s="18"/>
      <c r="K170" s="18"/>
      <c r="L170" s="18"/>
      <c r="M170" s="18"/>
      <c r="N170" s="18"/>
      <c r="O170" s="18"/>
    </row>
    <row r="171" spans="1:15" s="14" customFormat="1" ht="12.75">
      <c r="A171" s="14" t="s">
        <v>5</v>
      </c>
      <c r="B171" s="377">
        <f aca="true" t="shared" si="34" ref="B171:H171">SUM(B168:B170)</f>
        <v>706951.6066666666</v>
      </c>
      <c r="C171" s="377">
        <f t="shared" si="34"/>
        <v>730774.0066666666</v>
      </c>
      <c r="D171" s="377">
        <f t="shared" si="34"/>
        <v>625792.45</v>
      </c>
      <c r="E171" s="377">
        <f t="shared" si="34"/>
        <v>133812.10666666666</v>
      </c>
      <c r="F171" s="377">
        <f t="shared" si="34"/>
        <v>759604.5566666666</v>
      </c>
      <c r="G171" s="377">
        <f t="shared" si="34"/>
        <v>778919.3333333334</v>
      </c>
      <c r="H171" s="377">
        <f t="shared" si="34"/>
        <v>-19314.77666666671</v>
      </c>
      <c r="J171" s="18"/>
      <c r="K171" s="18"/>
      <c r="L171" s="18"/>
      <c r="M171" s="18"/>
      <c r="N171" s="18"/>
      <c r="O171" s="18"/>
    </row>
    <row r="172" spans="1:15" s="14" customFormat="1" ht="12.75">
      <c r="A172" s="93" t="s">
        <v>178</v>
      </c>
      <c r="B172" s="381">
        <v>6070.76</v>
      </c>
      <c r="C172" s="381">
        <v>6053.526666666668</v>
      </c>
      <c r="D172" s="284">
        <v>4867.0233333333335</v>
      </c>
      <c r="E172" s="284">
        <v>1832.9766666666667</v>
      </c>
      <c r="F172" s="377">
        <f>SUM(D172:E172)</f>
        <v>6700</v>
      </c>
      <c r="G172" s="381">
        <v>6700</v>
      </c>
      <c r="H172" s="377">
        <f t="shared" si="33"/>
        <v>0</v>
      </c>
      <c r="J172" s="18"/>
      <c r="K172" s="18"/>
      <c r="L172" s="18"/>
      <c r="M172" s="18"/>
      <c r="N172" s="18"/>
      <c r="O172" s="18"/>
    </row>
    <row r="173" spans="1:15" s="14" customFormat="1" ht="12.75">
      <c r="A173" s="93" t="s">
        <v>179</v>
      </c>
      <c r="B173" s="381">
        <v>567.0666666666667</v>
      </c>
      <c r="C173" s="381">
        <v>209.33333333333334</v>
      </c>
      <c r="D173" s="284">
        <v>299</v>
      </c>
      <c r="E173" s="284">
        <v>534.3333333333334</v>
      </c>
      <c r="F173" s="377">
        <f>SUM(D173:E173)</f>
        <v>833.3333333333334</v>
      </c>
      <c r="G173" s="381">
        <v>833.3333333333334</v>
      </c>
      <c r="H173" s="377">
        <f t="shared" si="33"/>
        <v>0</v>
      </c>
      <c r="J173" s="18"/>
      <c r="K173" s="18"/>
      <c r="L173" s="18"/>
      <c r="M173" s="18"/>
      <c r="N173" s="18"/>
      <c r="O173" s="18"/>
    </row>
    <row r="174" spans="1:15" s="14" customFormat="1" ht="12.75">
      <c r="A174" s="93" t="s">
        <v>173</v>
      </c>
      <c r="B174" s="381">
        <v>1095361.8166666667</v>
      </c>
      <c r="C174" s="381">
        <v>1006789.5966666667</v>
      </c>
      <c r="D174" s="284">
        <v>754107.8933333334</v>
      </c>
      <c r="E174" s="284">
        <v>335980.44</v>
      </c>
      <c r="F174" s="377">
        <f>SUM(D174:E174)</f>
        <v>1090088.3333333335</v>
      </c>
      <c r="G174" s="381">
        <v>1029868.3333333334</v>
      </c>
      <c r="H174" s="377">
        <f t="shared" si="33"/>
        <v>60220.00000000012</v>
      </c>
      <c r="J174" s="18"/>
      <c r="K174" s="18"/>
      <c r="L174" s="18"/>
      <c r="M174" s="18"/>
      <c r="N174" s="18"/>
      <c r="O174" s="18"/>
    </row>
    <row r="175" spans="1:15" s="14" customFormat="1" ht="12.75">
      <c r="A175" s="93" t="s">
        <v>175</v>
      </c>
      <c r="B175" s="381">
        <v>13059.16</v>
      </c>
      <c r="C175" s="381">
        <v>27174.44</v>
      </c>
      <c r="D175" s="284">
        <v>25691.66</v>
      </c>
      <c r="E175" s="284">
        <v>808.3400000000014</v>
      </c>
      <c r="F175" s="377">
        <f>SUM(D175:E175)</f>
        <v>26500</v>
      </c>
      <c r="G175" s="381">
        <v>26500</v>
      </c>
      <c r="H175" s="377">
        <f t="shared" si="33"/>
        <v>0</v>
      </c>
      <c r="J175" s="18"/>
      <c r="K175" s="18"/>
      <c r="L175" s="18"/>
      <c r="M175" s="18"/>
      <c r="N175" s="18"/>
      <c r="O175" s="18"/>
    </row>
    <row r="176" spans="1:15" s="14" customFormat="1" ht="12.75">
      <c r="A176" s="148" t="s">
        <v>176</v>
      </c>
      <c r="B176" s="381">
        <v>0</v>
      </c>
      <c r="C176" s="381">
        <v>0</v>
      </c>
      <c r="D176" s="284">
        <v>0</v>
      </c>
      <c r="E176" s="284">
        <v>0</v>
      </c>
      <c r="F176" s="377">
        <f>SUM(D176:E176)</f>
        <v>0</v>
      </c>
      <c r="G176" s="381">
        <v>0</v>
      </c>
      <c r="H176" s="377">
        <f t="shared" si="33"/>
        <v>0</v>
      </c>
      <c r="J176" s="18"/>
      <c r="K176" s="18"/>
      <c r="L176" s="18"/>
      <c r="M176" s="18"/>
      <c r="N176" s="18"/>
      <c r="O176" s="18"/>
    </row>
    <row r="177" spans="1:8" s="14" customFormat="1" ht="12.75">
      <c r="A177" s="14" t="s">
        <v>7</v>
      </c>
      <c r="B177" s="395">
        <f aca="true" t="shared" si="35" ref="B177:H177">SUM(B171:B176)</f>
        <v>1822010.41</v>
      </c>
      <c r="C177" s="395">
        <f t="shared" si="35"/>
        <v>1771000.9033333333</v>
      </c>
      <c r="D177" s="395">
        <f t="shared" si="35"/>
        <v>1410758.0266666666</v>
      </c>
      <c r="E177" s="395">
        <f t="shared" si="35"/>
        <v>472968.1966666667</v>
      </c>
      <c r="F177" s="395">
        <f t="shared" si="35"/>
        <v>1883726.2233333336</v>
      </c>
      <c r="G177" s="395">
        <f t="shared" si="35"/>
        <v>1842821</v>
      </c>
      <c r="H177" s="395">
        <f t="shared" si="35"/>
        <v>40905.22333333341</v>
      </c>
    </row>
    <row r="178" spans="2:8" s="14" customFormat="1" ht="12.75">
      <c r="B178" s="36" t="s">
        <v>132</v>
      </c>
      <c r="C178" s="36" t="s">
        <v>132</v>
      </c>
      <c r="D178" s="36" t="s">
        <v>132</v>
      </c>
      <c r="E178" s="36"/>
      <c r="F178" s="36"/>
      <c r="G178" s="36"/>
      <c r="H178" s="36"/>
    </row>
    <row r="179" spans="1:8" s="14" customFormat="1" ht="12.75">
      <c r="A179" s="113" t="s">
        <v>479</v>
      </c>
      <c r="B179" s="272"/>
      <c r="C179" s="36"/>
      <c r="D179" s="36"/>
      <c r="E179" s="93"/>
      <c r="F179" s="93"/>
      <c r="G179" s="36"/>
      <c r="H179" s="36"/>
    </row>
    <row r="180" spans="1:8" s="14" customFormat="1" ht="12.75">
      <c r="A180" s="14" t="s">
        <v>429</v>
      </c>
      <c r="B180" s="272"/>
      <c r="C180" s="36"/>
      <c r="D180" s="36"/>
      <c r="E180" s="93"/>
      <c r="F180" s="118" t="str">
        <f>$E$27</f>
        <v>Bi-Weekly PP posted 5/22/09</v>
      </c>
      <c r="G180" s="272">
        <v>1428</v>
      </c>
      <c r="H180" s="36"/>
    </row>
    <row r="181" spans="1:8" s="14" customFormat="1" ht="12.75">
      <c r="A181" s="113"/>
      <c r="B181" s="36"/>
      <c r="C181" s="36"/>
      <c r="D181" s="36"/>
      <c r="E181" s="93"/>
      <c r="F181" s="118" t="str">
        <f>$E$28</f>
        <v>Weekly PP posted 5/22/09</v>
      </c>
      <c r="G181" s="272">
        <v>11800</v>
      </c>
      <c r="H181" s="36"/>
    </row>
    <row r="182" spans="2:8" ht="12.75">
      <c r="B182" s="139"/>
      <c r="C182" s="139"/>
      <c r="D182" s="139"/>
      <c r="E182" s="394"/>
      <c r="F182" s="138" t="s">
        <v>346</v>
      </c>
      <c r="G182" s="272">
        <v>1411</v>
      </c>
      <c r="H182" s="139"/>
    </row>
    <row r="183" spans="2:8" ht="12.75">
      <c r="B183" s="139"/>
      <c r="C183" s="139"/>
      <c r="D183" s="139"/>
      <c r="E183" s="394"/>
      <c r="F183" s="139"/>
      <c r="H183" s="139"/>
    </row>
    <row r="184" spans="2:8" ht="12.75">
      <c r="B184" s="139"/>
      <c r="C184" s="139"/>
      <c r="D184" s="139"/>
      <c r="E184" s="394"/>
      <c r="F184" s="139"/>
      <c r="H184" s="139"/>
    </row>
    <row r="185" spans="1:8" s="14" customFormat="1" ht="12.75">
      <c r="A185" s="1" t="s">
        <v>247</v>
      </c>
      <c r="B185" s="36"/>
      <c r="C185" s="36"/>
      <c r="D185" s="36"/>
      <c r="E185" s="36"/>
      <c r="F185" s="36"/>
      <c r="G185" s="36"/>
      <c r="H185" s="36"/>
    </row>
    <row r="186" spans="1:8" s="14" customFormat="1" ht="12.75">
      <c r="A186" s="97"/>
      <c r="B186" s="99" t="str">
        <f>$B$7</f>
        <v>6/30/07</v>
      </c>
      <c r="C186" s="99" t="str">
        <f>$C$7</f>
        <v>6/30/08</v>
      </c>
      <c r="D186" s="99" t="str">
        <f>$D$7</f>
        <v>Year to</v>
      </c>
      <c r="E186" s="98"/>
      <c r="F186" s="98"/>
      <c r="G186" s="98"/>
      <c r="H186" s="391"/>
    </row>
    <row r="187" spans="1:8" s="14" customFormat="1" ht="12.75">
      <c r="A187" s="102"/>
      <c r="B187" s="95" t="str">
        <f>$B$8</f>
        <v>FY07</v>
      </c>
      <c r="C187" s="95" t="str">
        <f>$C$8</f>
        <v>FY08</v>
      </c>
      <c r="D187" s="95" t="str">
        <f>$D$8</f>
        <v>Date</v>
      </c>
      <c r="E187" s="96" t="s">
        <v>8</v>
      </c>
      <c r="F187" s="96" t="s">
        <v>36</v>
      </c>
      <c r="G187" s="96" t="s">
        <v>113</v>
      </c>
      <c r="H187" s="392" t="s">
        <v>9</v>
      </c>
    </row>
    <row r="188" spans="1:9" s="14" customFormat="1" ht="12.75">
      <c r="A188" s="104" t="s">
        <v>10</v>
      </c>
      <c r="B188" s="105" t="str">
        <f>$B$9</f>
        <v>Audited</v>
      </c>
      <c r="C188" s="105" t="str">
        <f>$C$9</f>
        <v>Unaudited</v>
      </c>
      <c r="D188" s="201" t="str">
        <f>$D$9</f>
        <v>As of 4/30/09</v>
      </c>
      <c r="E188" s="105" t="str">
        <f>$E$9</f>
        <v>2 months</v>
      </c>
      <c r="F188" s="105" t="s">
        <v>29</v>
      </c>
      <c r="G188" s="105" t="s">
        <v>13</v>
      </c>
      <c r="H188" s="393" t="s">
        <v>14</v>
      </c>
      <c r="I188" s="177"/>
    </row>
    <row r="189" spans="1:15" s="14" customFormat="1" ht="12.75">
      <c r="A189" s="14" t="s">
        <v>2</v>
      </c>
      <c r="B189" s="372">
        <v>282067</v>
      </c>
      <c r="C189" s="372">
        <v>291042</v>
      </c>
      <c r="D189" s="272">
        <v>282150</v>
      </c>
      <c r="E189" s="377">
        <f>(G202*'Schedule 1 Summary'!$D$15)+(G203*'Schedule 1 Summary'!$D$18)+6000</f>
        <v>65942</v>
      </c>
      <c r="F189" s="377">
        <f>SUM(D189:E189)</f>
        <v>348092</v>
      </c>
      <c r="G189" s="381">
        <v>368595.6666666667</v>
      </c>
      <c r="H189" s="377">
        <f>SUM(F189-G189)</f>
        <v>-20503.666666666686</v>
      </c>
      <c r="J189" s="18"/>
      <c r="K189" s="18"/>
      <c r="L189" s="18"/>
      <c r="M189" s="18"/>
      <c r="N189" s="18"/>
      <c r="O189" s="18"/>
    </row>
    <row r="190" spans="1:15" s="14" customFormat="1" ht="12.75">
      <c r="A190" s="14" t="s">
        <v>3</v>
      </c>
      <c r="B190" s="381">
        <v>93481.61666666665</v>
      </c>
      <c r="C190" s="381">
        <v>112650.15</v>
      </c>
      <c r="D190" s="284">
        <v>119825.50333333334</v>
      </c>
      <c r="E190" s="284">
        <v>9000</v>
      </c>
      <c r="F190" s="377">
        <f>SUM(D190:E190)</f>
        <v>128825.50333333334</v>
      </c>
      <c r="G190" s="381">
        <v>78333.33333333333</v>
      </c>
      <c r="H190" s="377">
        <f>SUM(F190-G190)</f>
        <v>50492.17000000001</v>
      </c>
      <c r="J190" s="18"/>
      <c r="K190" s="18"/>
      <c r="L190" s="18"/>
      <c r="M190" s="18"/>
      <c r="N190" s="18"/>
      <c r="O190" s="18"/>
    </row>
    <row r="191" spans="1:15" s="14" customFormat="1" ht="12.75">
      <c r="A191" s="14" t="s">
        <v>4</v>
      </c>
      <c r="B191" s="381">
        <v>34837.02333333334</v>
      </c>
      <c r="C191" s="381">
        <v>24252.273333333334</v>
      </c>
      <c r="D191" s="284">
        <v>12038.803333333335</v>
      </c>
      <c r="E191" s="284">
        <v>2438.3333333333335</v>
      </c>
      <c r="F191" s="377">
        <f aca="true" t="shared" si="36" ref="F191:F198">SUM(D191:E191)</f>
        <v>14477.136666666669</v>
      </c>
      <c r="G191" s="381">
        <v>23741.666666666668</v>
      </c>
      <c r="H191" s="377">
        <f>SUM(F191-G191)</f>
        <v>-9264.529999999999</v>
      </c>
      <c r="J191" s="18"/>
      <c r="K191" s="18"/>
      <c r="L191" s="18"/>
      <c r="M191" s="18"/>
      <c r="N191" s="18"/>
      <c r="O191" s="18"/>
    </row>
    <row r="192" spans="1:15" s="14" customFormat="1" ht="12.75">
      <c r="A192" s="14" t="s">
        <v>5</v>
      </c>
      <c r="B192" s="377">
        <f aca="true" t="shared" si="37" ref="B192:H192">SUM(B189:B191)</f>
        <v>410385.63999999996</v>
      </c>
      <c r="C192" s="377">
        <f t="shared" si="37"/>
        <v>427944.42333333334</v>
      </c>
      <c r="D192" s="377">
        <f t="shared" si="37"/>
        <v>414014.3066666667</v>
      </c>
      <c r="E192" s="377">
        <f t="shared" si="37"/>
        <v>77380.33333333333</v>
      </c>
      <c r="F192" s="377">
        <f t="shared" si="37"/>
        <v>491394.64</v>
      </c>
      <c r="G192" s="377">
        <f t="shared" si="37"/>
        <v>470670.6666666667</v>
      </c>
      <c r="H192" s="377">
        <f t="shared" si="37"/>
        <v>20723.973333333328</v>
      </c>
      <c r="J192" s="18"/>
      <c r="K192" s="18"/>
      <c r="L192" s="18"/>
      <c r="M192" s="18"/>
      <c r="N192" s="18"/>
      <c r="O192" s="18"/>
    </row>
    <row r="193" spans="1:15" s="14" customFormat="1" ht="12.75">
      <c r="A193" s="93" t="s">
        <v>178</v>
      </c>
      <c r="B193" s="381">
        <v>3914.096666666667</v>
      </c>
      <c r="C193" s="381">
        <v>3544.5866666666666</v>
      </c>
      <c r="D193" s="284">
        <v>4375</v>
      </c>
      <c r="E193" s="284">
        <v>172.09333333333356</v>
      </c>
      <c r="F193" s="377">
        <f t="shared" si="36"/>
        <v>4547.093333333333</v>
      </c>
      <c r="G193" s="381">
        <v>4547</v>
      </c>
      <c r="H193" s="377">
        <f aca="true" t="shared" si="38" ref="H193:H198">SUM(F193-G193)</f>
        <v>0.09333333333324845</v>
      </c>
      <c r="J193" s="18"/>
      <c r="K193" s="18"/>
      <c r="L193" s="18"/>
      <c r="M193" s="18"/>
      <c r="N193" s="18"/>
      <c r="O193" s="18"/>
    </row>
    <row r="194" spans="1:15" s="14" customFormat="1" ht="12.75">
      <c r="A194" s="93" t="s">
        <v>179</v>
      </c>
      <c r="B194" s="381">
        <v>75</v>
      </c>
      <c r="C194" s="381">
        <v>0</v>
      </c>
      <c r="D194" s="284">
        <v>119.33333333333333</v>
      </c>
      <c r="E194" s="284">
        <v>639</v>
      </c>
      <c r="F194" s="377">
        <f t="shared" si="36"/>
        <v>758.3333333333334</v>
      </c>
      <c r="G194" s="381">
        <v>758.3333333333334</v>
      </c>
      <c r="H194" s="377">
        <f t="shared" si="38"/>
        <v>0</v>
      </c>
      <c r="J194" s="18"/>
      <c r="K194" s="18"/>
      <c r="L194" s="18"/>
      <c r="M194" s="18"/>
      <c r="N194" s="18"/>
      <c r="O194" s="18"/>
    </row>
    <row r="195" spans="1:15" s="14" customFormat="1" ht="12.75">
      <c r="A195" s="93" t="s">
        <v>173</v>
      </c>
      <c r="B195" s="381">
        <v>132580.83</v>
      </c>
      <c r="C195" s="381">
        <v>206333.21333333335</v>
      </c>
      <c r="D195" s="284">
        <v>290030.75333333336</v>
      </c>
      <c r="E195" s="284">
        <v>9878.246666666664</v>
      </c>
      <c r="F195" s="377">
        <f>SUM(D195:E195)</f>
        <v>299909</v>
      </c>
      <c r="G195" s="381">
        <v>299909</v>
      </c>
      <c r="H195" s="377">
        <f t="shared" si="38"/>
        <v>0</v>
      </c>
      <c r="J195" s="18"/>
      <c r="K195" s="18"/>
      <c r="L195" s="18"/>
      <c r="M195" s="18"/>
      <c r="N195" s="18"/>
      <c r="O195" s="18"/>
    </row>
    <row r="196" spans="1:15" s="14" customFormat="1" ht="12.75">
      <c r="A196" s="93" t="s">
        <v>174</v>
      </c>
      <c r="B196" s="381">
        <v>412.09666666666664</v>
      </c>
      <c r="C196" s="381">
        <v>138.93333333333334</v>
      </c>
      <c r="D196" s="284">
        <v>300.7133333333333</v>
      </c>
      <c r="E196" s="284">
        <v>399.2866666666667</v>
      </c>
      <c r="F196" s="377">
        <f t="shared" si="36"/>
        <v>700</v>
      </c>
      <c r="G196" s="381">
        <v>700</v>
      </c>
      <c r="H196" s="377">
        <f t="shared" si="38"/>
        <v>0</v>
      </c>
      <c r="J196" s="18"/>
      <c r="K196" s="18"/>
      <c r="L196" s="18"/>
      <c r="M196" s="18"/>
      <c r="N196" s="18"/>
      <c r="O196" s="18"/>
    </row>
    <row r="197" spans="1:15" s="14" customFormat="1" ht="12.75">
      <c r="A197" s="93" t="s">
        <v>175</v>
      </c>
      <c r="B197" s="396">
        <v>692202.07</v>
      </c>
      <c r="C197" s="396">
        <v>806355.53</v>
      </c>
      <c r="D197" s="289">
        <v>781501.3933333334</v>
      </c>
      <c r="E197" s="289">
        <v>206097.94</v>
      </c>
      <c r="F197" s="377">
        <f>SUM(D197:E197)</f>
        <v>987599.3333333335</v>
      </c>
      <c r="G197" s="381">
        <v>987599.3333333334</v>
      </c>
      <c r="H197" s="377">
        <f t="shared" si="38"/>
        <v>1.1641532182693481E-10</v>
      </c>
      <c r="J197" s="18"/>
      <c r="K197" s="18"/>
      <c r="L197" s="18"/>
      <c r="M197" s="18"/>
      <c r="N197" s="18"/>
      <c r="O197" s="18"/>
    </row>
    <row r="198" spans="1:15" s="14" customFormat="1" ht="12.75">
      <c r="A198" s="148" t="s">
        <v>176</v>
      </c>
      <c r="B198" s="397">
        <v>32065</v>
      </c>
      <c r="C198" s="397">
        <v>32011.666666666668</v>
      </c>
      <c r="D198" s="290">
        <v>26311.666666666668</v>
      </c>
      <c r="E198" s="290">
        <v>6021.666666666667</v>
      </c>
      <c r="F198" s="379">
        <f t="shared" si="36"/>
        <v>32333.333333333336</v>
      </c>
      <c r="G198" s="397">
        <v>32333.333333333332</v>
      </c>
      <c r="H198" s="379">
        <f t="shared" si="38"/>
        <v>3.637978807091713E-12</v>
      </c>
      <c r="J198" s="18"/>
      <c r="K198" s="18"/>
      <c r="L198" s="18"/>
      <c r="M198" s="18"/>
      <c r="N198" s="18"/>
      <c r="O198" s="18"/>
    </row>
    <row r="199" spans="1:8" s="14" customFormat="1" ht="12.75">
      <c r="A199" s="14" t="s">
        <v>7</v>
      </c>
      <c r="B199" s="379">
        <f aca="true" t="shared" si="39" ref="B199:G199">SUM(B192:B198)</f>
        <v>1271634.7333333334</v>
      </c>
      <c r="C199" s="379">
        <f t="shared" si="39"/>
        <v>1476328.3533333335</v>
      </c>
      <c r="D199" s="379">
        <f t="shared" si="39"/>
        <v>1516653.1666666667</v>
      </c>
      <c r="E199" s="379">
        <f t="shared" si="39"/>
        <v>300588.5666666667</v>
      </c>
      <c r="F199" s="379">
        <f t="shared" si="39"/>
        <v>1817241.7333333334</v>
      </c>
      <c r="G199" s="379">
        <f t="shared" si="39"/>
        <v>1796517.6666666667</v>
      </c>
      <c r="H199" s="379">
        <f>SUM(H192:H198)</f>
        <v>20724.066666666782</v>
      </c>
    </row>
    <row r="200" spans="2:8" s="14" customFormat="1" ht="12.75">
      <c r="B200" s="37"/>
      <c r="C200" s="37"/>
      <c r="D200" s="37"/>
      <c r="E200" s="37"/>
      <c r="F200" s="37"/>
      <c r="G200" s="37"/>
      <c r="H200" s="37"/>
    </row>
    <row r="201" spans="1:8" s="14" customFormat="1" ht="12.75">
      <c r="A201" s="113" t="s">
        <v>479</v>
      </c>
      <c r="B201" s="285"/>
      <c r="C201" s="37"/>
      <c r="D201" s="37"/>
      <c r="E201" s="93"/>
      <c r="F201" s="93"/>
      <c r="G201" s="93"/>
      <c r="H201" s="37"/>
    </row>
    <row r="202" spans="1:10" s="14" customFormat="1" ht="12.75">
      <c r="A202" s="14" t="s">
        <v>427</v>
      </c>
      <c r="B202" s="285"/>
      <c r="C202" s="37"/>
      <c r="D202" s="37"/>
      <c r="E202" s="93"/>
      <c r="F202" s="118" t="str">
        <f>$E$27</f>
        <v>Bi-Weekly PP posted 5/22/09</v>
      </c>
      <c r="G202" s="272">
        <v>1579</v>
      </c>
      <c r="H202" s="37"/>
      <c r="J202" s="217"/>
    </row>
    <row r="203" spans="2:8" s="14" customFormat="1" ht="12.75">
      <c r="B203" s="36"/>
      <c r="C203" s="36"/>
      <c r="D203" s="36"/>
      <c r="E203" s="36"/>
      <c r="F203" s="118" t="str">
        <f>$E$28</f>
        <v>Weekly PP posted 5/22/09</v>
      </c>
      <c r="G203" s="272">
        <v>5783</v>
      </c>
      <c r="H203" s="36"/>
    </row>
    <row r="204" spans="1:8" s="14" customFormat="1" ht="12.75">
      <c r="A204" s="93"/>
      <c r="B204" s="36"/>
      <c r="C204" s="36"/>
      <c r="D204" s="36"/>
      <c r="E204" s="36"/>
      <c r="F204" s="138" t="str">
        <f>F182</f>
        <v>Bi-Weekly Temps posted 5/22/09</v>
      </c>
      <c r="G204" s="272">
        <v>1463</v>
      </c>
      <c r="H204" s="36"/>
    </row>
    <row r="205" spans="2:8" s="14" customFormat="1" ht="12.75">
      <c r="B205" s="36"/>
      <c r="C205" s="36"/>
      <c r="D205" s="36"/>
      <c r="E205" s="36"/>
      <c r="F205" s="36"/>
      <c r="G205" s="36"/>
      <c r="H205" s="36"/>
    </row>
    <row r="206" spans="1:8" s="14" customFormat="1" ht="12.75">
      <c r="A206" s="1" t="s">
        <v>402</v>
      </c>
      <c r="B206" s="36"/>
      <c r="C206" s="36"/>
      <c r="D206" s="36"/>
      <c r="E206" s="36"/>
      <c r="F206" s="36"/>
      <c r="G206" s="36"/>
      <c r="H206" s="36"/>
    </row>
    <row r="207" spans="1:8" s="14" customFormat="1" ht="12.75">
      <c r="A207" s="97"/>
      <c r="B207" s="99" t="str">
        <f>$B$7</f>
        <v>6/30/07</v>
      </c>
      <c r="C207" s="99" t="str">
        <f>$C$7</f>
        <v>6/30/08</v>
      </c>
      <c r="D207" s="99" t="str">
        <f>$D$7</f>
        <v>Year to</v>
      </c>
      <c r="E207" s="98"/>
      <c r="F207" s="98"/>
      <c r="G207" s="98"/>
      <c r="H207" s="391"/>
    </row>
    <row r="208" spans="1:8" s="14" customFormat="1" ht="12.75">
      <c r="A208" s="102"/>
      <c r="B208" s="95" t="str">
        <f>$B$8</f>
        <v>FY07</v>
      </c>
      <c r="C208" s="95" t="str">
        <f>$C$8</f>
        <v>FY08</v>
      </c>
      <c r="D208" s="95" t="str">
        <f>$D$8</f>
        <v>Date</v>
      </c>
      <c r="E208" s="96" t="s">
        <v>8</v>
      </c>
      <c r="F208" s="96" t="s">
        <v>36</v>
      </c>
      <c r="G208" s="96" t="s">
        <v>113</v>
      </c>
      <c r="H208" s="392" t="s">
        <v>9</v>
      </c>
    </row>
    <row r="209" spans="1:9" s="14" customFormat="1" ht="12.75">
      <c r="A209" s="104" t="s">
        <v>10</v>
      </c>
      <c r="B209" s="105" t="str">
        <f>$B$9</f>
        <v>Audited</v>
      </c>
      <c r="C209" s="105" t="str">
        <f>$C$9</f>
        <v>Unaudited</v>
      </c>
      <c r="D209" s="201" t="str">
        <f>$D$9</f>
        <v>As of 4/30/09</v>
      </c>
      <c r="E209" s="105" t="str">
        <f>$E$9</f>
        <v>2 months</v>
      </c>
      <c r="F209" s="105" t="s">
        <v>29</v>
      </c>
      <c r="G209" s="105" t="s">
        <v>13</v>
      </c>
      <c r="H209" s="393" t="s">
        <v>14</v>
      </c>
      <c r="I209" s="177"/>
    </row>
    <row r="210" spans="1:15" s="14" customFormat="1" ht="12.75">
      <c r="A210" s="14" t="s">
        <v>2</v>
      </c>
      <c r="B210" s="372">
        <v>39035</v>
      </c>
      <c r="C210" s="372">
        <v>64965</v>
      </c>
      <c r="D210" s="272">
        <v>53706</v>
      </c>
      <c r="E210" s="377">
        <f>(G222*'Schedule 1 Summary'!$D$15)+(G223*'Schedule 1 Summary'!$D$18)+1000</f>
        <v>13319</v>
      </c>
      <c r="F210" s="377">
        <f>SUM(D210:E210)</f>
        <v>67025</v>
      </c>
      <c r="G210" s="381">
        <v>66885.66666666667</v>
      </c>
      <c r="H210" s="377">
        <f aca="true" t="shared" si="40" ref="H210:H219">SUM(F210-G210)</f>
        <v>139.33333333332848</v>
      </c>
      <c r="J210" s="18"/>
      <c r="K210" s="18"/>
      <c r="L210" s="18"/>
      <c r="M210" s="18"/>
      <c r="N210" s="18"/>
      <c r="O210" s="18"/>
    </row>
    <row r="211" spans="1:15" s="14" customFormat="1" ht="12.75">
      <c r="A211" s="14" t="s">
        <v>3</v>
      </c>
      <c r="B211" s="381">
        <v>1830.0033333333333</v>
      </c>
      <c r="C211" s="381">
        <v>2576.6966666666667</v>
      </c>
      <c r="D211" s="284">
        <v>1144.64</v>
      </c>
      <c r="E211" s="284">
        <v>1050</v>
      </c>
      <c r="F211" s="377">
        <f>SUM(D211:E211)</f>
        <v>2194.6400000000003</v>
      </c>
      <c r="G211" s="381">
        <v>3333.3333333333335</v>
      </c>
      <c r="H211" s="377">
        <f t="shared" si="40"/>
        <v>-1138.6933333333332</v>
      </c>
      <c r="J211" s="18"/>
      <c r="K211" s="18"/>
      <c r="L211" s="18"/>
      <c r="M211" s="18"/>
      <c r="N211" s="18"/>
      <c r="O211" s="18"/>
    </row>
    <row r="212" spans="1:15" s="14" customFormat="1" ht="12.75">
      <c r="A212" s="14" t="s">
        <v>4</v>
      </c>
      <c r="B212" s="381">
        <v>351.6666666666667</v>
      </c>
      <c r="C212" s="381">
        <v>451.6666666666667</v>
      </c>
      <c r="D212" s="284">
        <v>451.6666666666667</v>
      </c>
      <c r="E212" s="284">
        <v>0</v>
      </c>
      <c r="F212" s="377">
        <f>SUM(D212:E212)</f>
        <v>451.6666666666667</v>
      </c>
      <c r="G212" s="381">
        <v>451.6666666666667</v>
      </c>
      <c r="H212" s="377">
        <f t="shared" si="40"/>
        <v>0</v>
      </c>
      <c r="J212" s="18"/>
      <c r="K212" s="18"/>
      <c r="L212" s="18"/>
      <c r="M212" s="18"/>
      <c r="N212" s="18"/>
      <c r="O212" s="18"/>
    </row>
    <row r="213" spans="1:15" s="14" customFormat="1" ht="12.75">
      <c r="A213" s="14" t="s">
        <v>5</v>
      </c>
      <c r="B213" s="377">
        <f aca="true" t="shared" si="41" ref="B213:H213">SUM(B210:B212)</f>
        <v>41216.67</v>
      </c>
      <c r="C213" s="377">
        <f t="shared" si="41"/>
        <v>67993.36333333334</v>
      </c>
      <c r="D213" s="377">
        <f t="shared" si="41"/>
        <v>55302.306666666664</v>
      </c>
      <c r="E213" s="377">
        <f t="shared" si="41"/>
        <v>14369</v>
      </c>
      <c r="F213" s="377">
        <f t="shared" si="41"/>
        <v>69671.30666666667</v>
      </c>
      <c r="G213" s="377">
        <f t="shared" si="41"/>
        <v>70670.66666666667</v>
      </c>
      <c r="H213" s="377">
        <f t="shared" si="41"/>
        <v>-999.3600000000047</v>
      </c>
      <c r="J213" s="18"/>
      <c r="K213" s="18"/>
      <c r="L213" s="18"/>
      <c r="M213" s="18"/>
      <c r="N213" s="18"/>
      <c r="O213" s="18"/>
    </row>
    <row r="214" spans="1:15" s="14" customFormat="1" ht="12.75">
      <c r="A214" s="93" t="s">
        <v>178</v>
      </c>
      <c r="B214" s="381">
        <v>131.33333333333334</v>
      </c>
      <c r="C214" s="381">
        <v>0</v>
      </c>
      <c r="D214" s="284">
        <v>137.9</v>
      </c>
      <c r="E214" s="284">
        <v>2.1</v>
      </c>
      <c r="F214" s="377">
        <f aca="true" t="shared" si="42" ref="F214:F219">SUM(D214:E214)</f>
        <v>140</v>
      </c>
      <c r="G214" s="381">
        <v>140</v>
      </c>
      <c r="H214" s="377">
        <f t="shared" si="40"/>
        <v>0</v>
      </c>
      <c r="J214" s="18"/>
      <c r="K214" s="18"/>
      <c r="L214" s="18"/>
      <c r="M214" s="18"/>
      <c r="N214" s="18"/>
      <c r="O214" s="18"/>
    </row>
    <row r="215" spans="1:15" s="14" customFormat="1" ht="12.75">
      <c r="A215" s="93" t="s">
        <v>179</v>
      </c>
      <c r="B215" s="381">
        <v>32199.896666666667</v>
      </c>
      <c r="C215" s="381">
        <v>28312.433333333334</v>
      </c>
      <c r="D215" s="284">
        <v>19052.333333333332</v>
      </c>
      <c r="E215" s="284">
        <v>26381</v>
      </c>
      <c r="F215" s="377">
        <f t="shared" si="42"/>
        <v>45433.33333333333</v>
      </c>
      <c r="G215" s="381">
        <v>45433</v>
      </c>
      <c r="H215" s="377">
        <f t="shared" si="40"/>
        <v>0.3333333333284827</v>
      </c>
      <c r="J215" s="18"/>
      <c r="K215" s="18"/>
      <c r="L215" s="18"/>
      <c r="M215" s="18"/>
      <c r="N215" s="18"/>
      <c r="O215" s="18"/>
    </row>
    <row r="216" spans="1:15" s="14" customFormat="1" ht="12.75">
      <c r="A216" s="93" t="s">
        <v>173</v>
      </c>
      <c r="B216" s="381">
        <v>8973.016666666666</v>
      </c>
      <c r="C216" s="381">
        <v>8580.69</v>
      </c>
      <c r="D216" s="284">
        <v>6892.013333333333</v>
      </c>
      <c r="E216" s="284">
        <v>3851.986666666666</v>
      </c>
      <c r="F216" s="377">
        <f t="shared" si="42"/>
        <v>10744</v>
      </c>
      <c r="G216" s="381">
        <v>10744</v>
      </c>
      <c r="H216" s="377">
        <f t="shared" si="40"/>
        <v>0</v>
      </c>
      <c r="J216" s="18"/>
      <c r="K216" s="18"/>
      <c r="L216" s="18"/>
      <c r="M216" s="18"/>
      <c r="N216" s="18"/>
      <c r="O216" s="18"/>
    </row>
    <row r="217" spans="1:15" s="14" customFormat="1" ht="12.75">
      <c r="A217" s="93" t="s">
        <v>174</v>
      </c>
      <c r="B217" s="381">
        <v>176.87</v>
      </c>
      <c r="C217" s="381">
        <v>0</v>
      </c>
      <c r="D217" s="284">
        <v>103.29666666666667</v>
      </c>
      <c r="E217" s="284">
        <v>296.7033333333333</v>
      </c>
      <c r="F217" s="377">
        <f t="shared" si="42"/>
        <v>400</v>
      </c>
      <c r="G217" s="381">
        <v>400</v>
      </c>
      <c r="H217" s="377">
        <f t="shared" si="40"/>
        <v>0</v>
      </c>
      <c r="J217" s="18"/>
      <c r="K217" s="18"/>
      <c r="L217" s="18"/>
      <c r="M217" s="18"/>
      <c r="N217" s="18"/>
      <c r="O217" s="18"/>
    </row>
    <row r="218" spans="1:15" s="14" customFormat="1" ht="12.75">
      <c r="A218" s="93" t="s">
        <v>175</v>
      </c>
      <c r="B218" s="381">
        <v>11563.38</v>
      </c>
      <c r="C218" s="381">
        <v>12609.07</v>
      </c>
      <c r="D218" s="284">
        <v>12953</v>
      </c>
      <c r="E218" s="284">
        <v>6814</v>
      </c>
      <c r="F218" s="382">
        <f t="shared" si="42"/>
        <v>19767</v>
      </c>
      <c r="G218" s="381">
        <v>19767</v>
      </c>
      <c r="H218" s="377">
        <f>SUM(F218-G218)</f>
        <v>0</v>
      </c>
      <c r="J218" s="18"/>
      <c r="K218" s="18"/>
      <c r="L218" s="18"/>
      <c r="M218" s="18"/>
      <c r="N218" s="18"/>
      <c r="O218" s="18"/>
    </row>
    <row r="219" spans="1:15" s="14" customFormat="1" ht="12.75">
      <c r="A219" s="93" t="s">
        <v>180</v>
      </c>
      <c r="B219" s="381">
        <v>0</v>
      </c>
      <c r="C219" s="381">
        <v>26.666666666666668</v>
      </c>
      <c r="D219" s="284">
        <v>0</v>
      </c>
      <c r="E219" s="284">
        <v>33.333333333333336</v>
      </c>
      <c r="F219" s="377">
        <f t="shared" si="42"/>
        <v>33.333333333333336</v>
      </c>
      <c r="G219" s="381">
        <v>33.333333333333336</v>
      </c>
      <c r="H219" s="377">
        <f t="shared" si="40"/>
        <v>0</v>
      </c>
      <c r="J219" s="18"/>
      <c r="K219" s="18"/>
      <c r="L219" s="18"/>
      <c r="M219" s="18"/>
      <c r="N219" s="18"/>
      <c r="O219" s="18"/>
    </row>
    <row r="220" spans="1:8" s="14" customFormat="1" ht="12.75">
      <c r="A220" s="14" t="s">
        <v>7</v>
      </c>
      <c r="B220" s="395">
        <f aca="true" t="shared" si="43" ref="B220:G220">SUM(B213:B219)</f>
        <v>94261.16666666666</v>
      </c>
      <c r="C220" s="395">
        <f t="shared" si="43"/>
        <v>117522.22333333334</v>
      </c>
      <c r="D220" s="395">
        <f t="shared" si="43"/>
        <v>94440.84999999999</v>
      </c>
      <c r="E220" s="395">
        <f t="shared" si="43"/>
        <v>51748.12333333333</v>
      </c>
      <c r="F220" s="395">
        <f t="shared" si="43"/>
        <v>146188.97333333336</v>
      </c>
      <c r="G220" s="395">
        <f t="shared" si="43"/>
        <v>147188.00000000003</v>
      </c>
      <c r="H220" s="395">
        <f>SUM(H213:H219)</f>
        <v>-999.0266666666762</v>
      </c>
    </row>
    <row r="221" spans="2:8" s="14" customFormat="1" ht="12.75">
      <c r="B221" s="37"/>
      <c r="C221" s="37"/>
      <c r="D221" s="37"/>
      <c r="E221" s="37"/>
      <c r="F221" s="17"/>
      <c r="G221" s="37"/>
      <c r="H221" s="17"/>
    </row>
    <row r="222" spans="1:8" s="14" customFormat="1" ht="12.75">
      <c r="A222" s="14" t="s">
        <v>505</v>
      </c>
      <c r="B222" s="285"/>
      <c r="C222" s="37"/>
      <c r="D222" s="37"/>
      <c r="F222" s="118" t="str">
        <f>$E$27</f>
        <v>Bi-Weekly PP posted 5/22/09</v>
      </c>
      <c r="G222" s="272">
        <v>1409</v>
      </c>
      <c r="H222" s="17"/>
    </row>
    <row r="223" spans="1:8" s="14" customFormat="1" ht="12.75">
      <c r="A223" s="113" t="s">
        <v>479</v>
      </c>
      <c r="B223" s="285"/>
      <c r="C223" s="37"/>
      <c r="D223" s="37"/>
      <c r="F223" s="118" t="str">
        <f>$E$28</f>
        <v>Weekly PP posted 5/22/09</v>
      </c>
      <c r="G223" s="272">
        <v>586</v>
      </c>
      <c r="H223" s="17"/>
    </row>
    <row r="224" spans="2:8" s="14" customFormat="1" ht="12.75">
      <c r="B224" s="37"/>
      <c r="C224" s="37"/>
      <c r="D224" s="37"/>
      <c r="G224" s="37"/>
      <c r="H224" s="17"/>
    </row>
    <row r="225" spans="2:8" s="14" customFormat="1" ht="12.75">
      <c r="B225" s="37"/>
      <c r="C225" s="37"/>
      <c r="D225" s="37"/>
      <c r="G225" s="37"/>
      <c r="H225" s="17"/>
    </row>
    <row r="226" spans="2:8" s="14" customFormat="1" ht="12.75">
      <c r="B226" s="41"/>
      <c r="C226" s="537" t="s">
        <v>552</v>
      </c>
      <c r="D226" s="21"/>
      <c r="E226" s="521"/>
      <c r="F226" s="521"/>
      <c r="G226" s="37"/>
      <c r="H226" s="17"/>
    </row>
    <row r="227" spans="2:8" s="14" customFormat="1" ht="12.75">
      <c r="B227" s="41"/>
      <c r="C227" s="7"/>
      <c r="D227" s="21"/>
      <c r="E227" s="521"/>
      <c r="F227" s="521"/>
      <c r="G227" s="37"/>
      <c r="H227" s="17"/>
    </row>
    <row r="228" spans="2:8" s="14" customFormat="1" ht="12.75">
      <c r="B228" s="41"/>
      <c r="C228" s="504" t="s">
        <v>553</v>
      </c>
      <c r="D228" s="21"/>
      <c r="E228" s="521"/>
      <c r="F228" s="521"/>
      <c r="G228" s="37"/>
      <c r="H228" s="17"/>
    </row>
    <row r="229" spans="2:8" s="14" customFormat="1" ht="12.75">
      <c r="B229" s="41"/>
      <c r="C229" s="505"/>
      <c r="D229" s="21"/>
      <c r="E229" s="521"/>
      <c r="F229" s="521"/>
      <c r="G229" s="37"/>
      <c r="H229" s="17"/>
    </row>
    <row r="230" spans="2:8" s="14" customFormat="1" ht="25.5">
      <c r="B230" s="41"/>
      <c r="C230" s="506" t="s">
        <v>554</v>
      </c>
      <c r="D230" s="21"/>
      <c r="E230" s="521"/>
      <c r="F230" s="521"/>
      <c r="G230" s="37"/>
      <c r="H230" s="17"/>
    </row>
    <row r="231" spans="2:8" s="14" customFormat="1" ht="12.75">
      <c r="B231" s="41"/>
      <c r="C231" s="505"/>
      <c r="D231" s="21"/>
      <c r="E231" s="521"/>
      <c r="F231" s="521"/>
      <c r="G231" s="37"/>
      <c r="H231" s="17"/>
    </row>
    <row r="232" spans="2:8" s="14" customFormat="1" ht="25.5">
      <c r="B232" s="41"/>
      <c r="C232" s="507" t="s">
        <v>555</v>
      </c>
      <c r="D232" s="21"/>
      <c r="E232" s="521"/>
      <c r="F232" s="521"/>
      <c r="G232" s="37"/>
      <c r="H232" s="17"/>
    </row>
    <row r="233" spans="2:8" s="14" customFormat="1" ht="12.75">
      <c r="B233" s="41"/>
      <c r="C233" s="79"/>
      <c r="D233" s="21"/>
      <c r="E233" s="521"/>
      <c r="F233" s="521"/>
      <c r="G233" s="37"/>
      <c r="H233" s="17"/>
    </row>
    <row r="234" spans="2:8" s="14" customFormat="1" ht="25.5">
      <c r="B234" s="41"/>
      <c r="C234" s="508" t="s">
        <v>556</v>
      </c>
      <c r="D234" s="21"/>
      <c r="E234" s="521"/>
      <c r="F234" s="521"/>
      <c r="G234" s="37"/>
      <c r="H234" s="17"/>
    </row>
    <row r="235" spans="2:8" s="14" customFormat="1" ht="12.75">
      <c r="B235" s="37"/>
      <c r="C235" s="37"/>
      <c r="D235" s="37"/>
      <c r="G235" s="37"/>
      <c r="H235" s="17"/>
    </row>
    <row r="236" spans="2:8" s="14" customFormat="1" ht="12.75">
      <c r="B236" s="37"/>
      <c r="C236" s="37"/>
      <c r="D236" s="37"/>
      <c r="E236" s="37"/>
      <c r="F236" s="17"/>
      <c r="G236" s="37"/>
      <c r="H236" s="17"/>
    </row>
    <row r="238" spans="2:6" ht="12.75">
      <c r="B238" s="7"/>
      <c r="C238" s="7"/>
      <c r="D238" s="7"/>
      <c r="E238" s="7"/>
      <c r="F238" s="7"/>
    </row>
    <row r="239" spans="2:6" ht="12.75">
      <c r="B239" s="7"/>
      <c r="C239" s="7"/>
      <c r="D239" s="7"/>
      <c r="E239" s="7"/>
      <c r="F239" s="7"/>
    </row>
    <row r="240" spans="2:6" ht="12.75">
      <c r="B240" s="7"/>
      <c r="C240" s="7"/>
      <c r="D240" s="7"/>
      <c r="E240" s="7"/>
      <c r="F240" s="7"/>
    </row>
    <row r="241" spans="2:6" ht="12.75">
      <c r="B241" s="7"/>
      <c r="C241" s="7"/>
      <c r="D241" s="7"/>
      <c r="E241" s="7"/>
      <c r="F241" s="7"/>
    </row>
    <row r="242" spans="2:6" ht="12.75">
      <c r="B242" s="7"/>
      <c r="C242" s="7"/>
      <c r="D242" s="7"/>
      <c r="E242" s="7"/>
      <c r="F242" s="7"/>
    </row>
    <row r="243" spans="2:6" ht="12.75">
      <c r="B243" s="7"/>
      <c r="C243" s="7"/>
      <c r="D243" s="7"/>
      <c r="E243" s="7"/>
      <c r="F243" s="7"/>
    </row>
    <row r="244" spans="2:6" ht="12.75">
      <c r="B244" s="7"/>
      <c r="C244" s="7"/>
      <c r="D244" s="7"/>
      <c r="E244" s="7"/>
      <c r="F244" s="7"/>
    </row>
    <row r="245" spans="2:6" ht="12.75">
      <c r="B245" s="7"/>
      <c r="C245" s="7"/>
      <c r="D245" s="7"/>
      <c r="E245" s="7"/>
      <c r="F245" s="7"/>
    </row>
    <row r="246" spans="2:6" ht="14.25">
      <c r="B246" s="531"/>
      <c r="C246" s="79"/>
      <c r="D246" s="21"/>
      <c r="E246" s="532"/>
      <c r="F246" s="532"/>
    </row>
    <row r="247" spans="2:6" ht="12.75">
      <c r="B247" s="7"/>
      <c r="C247" s="7"/>
      <c r="D247" s="7"/>
      <c r="E247" s="7"/>
      <c r="F247" s="7"/>
    </row>
    <row r="250" spans="2:8" s="14" customFormat="1" ht="12.75">
      <c r="B250" s="36"/>
      <c r="C250" s="36"/>
      <c r="D250" s="36"/>
      <c r="E250" s="36"/>
      <c r="F250" s="13"/>
      <c r="G250" s="36"/>
      <c r="H250" s="13"/>
    </row>
    <row r="251" ht="12.75">
      <c r="A251" s="139"/>
    </row>
  </sheetData>
  <printOptions horizontalCentered="1"/>
  <pageMargins left="0.18" right="0.16" top="0.61" bottom="0.43" header="0.5" footer="0.31"/>
  <pageSetup horizontalDpi="600" verticalDpi="600" orientation="landscape" scale="95" r:id="rId1"/>
  <headerFooter alignWithMargins="0">
    <oddFooter>&amp;L&amp;D&amp;R&amp;A</oddFooter>
  </headerFooter>
  <rowBreaks count="5" manualBreakCount="5">
    <brk id="34" max="255" man="1"/>
    <brk id="78" max="255" man="1"/>
    <brk id="120" max="255" man="1"/>
    <brk id="162" max="255" man="1"/>
    <brk id="2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75" zoomScaleNormal="75" workbookViewId="0" topLeftCell="A1">
      <pane xSplit="2" ySplit="8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51" sqref="L51"/>
    </sheetView>
  </sheetViews>
  <sheetFormatPr defaultColWidth="9.140625" defaultRowHeight="12.75"/>
  <cols>
    <col min="2" max="2" width="6.57421875" style="0" customWidth="1"/>
    <col min="3" max="3" width="13.7109375" style="0" customWidth="1"/>
    <col min="4" max="4" width="13.421875" style="139" customWidth="1"/>
    <col min="5" max="5" width="13.00390625" style="0" customWidth="1"/>
    <col min="6" max="6" width="13.421875" style="139" customWidth="1"/>
    <col min="7" max="7" width="12.8515625" style="0" customWidth="1"/>
    <col min="8" max="8" width="13.00390625" style="139" customWidth="1"/>
    <col min="9" max="9" width="14.28125" style="0" customWidth="1"/>
    <col min="10" max="10" width="15.28125" style="139" customWidth="1"/>
    <col min="11" max="11" width="16.28125" style="0" customWidth="1"/>
    <col min="12" max="12" width="13.57421875" style="139" customWidth="1"/>
    <col min="13" max="13" width="13.28125" style="0" customWidth="1"/>
    <col min="14" max="14" width="14.421875" style="139" customWidth="1"/>
    <col min="15" max="15" width="17.7109375" style="0" customWidth="1"/>
    <col min="16" max="16" width="14.421875" style="0" bestFit="1" customWidth="1"/>
    <col min="17" max="17" width="11.8515625" style="0" bestFit="1" customWidth="1"/>
    <col min="20" max="20" width="15.8515625" style="0" customWidth="1"/>
  </cols>
  <sheetData>
    <row r="1" spans="1:14" ht="20.25">
      <c r="A1" s="1" t="s">
        <v>321</v>
      </c>
      <c r="F1" s="197"/>
      <c r="G1" s="269" t="s">
        <v>372</v>
      </c>
      <c r="I1" s="22"/>
      <c r="J1" s="142"/>
      <c r="K1" s="142"/>
      <c r="L1" s="142"/>
      <c r="M1" s="142"/>
      <c r="N1" s="192"/>
    </row>
    <row r="2" spans="1:14" ht="12.75">
      <c r="A2" s="1"/>
      <c r="J2" s="142"/>
      <c r="K2" s="142"/>
      <c r="L2" s="142"/>
      <c r="M2" s="142"/>
      <c r="N2" s="232"/>
    </row>
    <row r="3" spans="1:14" ht="12.75">
      <c r="A3" s="1" t="s">
        <v>344</v>
      </c>
      <c r="J3" s="142"/>
      <c r="K3" s="142"/>
      <c r="L3" s="142"/>
      <c r="M3" s="142"/>
      <c r="N3" s="142"/>
    </row>
    <row r="4" spans="1:14" ht="12.75">
      <c r="A4" s="1"/>
      <c r="C4" s="135"/>
      <c r="D4" s="192"/>
      <c r="F4" s="139" t="s">
        <v>155</v>
      </c>
      <c r="J4" s="231"/>
      <c r="K4" s="231"/>
      <c r="L4" s="231"/>
      <c r="M4" s="231"/>
      <c r="N4" s="231"/>
    </row>
    <row r="5" spans="3:13" ht="12.75">
      <c r="C5" s="33"/>
      <c r="D5" s="160"/>
      <c r="E5" s="6"/>
      <c r="F5" s="193"/>
      <c r="G5" s="6"/>
      <c r="H5" s="193"/>
      <c r="I5" s="6"/>
      <c r="J5" s="193"/>
      <c r="K5" s="6"/>
      <c r="L5" s="193"/>
      <c r="M5" s="6"/>
    </row>
    <row r="6" spans="3:14" s="125" customFormat="1" ht="12.75">
      <c r="C6" s="126" t="s">
        <v>268</v>
      </c>
      <c r="D6" s="126"/>
      <c r="E6" s="126" t="s">
        <v>269</v>
      </c>
      <c r="F6" s="126"/>
      <c r="G6" s="126" t="s">
        <v>270</v>
      </c>
      <c r="H6" s="126"/>
      <c r="I6" s="126" t="s">
        <v>271</v>
      </c>
      <c r="J6" s="126"/>
      <c r="K6" s="126" t="s">
        <v>272</v>
      </c>
      <c r="L6" s="126"/>
      <c r="M6" s="126" t="s">
        <v>17</v>
      </c>
      <c r="N6" s="126" t="s">
        <v>17</v>
      </c>
    </row>
    <row r="7" spans="3:14" s="125" customFormat="1" ht="12.75">
      <c r="C7" s="126" t="s">
        <v>156</v>
      </c>
      <c r="D7" s="126" t="s">
        <v>157</v>
      </c>
      <c r="E7" s="126" t="s">
        <v>156</v>
      </c>
      <c r="F7" s="126" t="s">
        <v>157</v>
      </c>
      <c r="G7" s="126" t="s">
        <v>156</v>
      </c>
      <c r="H7" s="126" t="s">
        <v>157</v>
      </c>
      <c r="I7" s="126" t="s">
        <v>156</v>
      </c>
      <c r="J7" s="126" t="s">
        <v>157</v>
      </c>
      <c r="K7" s="126" t="s">
        <v>156</v>
      </c>
      <c r="L7" s="126" t="s">
        <v>157</v>
      </c>
      <c r="M7" s="126" t="s">
        <v>213</v>
      </c>
      <c r="N7" s="126" t="s">
        <v>213</v>
      </c>
    </row>
    <row r="8" spans="1:14" s="125" customFormat="1" ht="12.75">
      <c r="A8" s="127" t="s">
        <v>158</v>
      </c>
      <c r="C8" s="128" t="s">
        <v>293</v>
      </c>
      <c r="D8" s="128" t="s">
        <v>320</v>
      </c>
      <c r="E8" s="128" t="str">
        <f>C8</f>
        <v>FY 07-08</v>
      </c>
      <c r="F8" s="128" t="str">
        <f>D8</f>
        <v>FY 08-09</v>
      </c>
      <c r="G8" s="128" t="str">
        <f>C8</f>
        <v>FY 07-08</v>
      </c>
      <c r="H8" s="128" t="str">
        <f>D8</f>
        <v>FY 08-09</v>
      </c>
      <c r="I8" s="128" t="str">
        <f>C8</f>
        <v>FY 07-08</v>
      </c>
      <c r="J8" s="128" t="str">
        <f>D8</f>
        <v>FY 08-09</v>
      </c>
      <c r="K8" s="128" t="str">
        <f>C8</f>
        <v>FY 07-08</v>
      </c>
      <c r="L8" s="128" t="str">
        <f>D8</f>
        <v>FY 08-09</v>
      </c>
      <c r="M8" s="128" t="str">
        <f>C8</f>
        <v>FY 07-08</v>
      </c>
      <c r="N8" s="128" t="str">
        <f>D8</f>
        <v>FY 08-09</v>
      </c>
    </row>
    <row r="9" spans="1:14" s="139" customFormat="1" ht="12.75">
      <c r="A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25" ht="12.75">
      <c r="A10" t="s">
        <v>18</v>
      </c>
      <c r="C10" s="348">
        <v>28513161.99</v>
      </c>
      <c r="D10" s="400">
        <v>32382666.993333336</v>
      </c>
      <c r="E10" s="348">
        <v>147291.46333333335</v>
      </c>
      <c r="F10" s="400">
        <v>165432.27</v>
      </c>
      <c r="G10" s="348">
        <v>0</v>
      </c>
      <c r="H10" s="400">
        <v>0</v>
      </c>
      <c r="I10" s="348">
        <v>5263.13</v>
      </c>
      <c r="J10" s="400">
        <v>4593.746666666667</v>
      </c>
      <c r="K10" s="348">
        <v>42914.13</v>
      </c>
      <c r="L10" s="400">
        <v>42408.91333333334</v>
      </c>
      <c r="M10" s="353">
        <f aca="true" t="shared" si="0" ref="M10:M19">C10+E10+G10+I10+K10</f>
        <v>28708630.71333333</v>
      </c>
      <c r="N10" s="353">
        <f aca="true" t="shared" si="1" ref="N10:N19">D10+F10+H10+J10+L10</f>
        <v>32595101.923333336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2.75">
      <c r="A11" t="s">
        <v>159</v>
      </c>
      <c r="C11" s="348">
        <v>7140362.81</v>
      </c>
      <c r="D11" s="400">
        <v>5980445.286666666</v>
      </c>
      <c r="E11" s="348">
        <v>238626.05</v>
      </c>
      <c r="F11" s="400">
        <v>247667.93666666668</v>
      </c>
      <c r="G11" s="348">
        <v>0</v>
      </c>
      <c r="H11" s="400">
        <v>0</v>
      </c>
      <c r="I11" s="348">
        <v>29124.333333333332</v>
      </c>
      <c r="J11" s="400">
        <v>21242.55</v>
      </c>
      <c r="K11" s="348">
        <v>72046.86333333333</v>
      </c>
      <c r="L11" s="400">
        <v>52947.003333333334</v>
      </c>
      <c r="M11" s="377">
        <f t="shared" si="0"/>
        <v>7480160.056666666</v>
      </c>
      <c r="N11" s="377">
        <f t="shared" si="1"/>
        <v>6302302.776666665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2.75">
      <c r="A12" t="s">
        <v>19</v>
      </c>
      <c r="C12" s="348">
        <v>943217.4833333334</v>
      </c>
      <c r="D12" s="400">
        <v>817499.8533333334</v>
      </c>
      <c r="E12" s="348">
        <v>128040.39333333333</v>
      </c>
      <c r="F12" s="400">
        <v>173401.94666666668</v>
      </c>
      <c r="G12" s="348">
        <v>0</v>
      </c>
      <c r="H12" s="400">
        <v>0</v>
      </c>
      <c r="I12" s="348">
        <v>21943.49666666667</v>
      </c>
      <c r="J12" s="400">
        <v>23049.52666666667</v>
      </c>
      <c r="K12" s="348">
        <v>31786.396666666667</v>
      </c>
      <c r="L12" s="400">
        <v>43008.68666666667</v>
      </c>
      <c r="M12" s="377">
        <f t="shared" si="0"/>
        <v>1124987.77</v>
      </c>
      <c r="N12" s="377">
        <f t="shared" si="1"/>
        <v>1056960.0133333334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2.75">
      <c r="A13" t="s">
        <v>20</v>
      </c>
      <c r="C13" s="348">
        <v>499519.52</v>
      </c>
      <c r="D13" s="400">
        <v>557113.8833333333</v>
      </c>
      <c r="E13" s="348">
        <v>145532.03666666665</v>
      </c>
      <c r="F13" s="400">
        <v>146147.48</v>
      </c>
      <c r="G13" s="348">
        <v>0</v>
      </c>
      <c r="H13" s="400">
        <v>0</v>
      </c>
      <c r="I13" s="348">
        <v>20680.666666666668</v>
      </c>
      <c r="J13" s="400">
        <v>20983.34</v>
      </c>
      <c r="K13" s="348">
        <v>89405.33333333333</v>
      </c>
      <c r="L13" s="400">
        <v>45392.94</v>
      </c>
      <c r="M13" s="377">
        <f t="shared" si="0"/>
        <v>755137.5566666666</v>
      </c>
      <c r="N13" s="377">
        <f t="shared" si="1"/>
        <v>769637.6433333333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2.75">
      <c r="A14" t="s">
        <v>21</v>
      </c>
      <c r="C14" s="348">
        <v>525440.5833333334</v>
      </c>
      <c r="D14" s="400">
        <v>506319.42333333334</v>
      </c>
      <c r="E14" s="348">
        <v>139881.99333333332</v>
      </c>
      <c r="F14" s="400">
        <v>71171.72333333334</v>
      </c>
      <c r="G14" s="348">
        <v>0</v>
      </c>
      <c r="H14" s="400">
        <v>0</v>
      </c>
      <c r="I14" s="348">
        <v>13985.286666666667</v>
      </c>
      <c r="J14" s="400">
        <v>16721.333333333332</v>
      </c>
      <c r="K14" s="348">
        <v>40401</v>
      </c>
      <c r="L14" s="400">
        <v>26485.593333333334</v>
      </c>
      <c r="M14" s="377">
        <f t="shared" si="0"/>
        <v>719708.8633333333</v>
      </c>
      <c r="N14" s="377">
        <f t="shared" si="1"/>
        <v>620698.0733333335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2.75">
      <c r="A15" t="s">
        <v>22</v>
      </c>
      <c r="C15" s="348">
        <v>3131579.566666667</v>
      </c>
      <c r="D15" s="400">
        <v>3314643.3666666667</v>
      </c>
      <c r="E15" s="348">
        <v>79277.47666666667</v>
      </c>
      <c r="F15" s="400">
        <v>58325.72666666666</v>
      </c>
      <c r="G15" s="348">
        <v>10874.233333333334</v>
      </c>
      <c r="H15" s="400">
        <v>1555</v>
      </c>
      <c r="I15" s="348">
        <v>16000.303333333331</v>
      </c>
      <c r="J15" s="400">
        <v>16395.09</v>
      </c>
      <c r="K15" s="348">
        <v>30625.953333333335</v>
      </c>
      <c r="L15" s="400">
        <v>25697.566666666666</v>
      </c>
      <c r="M15" s="377">
        <f t="shared" si="0"/>
        <v>3268357.533333333</v>
      </c>
      <c r="N15" s="377">
        <f t="shared" si="1"/>
        <v>3416616.75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4" customFormat="1" ht="12.75">
      <c r="A16" s="14" t="s">
        <v>23</v>
      </c>
      <c r="C16" s="348">
        <v>15994876.533333333</v>
      </c>
      <c r="D16" s="400">
        <v>17592117.44666667</v>
      </c>
      <c r="E16" s="348">
        <v>70432.97333333334</v>
      </c>
      <c r="F16" s="400">
        <v>87716.76</v>
      </c>
      <c r="G16" s="348">
        <v>422566.81666666665</v>
      </c>
      <c r="H16" s="400">
        <v>319225.85</v>
      </c>
      <c r="I16" s="348">
        <v>20248.443333333333</v>
      </c>
      <c r="J16" s="400">
        <v>22628.77</v>
      </c>
      <c r="K16" s="348">
        <v>28541.73</v>
      </c>
      <c r="L16" s="400">
        <v>33430.65</v>
      </c>
      <c r="M16" s="377">
        <f t="shared" si="0"/>
        <v>16536666.496666666</v>
      </c>
      <c r="N16" s="377">
        <f t="shared" si="1"/>
        <v>18055119.47666667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2.75">
      <c r="A17" t="s">
        <v>24</v>
      </c>
      <c r="C17" s="348">
        <v>3586388.096666666</v>
      </c>
      <c r="D17" s="400">
        <v>4348218.126666667</v>
      </c>
      <c r="E17" s="348">
        <v>106411.15</v>
      </c>
      <c r="F17" s="400">
        <v>132481.30333333332</v>
      </c>
      <c r="G17" s="348">
        <v>164288.36333333334</v>
      </c>
      <c r="H17" s="400">
        <v>100283.92</v>
      </c>
      <c r="I17" s="348">
        <v>29177.16</v>
      </c>
      <c r="J17" s="400">
        <v>40617.99</v>
      </c>
      <c r="K17" s="348">
        <v>39785.29</v>
      </c>
      <c r="L17" s="400">
        <v>44701.84333333333</v>
      </c>
      <c r="M17" s="377">
        <f t="shared" si="0"/>
        <v>3926050.0599999996</v>
      </c>
      <c r="N17" s="377">
        <f t="shared" si="1"/>
        <v>4666303.1833333345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2.75">
      <c r="A18" t="s">
        <v>25</v>
      </c>
      <c r="C18" s="348">
        <v>1257141.25</v>
      </c>
      <c r="D18" s="400">
        <v>1067500.56</v>
      </c>
      <c r="E18" s="348">
        <v>95988.38666666666</v>
      </c>
      <c r="F18" s="400">
        <v>164150.32333333333</v>
      </c>
      <c r="G18" s="348">
        <v>108539.38</v>
      </c>
      <c r="H18" s="400">
        <v>77101.59</v>
      </c>
      <c r="I18" s="348">
        <v>76015.75</v>
      </c>
      <c r="J18" s="400">
        <v>65341.51666666666</v>
      </c>
      <c r="K18" s="348">
        <v>96239.6</v>
      </c>
      <c r="L18" s="400">
        <v>52883.46333333334</v>
      </c>
      <c r="M18" s="377">
        <f t="shared" si="0"/>
        <v>1633924.3666666667</v>
      </c>
      <c r="N18" s="377">
        <f t="shared" si="1"/>
        <v>1426977.4533333334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2.75">
      <c r="A19" t="s">
        <v>26</v>
      </c>
      <c r="C19" s="348">
        <v>459660.62666666665</v>
      </c>
      <c r="D19" s="400">
        <v>429417.48</v>
      </c>
      <c r="E19" s="348">
        <v>76876.19</v>
      </c>
      <c r="F19" s="400">
        <v>65995.76333333334</v>
      </c>
      <c r="G19" s="348">
        <v>37331.88</v>
      </c>
      <c r="H19" s="400">
        <v>21197.903333333332</v>
      </c>
      <c r="I19" s="348">
        <v>40726.76</v>
      </c>
      <c r="J19" s="400">
        <v>42251.28333333333</v>
      </c>
      <c r="K19" s="348">
        <v>40295.34</v>
      </c>
      <c r="L19" s="400">
        <v>37933.23666666667</v>
      </c>
      <c r="M19" s="353">
        <f t="shared" si="0"/>
        <v>654890.7966666666</v>
      </c>
      <c r="N19" s="377">
        <f t="shared" si="1"/>
        <v>596795.6666666666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16" ht="12.75">
      <c r="A20" t="s">
        <v>282</v>
      </c>
      <c r="C20" s="398">
        <f>SUM(C10:C19)</f>
        <v>62051348.46</v>
      </c>
      <c r="D20" s="398">
        <f aca="true" t="shared" si="2" ref="D20:N20">SUM(D10:D19)</f>
        <v>66995942.419999994</v>
      </c>
      <c r="E20" s="398">
        <f t="shared" si="2"/>
        <v>1228358.1133333333</v>
      </c>
      <c r="F20" s="398">
        <f t="shared" si="2"/>
        <v>1312491.2333333334</v>
      </c>
      <c r="G20" s="398">
        <f t="shared" si="2"/>
        <v>743600.6733333333</v>
      </c>
      <c r="H20" s="398">
        <f t="shared" si="2"/>
        <v>519364.2633333333</v>
      </c>
      <c r="I20" s="398">
        <f t="shared" si="2"/>
        <v>273165.33</v>
      </c>
      <c r="J20" s="398">
        <f t="shared" si="2"/>
        <v>273825.14666666667</v>
      </c>
      <c r="K20" s="398">
        <f t="shared" si="2"/>
        <v>512041.6366666666</v>
      </c>
      <c r="L20" s="398">
        <f t="shared" si="2"/>
        <v>404889.89666666667</v>
      </c>
      <c r="M20" s="398">
        <f t="shared" si="2"/>
        <v>64808514.21333333</v>
      </c>
      <c r="N20" s="398">
        <f t="shared" si="2"/>
        <v>69506512.96000001</v>
      </c>
      <c r="P20" s="22"/>
    </row>
    <row r="21" spans="3:16" ht="12.75">
      <c r="C21" s="40"/>
      <c r="D21" s="40"/>
      <c r="E21" s="36"/>
      <c r="F21" s="36"/>
      <c r="G21" s="36"/>
      <c r="H21" s="36"/>
      <c r="I21" s="36"/>
      <c r="J21" s="36"/>
      <c r="K21" s="36"/>
      <c r="L21" s="36"/>
      <c r="M21" s="13"/>
      <c r="N21" s="36"/>
      <c r="P21" s="22"/>
    </row>
    <row r="22" spans="1:25" ht="12.75">
      <c r="A22" t="s">
        <v>27</v>
      </c>
      <c r="C22" s="348">
        <v>233326.58666666667</v>
      </c>
      <c r="D22" s="401">
        <v>200000</v>
      </c>
      <c r="E22" s="348">
        <v>41116.35333333333</v>
      </c>
      <c r="F22" s="401">
        <v>66666.66666666667</v>
      </c>
      <c r="G22" s="348">
        <v>21674.8</v>
      </c>
      <c r="H22" s="401">
        <v>11666.666666666666</v>
      </c>
      <c r="I22" s="348">
        <v>30003.24666666667</v>
      </c>
      <c r="J22" s="401">
        <v>28333.333333333332</v>
      </c>
      <c r="K22" s="348">
        <v>22905.903333333335</v>
      </c>
      <c r="L22" s="401">
        <v>15000</v>
      </c>
      <c r="M22" s="353">
        <f>C22+E22+G22+I22+K22</f>
        <v>349026.88999999996</v>
      </c>
      <c r="N22" s="402">
        <f>D22+F22+H22+J22+L22</f>
        <v>321666.6666666667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139" customFormat="1" ht="12.75">
      <c r="A23" s="139" t="s">
        <v>28</v>
      </c>
      <c r="C23" s="348">
        <v>293641.48333333334</v>
      </c>
      <c r="D23" s="401">
        <v>166666.66666666666</v>
      </c>
      <c r="E23" s="348">
        <v>30294.42</v>
      </c>
      <c r="F23" s="401">
        <v>30000</v>
      </c>
      <c r="G23" s="348">
        <v>26012</v>
      </c>
      <c r="H23" s="401">
        <v>11666.666666666666</v>
      </c>
      <c r="I23" s="348">
        <v>35115.15</v>
      </c>
      <c r="J23" s="401">
        <v>33333.333333333336</v>
      </c>
      <c r="K23" s="348">
        <v>2797.6666666666665</v>
      </c>
      <c r="L23" s="401">
        <v>16666.666666666668</v>
      </c>
      <c r="M23" s="377">
        <f>C23+E23+G23+I23+K23</f>
        <v>387860.72000000003</v>
      </c>
      <c r="N23" s="402">
        <f>D23+F23+H23+J23+L23</f>
        <v>258333.3333333333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16" ht="12.75">
      <c r="A24" t="s">
        <v>282</v>
      </c>
      <c r="C24" s="398">
        <f>SUM(C22:C23)</f>
        <v>526968.0700000001</v>
      </c>
      <c r="D24" s="399">
        <f aca="true" t="shared" si="3" ref="D24:N24">SUM(D22:D23)</f>
        <v>366666.6666666666</v>
      </c>
      <c r="E24" s="398">
        <f t="shared" si="3"/>
        <v>71410.77333333333</v>
      </c>
      <c r="F24" s="399">
        <f t="shared" si="3"/>
        <v>96666.66666666667</v>
      </c>
      <c r="G24" s="398">
        <f t="shared" si="3"/>
        <v>47686.8</v>
      </c>
      <c r="H24" s="399">
        <f t="shared" si="3"/>
        <v>23333.333333333332</v>
      </c>
      <c r="I24" s="398">
        <f t="shared" si="3"/>
        <v>65118.39666666667</v>
      </c>
      <c r="J24" s="399">
        <f t="shared" si="3"/>
        <v>61666.66666666667</v>
      </c>
      <c r="K24" s="398">
        <f t="shared" si="3"/>
        <v>25703.570000000003</v>
      </c>
      <c r="L24" s="399">
        <f t="shared" si="3"/>
        <v>31666.666666666668</v>
      </c>
      <c r="M24" s="398">
        <f t="shared" si="3"/>
        <v>736887.61</v>
      </c>
      <c r="N24" s="399">
        <f t="shared" si="3"/>
        <v>580000</v>
      </c>
      <c r="P24" s="135"/>
    </row>
    <row r="25" spans="3:16" ht="12.75">
      <c r="C25" s="36"/>
      <c r="D25" s="158"/>
      <c r="E25" s="36"/>
      <c r="F25" s="158"/>
      <c r="G25" s="36"/>
      <c r="H25" s="158"/>
      <c r="I25" s="36"/>
      <c r="J25" s="158"/>
      <c r="K25" s="36"/>
      <c r="L25" s="158"/>
      <c r="M25" s="13"/>
      <c r="N25" s="158"/>
      <c r="P25" s="22"/>
    </row>
    <row r="26" spans="1:16" ht="12.75">
      <c r="A26" t="s">
        <v>284</v>
      </c>
      <c r="C26" s="398">
        <f aca="true" t="shared" si="4" ref="C26:N26">+C20+C24</f>
        <v>62578316.53</v>
      </c>
      <c r="D26" s="399">
        <f t="shared" si="4"/>
        <v>67362609.08666666</v>
      </c>
      <c r="E26" s="398">
        <f t="shared" si="4"/>
        <v>1299768.8866666667</v>
      </c>
      <c r="F26" s="399">
        <f t="shared" si="4"/>
        <v>1409157.9000000001</v>
      </c>
      <c r="G26" s="398">
        <f t="shared" si="4"/>
        <v>791287.4733333334</v>
      </c>
      <c r="H26" s="399">
        <f t="shared" si="4"/>
        <v>542697.5966666667</v>
      </c>
      <c r="I26" s="398">
        <f t="shared" si="4"/>
        <v>338283.7266666667</v>
      </c>
      <c r="J26" s="399">
        <f t="shared" si="4"/>
        <v>335491.81333333335</v>
      </c>
      <c r="K26" s="398">
        <f t="shared" si="4"/>
        <v>537745.2066666665</v>
      </c>
      <c r="L26" s="399">
        <f t="shared" si="4"/>
        <v>436556.56333333335</v>
      </c>
      <c r="M26" s="398">
        <f t="shared" si="4"/>
        <v>65545401.82333333</v>
      </c>
      <c r="N26" s="399">
        <f t="shared" si="4"/>
        <v>70086512.96000001</v>
      </c>
      <c r="P26" s="22"/>
    </row>
    <row r="27" spans="3:16" ht="12.75">
      <c r="C27" s="143"/>
      <c r="D27" s="143"/>
      <c r="E27" s="143"/>
      <c r="F27" s="143"/>
      <c r="G27" s="143"/>
      <c r="H27" s="341"/>
      <c r="I27" s="143"/>
      <c r="J27" s="341"/>
      <c r="K27" s="143"/>
      <c r="L27" s="341"/>
      <c r="M27" s="143"/>
      <c r="N27" s="341"/>
      <c r="P27" s="22"/>
    </row>
    <row r="28" spans="1:16" ht="12.75">
      <c r="A28" s="132" t="s">
        <v>160</v>
      </c>
      <c r="B28" s="133"/>
      <c r="C28" s="403">
        <f aca="true" t="shared" si="5" ref="C28:N28">C26/C43</f>
        <v>1.0078003428749893</v>
      </c>
      <c r="D28" s="404">
        <f t="shared" si="5"/>
        <v>1.0150843092865198</v>
      </c>
      <c r="E28" s="403">
        <f t="shared" si="5"/>
        <v>0.7089648472727273</v>
      </c>
      <c r="F28" s="404">
        <f t="shared" si="5"/>
        <v>1.1124930789473684</v>
      </c>
      <c r="G28" s="403">
        <f t="shared" si="5"/>
        <v>0.9244444522329704</v>
      </c>
      <c r="H28" s="404">
        <f t="shared" si="5"/>
        <v>1.01755799375</v>
      </c>
      <c r="I28" s="403">
        <f t="shared" si="5"/>
        <v>0.9225919818181818</v>
      </c>
      <c r="J28" s="404">
        <f t="shared" si="5"/>
        <v>1.0064754400000002</v>
      </c>
      <c r="K28" s="403">
        <f t="shared" si="5"/>
        <v>0.6864832425531913</v>
      </c>
      <c r="L28" s="404">
        <f t="shared" si="5"/>
        <v>0.7275942722222223</v>
      </c>
      <c r="M28" s="403">
        <f t="shared" si="5"/>
        <v>0.994117477752135</v>
      </c>
      <c r="N28" s="404">
        <f t="shared" si="5"/>
        <v>1.0143511164165555</v>
      </c>
      <c r="P28" s="22"/>
    </row>
    <row r="29" spans="1:16" ht="12.75">
      <c r="A29" s="132" t="s">
        <v>161</v>
      </c>
      <c r="B29" s="133"/>
      <c r="C29" s="403">
        <f>C26/C44</f>
        <v>0.9624493251722982</v>
      </c>
      <c r="D29" s="404">
        <f>D26/D44</f>
        <v>0.9694213625300659</v>
      </c>
      <c r="E29" s="134" t="s">
        <v>162</v>
      </c>
      <c r="F29" s="340" t="s">
        <v>162</v>
      </c>
      <c r="G29" s="134" t="s">
        <v>162</v>
      </c>
      <c r="H29" s="194" t="s">
        <v>162</v>
      </c>
      <c r="I29" s="134" t="s">
        <v>162</v>
      </c>
      <c r="J29" s="194" t="s">
        <v>162</v>
      </c>
      <c r="K29" s="134" t="s">
        <v>162</v>
      </c>
      <c r="L29" s="194" t="s">
        <v>162</v>
      </c>
      <c r="M29" s="134" t="s">
        <v>162</v>
      </c>
      <c r="N29" s="194" t="s">
        <v>162</v>
      </c>
      <c r="P29" s="22"/>
    </row>
    <row r="30" spans="1:16" ht="12.75">
      <c r="A30" s="7"/>
      <c r="B30" s="7"/>
      <c r="C30" s="165"/>
      <c r="D30" s="198"/>
      <c r="E30" s="166"/>
      <c r="F30" s="195"/>
      <c r="G30" s="166"/>
      <c r="H30" s="195"/>
      <c r="I30" s="166"/>
      <c r="J30" s="195"/>
      <c r="K30" s="166"/>
      <c r="L30" s="195"/>
      <c r="M30" s="166"/>
      <c r="N30" s="195"/>
      <c r="P30" s="22"/>
    </row>
    <row r="31" spans="1:25" s="14" customFormat="1" ht="12.75">
      <c r="A31" s="14" t="s">
        <v>294</v>
      </c>
      <c r="C31" s="348">
        <v>0</v>
      </c>
      <c r="D31" s="400">
        <v>0</v>
      </c>
      <c r="E31" s="348">
        <v>0</v>
      </c>
      <c r="F31" s="400">
        <v>-137663</v>
      </c>
      <c r="G31" s="348">
        <v>0</v>
      </c>
      <c r="H31" s="400">
        <v>0</v>
      </c>
      <c r="I31" s="348">
        <v>0</v>
      </c>
      <c r="J31" s="400">
        <v>0</v>
      </c>
      <c r="K31" s="348">
        <v>0</v>
      </c>
      <c r="L31" s="400">
        <v>0</v>
      </c>
      <c r="M31" s="377">
        <f aca="true" t="shared" si="6" ref="M31:N34">C31+E31+G31+I31+K31</f>
        <v>0</v>
      </c>
      <c r="N31" s="377">
        <f t="shared" si="6"/>
        <v>-137663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2.75">
      <c r="A32" s="14" t="s">
        <v>324</v>
      </c>
      <c r="B32" s="7"/>
      <c r="C32" s="348">
        <v>0</v>
      </c>
      <c r="D32" s="400">
        <v>0</v>
      </c>
      <c r="E32" s="348">
        <v>137663</v>
      </c>
      <c r="F32" s="400">
        <v>105556</v>
      </c>
      <c r="G32" s="348">
        <v>0</v>
      </c>
      <c r="H32" s="400">
        <v>0</v>
      </c>
      <c r="I32" s="348">
        <v>0</v>
      </c>
      <c r="J32" s="400">
        <v>0</v>
      </c>
      <c r="K32" s="348">
        <v>0</v>
      </c>
      <c r="L32" s="400">
        <v>0</v>
      </c>
      <c r="M32" s="411">
        <f t="shared" si="6"/>
        <v>137663</v>
      </c>
      <c r="N32" s="411">
        <f t="shared" si="6"/>
        <v>105556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2.75">
      <c r="A33" t="s">
        <v>331</v>
      </c>
      <c r="C33" s="348">
        <v>0</v>
      </c>
      <c r="D33" s="400">
        <v>0</v>
      </c>
      <c r="E33" s="348">
        <v>0</v>
      </c>
      <c r="F33" s="400">
        <v>0</v>
      </c>
      <c r="G33" s="348">
        <v>0</v>
      </c>
      <c r="H33" s="400">
        <v>0</v>
      </c>
      <c r="I33" s="348">
        <v>0</v>
      </c>
      <c r="J33" s="400">
        <v>0</v>
      </c>
      <c r="K33" s="348">
        <v>0</v>
      </c>
      <c r="L33" s="400">
        <v>0</v>
      </c>
      <c r="M33" s="411">
        <f t="shared" si="6"/>
        <v>0</v>
      </c>
      <c r="N33" s="411">
        <f t="shared" si="6"/>
        <v>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2.75">
      <c r="A34" t="s">
        <v>330</v>
      </c>
      <c r="C34" s="348">
        <v>0</v>
      </c>
      <c r="D34" s="400">
        <v>0</v>
      </c>
      <c r="E34" s="348">
        <v>61652</v>
      </c>
      <c r="F34" s="400">
        <v>-20556</v>
      </c>
      <c r="G34" s="348">
        <v>0</v>
      </c>
      <c r="H34" s="400">
        <v>0</v>
      </c>
      <c r="I34" s="348">
        <v>0</v>
      </c>
      <c r="J34" s="400">
        <v>0</v>
      </c>
      <c r="K34" s="348">
        <v>0</v>
      </c>
      <c r="L34" s="400">
        <v>0</v>
      </c>
      <c r="M34" s="411">
        <f t="shared" si="6"/>
        <v>61652</v>
      </c>
      <c r="N34" s="411">
        <f t="shared" si="6"/>
        <v>-20556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6" customHeight="1">
      <c r="P35" s="22"/>
    </row>
    <row r="36" spans="1:16" ht="15">
      <c r="A36" s="139" t="s">
        <v>283</v>
      </c>
      <c r="B36" s="139"/>
      <c r="C36" s="409">
        <f>SUM(C26+C31+C32+C33+C34)</f>
        <v>62578316.53</v>
      </c>
      <c r="D36" s="410">
        <f>SUM(D26+D31+D32+D33+D34)</f>
        <v>67362609.08666666</v>
      </c>
      <c r="E36" s="409">
        <f>SUM(E26+E31+E32+E33+E34)</f>
        <v>1499083.8866666667</v>
      </c>
      <c r="F36" s="410">
        <f>SUM(F26+F31+F32+F33+F34)</f>
        <v>1356494.9000000001</v>
      </c>
      <c r="G36" s="409">
        <f aca="true" t="shared" si="7" ref="G36:N36">SUM(G26+G31+G32+G33+G34)</f>
        <v>791287.4733333334</v>
      </c>
      <c r="H36" s="410">
        <f t="shared" si="7"/>
        <v>542697.5966666667</v>
      </c>
      <c r="I36" s="409">
        <f t="shared" si="7"/>
        <v>338283.7266666667</v>
      </c>
      <c r="J36" s="410">
        <f t="shared" si="7"/>
        <v>335491.81333333335</v>
      </c>
      <c r="K36" s="409">
        <f t="shared" si="7"/>
        <v>537745.2066666665</v>
      </c>
      <c r="L36" s="410">
        <f t="shared" si="7"/>
        <v>436556.56333333335</v>
      </c>
      <c r="M36" s="409">
        <f t="shared" si="7"/>
        <v>65744716.82333333</v>
      </c>
      <c r="N36" s="410">
        <f t="shared" si="7"/>
        <v>70033849.96000001</v>
      </c>
      <c r="P36" s="22"/>
    </row>
    <row r="37" spans="3:16" ht="15">
      <c r="C37" s="131"/>
      <c r="D37" s="196"/>
      <c r="E37" s="131"/>
      <c r="F37" s="196"/>
      <c r="G37" s="131"/>
      <c r="H37" s="196"/>
      <c r="I37" s="131"/>
      <c r="J37" s="196"/>
      <c r="K37" s="131"/>
      <c r="L37" s="196"/>
      <c r="M37" s="131"/>
      <c r="N37" s="196"/>
      <c r="P37" s="22"/>
    </row>
    <row r="38" spans="3:16" ht="12.75">
      <c r="C38" s="135"/>
      <c r="D38" s="192"/>
      <c r="E38" s="135"/>
      <c r="F38" s="192"/>
      <c r="G38" s="135"/>
      <c r="H38" s="192"/>
      <c r="I38" s="135"/>
      <c r="J38" s="192"/>
      <c r="K38" s="135"/>
      <c r="L38" s="192"/>
      <c r="M38" s="130"/>
      <c r="P38" s="22"/>
    </row>
    <row r="39" spans="1:16" ht="12.75">
      <c r="A39" s="132" t="s">
        <v>163</v>
      </c>
      <c r="B39" s="133"/>
      <c r="C39" s="403">
        <f aca="true" t="shared" si="8" ref="C39:N39">C36/C43</f>
        <v>1.0078003428749893</v>
      </c>
      <c r="D39" s="404">
        <f t="shared" si="8"/>
        <v>1.0150843092865198</v>
      </c>
      <c r="E39" s="403">
        <f t="shared" si="8"/>
        <v>0.8176821200000001</v>
      </c>
      <c r="F39" s="404">
        <f t="shared" si="8"/>
        <v>1.0709170263157894</v>
      </c>
      <c r="G39" s="403">
        <f t="shared" si="8"/>
        <v>0.9244444522329704</v>
      </c>
      <c r="H39" s="404">
        <f t="shared" si="8"/>
        <v>1.01755799375</v>
      </c>
      <c r="I39" s="403">
        <f t="shared" si="8"/>
        <v>0.9225919818181818</v>
      </c>
      <c r="J39" s="404">
        <f t="shared" si="8"/>
        <v>1.0064754400000002</v>
      </c>
      <c r="K39" s="403">
        <f t="shared" si="8"/>
        <v>0.6864832425531913</v>
      </c>
      <c r="L39" s="404">
        <f t="shared" si="8"/>
        <v>0.7275942722222223</v>
      </c>
      <c r="M39" s="403">
        <f t="shared" si="8"/>
        <v>0.997140459068387</v>
      </c>
      <c r="N39" s="404">
        <f t="shared" si="8"/>
        <v>1.0135889330721748</v>
      </c>
      <c r="P39" s="22"/>
    </row>
    <row r="40" spans="1:16" ht="12.75">
      <c r="A40" s="132" t="s">
        <v>164</v>
      </c>
      <c r="B40" s="133"/>
      <c r="C40" s="403">
        <f>C36/C44</f>
        <v>0.9624493251722982</v>
      </c>
      <c r="D40" s="405">
        <f>D36/D44</f>
        <v>0.9694213625300659</v>
      </c>
      <c r="E40" s="134" t="s">
        <v>162</v>
      </c>
      <c r="F40" s="194" t="s">
        <v>162</v>
      </c>
      <c r="G40" s="134" t="s">
        <v>162</v>
      </c>
      <c r="H40" s="194" t="s">
        <v>162</v>
      </c>
      <c r="I40" s="134" t="s">
        <v>162</v>
      </c>
      <c r="J40" s="194" t="s">
        <v>162</v>
      </c>
      <c r="K40" s="134" t="s">
        <v>162</v>
      </c>
      <c r="L40" s="194" t="s">
        <v>162</v>
      </c>
      <c r="M40" s="134" t="s">
        <v>162</v>
      </c>
      <c r="N40" s="194" t="s">
        <v>162</v>
      </c>
      <c r="P40" s="22"/>
    </row>
    <row r="41" spans="1:16" ht="12.75">
      <c r="A41" s="7"/>
      <c r="B41" s="7"/>
      <c r="C41" s="165"/>
      <c r="D41" s="199"/>
      <c r="E41" s="166"/>
      <c r="F41" s="195"/>
      <c r="G41" s="166"/>
      <c r="H41" s="195"/>
      <c r="I41" s="166"/>
      <c r="J41" s="195"/>
      <c r="K41" s="166"/>
      <c r="L41" s="195"/>
      <c r="M41" s="166"/>
      <c r="N41" s="195"/>
      <c r="P41" s="22"/>
    </row>
    <row r="42" spans="3:16" ht="12.75">
      <c r="C42" s="274"/>
      <c r="D42" s="275"/>
      <c r="E42" s="274"/>
      <c r="F42" s="275"/>
      <c r="G42" s="274"/>
      <c r="H42" s="275"/>
      <c r="I42" s="274"/>
      <c r="J42" s="275"/>
      <c r="K42" s="274"/>
      <c r="L42" s="275"/>
      <c r="M42" s="274"/>
      <c r="P42" s="22"/>
    </row>
    <row r="43" spans="1:25" ht="12.75">
      <c r="A43" s="407" t="s">
        <v>13</v>
      </c>
      <c r="B43" s="408"/>
      <c r="C43" s="406">
        <v>62093962.333333336</v>
      </c>
      <c r="D43" s="406">
        <v>66361590.333333336</v>
      </c>
      <c r="E43" s="406">
        <v>1833333.3333333333</v>
      </c>
      <c r="F43" s="406">
        <v>1266666.6666666667</v>
      </c>
      <c r="G43" s="406">
        <v>855960</v>
      </c>
      <c r="H43" s="406">
        <v>533333.3333333334</v>
      </c>
      <c r="I43" s="406">
        <v>366666.6666666667</v>
      </c>
      <c r="J43" s="406">
        <v>333333.3333333333</v>
      </c>
      <c r="K43" s="406">
        <v>783333.3333333334</v>
      </c>
      <c r="L43" s="406">
        <v>600000</v>
      </c>
      <c r="M43" s="414">
        <f>C43+E43+G43+I43+K43</f>
        <v>65933255.66666667</v>
      </c>
      <c r="N43" s="415">
        <f>SUM(D43+F43+H43+J43+L43)</f>
        <v>69094923.66666666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17" ht="12.75">
      <c r="A44" s="132" t="s">
        <v>165</v>
      </c>
      <c r="B44" s="133"/>
      <c r="C44" s="348">
        <v>65019856</v>
      </c>
      <c r="D44" s="348">
        <v>69487440.33333333</v>
      </c>
      <c r="E44" s="134" t="s">
        <v>162</v>
      </c>
      <c r="F44" s="194" t="s">
        <v>162</v>
      </c>
      <c r="G44" s="134" t="s">
        <v>162</v>
      </c>
      <c r="H44" s="194" t="s">
        <v>162</v>
      </c>
      <c r="I44" s="134" t="s">
        <v>162</v>
      </c>
      <c r="J44" s="194" t="s">
        <v>162</v>
      </c>
      <c r="K44" s="134" t="s">
        <v>162</v>
      </c>
      <c r="L44" s="194" t="s">
        <v>162</v>
      </c>
      <c r="M44" s="134" t="s">
        <v>162</v>
      </c>
      <c r="N44" s="194" t="s">
        <v>162</v>
      </c>
      <c r="P44" s="22"/>
      <c r="Q44" s="22"/>
    </row>
    <row r="45" spans="1:14" ht="12.75">
      <c r="A45" s="132" t="s">
        <v>166</v>
      </c>
      <c r="B45" s="133"/>
      <c r="C45" s="412">
        <v>0.955</v>
      </c>
      <c r="D45" s="412">
        <v>0.955</v>
      </c>
      <c r="E45" s="134" t="s">
        <v>162</v>
      </c>
      <c r="F45" s="194" t="s">
        <v>162</v>
      </c>
      <c r="G45" s="134" t="s">
        <v>162</v>
      </c>
      <c r="H45" s="194" t="s">
        <v>162</v>
      </c>
      <c r="I45" s="134" t="s">
        <v>162</v>
      </c>
      <c r="J45" s="194" t="s">
        <v>162</v>
      </c>
      <c r="K45" s="134" t="s">
        <v>162</v>
      </c>
      <c r="L45" s="194" t="s">
        <v>162</v>
      </c>
      <c r="M45" s="134" t="s">
        <v>162</v>
      </c>
      <c r="N45" s="194" t="s">
        <v>162</v>
      </c>
    </row>
    <row r="46" spans="1:4" ht="12.75">
      <c r="A46" s="136" t="s">
        <v>167</v>
      </c>
      <c r="B46" s="133"/>
      <c r="C46" s="413">
        <v>55.4938</v>
      </c>
      <c r="D46" s="413">
        <v>39.9202</v>
      </c>
    </row>
    <row r="47" spans="1:16" ht="15">
      <c r="A47" s="137" t="s">
        <v>168</v>
      </c>
      <c r="E47" s="135"/>
      <c r="F47" s="135"/>
      <c r="G47" s="135"/>
      <c r="H47" s="135"/>
      <c r="I47" s="135"/>
      <c r="J47"/>
      <c r="L47"/>
      <c r="N47"/>
      <c r="P47" t="s">
        <v>132</v>
      </c>
    </row>
    <row r="48" spans="1:14" ht="15">
      <c r="A48" s="137"/>
      <c r="E48" s="511"/>
      <c r="F48" s="512" t="s">
        <v>552</v>
      </c>
      <c r="G48" s="526"/>
      <c r="H48" s="527"/>
      <c r="I48" s="528"/>
      <c r="J48"/>
      <c r="L48"/>
      <c r="N48"/>
    </row>
    <row r="49" spans="1:14" ht="15">
      <c r="A49" s="137"/>
      <c r="E49" s="524"/>
      <c r="F49" s="7"/>
      <c r="G49" s="21"/>
      <c r="H49" s="521"/>
      <c r="I49" s="529"/>
      <c r="J49"/>
      <c r="L49"/>
      <c r="N49"/>
    </row>
    <row r="50" spans="1:14" ht="25.5">
      <c r="A50" s="137"/>
      <c r="E50" s="524"/>
      <c r="F50" s="504" t="s">
        <v>553</v>
      </c>
      <c r="G50" s="21"/>
      <c r="H50" s="521"/>
      <c r="I50" s="529"/>
      <c r="J50"/>
      <c r="L50"/>
      <c r="N50"/>
    </row>
    <row r="51" spans="1:14" ht="15">
      <c r="A51" s="137"/>
      <c r="E51" s="524"/>
      <c r="F51" s="505"/>
      <c r="G51" s="21"/>
      <c r="H51" s="521"/>
      <c r="I51" s="529"/>
      <c r="J51"/>
      <c r="L51"/>
      <c r="N51"/>
    </row>
    <row r="52" spans="1:14" ht="25.5">
      <c r="A52" s="137"/>
      <c r="E52" s="524"/>
      <c r="F52" s="506" t="s">
        <v>554</v>
      </c>
      <c r="G52" s="21"/>
      <c r="H52" s="521"/>
      <c r="I52" s="529"/>
      <c r="J52"/>
      <c r="L52"/>
      <c r="N52"/>
    </row>
    <row r="53" spans="1:14" ht="15">
      <c r="A53" s="137"/>
      <c r="E53" s="524"/>
      <c r="F53" s="505"/>
      <c r="G53" s="21"/>
      <c r="H53" s="521"/>
      <c r="I53" s="529"/>
      <c r="J53"/>
      <c r="L53"/>
      <c r="N53"/>
    </row>
    <row r="54" spans="1:14" ht="25.5">
      <c r="A54" s="137"/>
      <c r="E54" s="524"/>
      <c r="F54" s="507" t="s">
        <v>555</v>
      </c>
      <c r="G54" s="21"/>
      <c r="H54" s="521"/>
      <c r="I54" s="529"/>
      <c r="J54"/>
      <c r="L54"/>
      <c r="N54"/>
    </row>
    <row r="55" spans="1:14" ht="15">
      <c r="A55" s="137"/>
      <c r="E55" s="524"/>
      <c r="F55" s="79"/>
      <c r="G55" s="21"/>
      <c r="H55" s="521"/>
      <c r="I55" s="529"/>
      <c r="J55"/>
      <c r="L55"/>
      <c r="N55"/>
    </row>
    <row r="56" spans="1:14" ht="38.25">
      <c r="A56" s="137"/>
      <c r="E56" s="524"/>
      <c r="F56" s="508" t="s">
        <v>556</v>
      </c>
      <c r="G56" s="21"/>
      <c r="H56" s="521"/>
      <c r="I56" s="529"/>
      <c r="J56"/>
      <c r="L56"/>
      <c r="N56"/>
    </row>
    <row r="57" spans="1:14" ht="6.75" customHeight="1">
      <c r="A57" s="137"/>
      <c r="D57" s="197"/>
      <c r="E57" s="497"/>
      <c r="F57" s="275"/>
      <c r="G57" s="274"/>
      <c r="H57" s="275"/>
      <c r="I57" s="518"/>
      <c r="J57"/>
      <c r="L57"/>
      <c r="N57"/>
    </row>
    <row r="58" spans="10:14" ht="12.75">
      <c r="J58"/>
      <c r="L58"/>
      <c r="N58"/>
    </row>
  </sheetData>
  <printOptions horizontalCentered="1"/>
  <pageMargins left="0.17" right="0.17" top="0.55" bottom="0.57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Robert Dakers</cp:lastModifiedBy>
  <cp:lastPrinted>2009-08-26T15:24:16Z</cp:lastPrinted>
  <dcterms:created xsi:type="dcterms:W3CDTF">2001-10-12T19:49:10Z</dcterms:created>
  <dcterms:modified xsi:type="dcterms:W3CDTF">2009-08-26T15:24:21Z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