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9" yWindow="5352" windowWidth="17443" windowHeight="5257" tabRatio="978"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K16" i="2"/>
  <c r="H16" i="1"/>
  <c r="G16"/>
  <c r="I12"/>
  <c r="H12"/>
  <c r="G12"/>
  <c r="H19"/>
  <c r="I12" i="6"/>
  <c r="H12"/>
  <c r="H19"/>
  <c r="H16"/>
  <c r="G16"/>
  <c r="G12"/>
  <c r="E7" l="1"/>
  <c r="E22" i="2" l="1"/>
  <c r="J18" i="6"/>
  <c r="H22" i="2"/>
  <c r="F22"/>
  <c r="F27" s="1"/>
  <c r="D22"/>
  <c r="I22"/>
  <c r="G22"/>
  <c r="K13" i="6"/>
  <c r="F18"/>
  <c r="E12"/>
  <c r="K12" i="1"/>
  <c r="E12"/>
  <c r="E18" s="1"/>
  <c r="D15" i="2"/>
  <c r="E15"/>
  <c r="F15"/>
  <c r="O12"/>
  <c r="O14"/>
  <c r="O13"/>
  <c r="O16"/>
  <c r="O17"/>
  <c r="O18"/>
  <c r="O19"/>
  <c r="O20"/>
  <c r="O21"/>
  <c r="O23"/>
  <c r="O25"/>
  <c r="O26" s="1"/>
  <c r="M15"/>
  <c r="M22"/>
  <c r="M27" s="1"/>
  <c r="M26"/>
  <c r="K11"/>
  <c r="J11"/>
  <c r="I11"/>
  <c r="H11"/>
  <c r="G11"/>
  <c r="F11"/>
  <c r="E11"/>
  <c r="D36" i="10"/>
  <c r="K10" i="2"/>
  <c r="J10"/>
  <c r="I10"/>
  <c r="H10"/>
  <c r="G10"/>
  <c r="F10"/>
  <c r="H15"/>
  <c r="J26"/>
  <c r="I26"/>
  <c r="H26"/>
  <c r="J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E18"/>
  <c r="D22"/>
  <c r="E11"/>
  <c r="E22"/>
  <c r="F11"/>
  <c r="K11" s="1"/>
  <c r="F22"/>
  <c r="G11"/>
  <c r="G18"/>
  <c r="G22"/>
  <c r="H11"/>
  <c r="H18"/>
  <c r="H22"/>
  <c r="I11"/>
  <c r="I18"/>
  <c r="I22"/>
  <c r="J11"/>
  <c r="J22"/>
  <c r="J14" i="5"/>
  <c r="K14"/>
  <c r="L14"/>
  <c r="J15"/>
  <c r="K15"/>
  <c r="L15"/>
  <c r="J16"/>
  <c r="K16"/>
  <c r="L16"/>
  <c r="J17"/>
  <c r="K17"/>
  <c r="L17"/>
  <c r="J18"/>
  <c r="K18"/>
  <c r="L18"/>
  <c r="G15" i="2"/>
  <c r="K15"/>
  <c r="K22"/>
  <c r="D26"/>
  <c r="E26"/>
  <c r="F26"/>
  <c r="G26"/>
  <c r="K26"/>
  <c r="A20" i="10"/>
  <c r="A9"/>
  <c r="F7" i="6"/>
  <c r="G7"/>
  <c r="H7"/>
  <c r="I7"/>
  <c r="J7"/>
  <c r="K8"/>
  <c r="K9"/>
  <c r="K10"/>
  <c r="K12"/>
  <c r="K14"/>
  <c r="K15"/>
  <c r="K16"/>
  <c r="K17"/>
  <c r="K19"/>
  <c r="K21"/>
  <c r="E7" i="1"/>
  <c r="F7"/>
  <c r="G7"/>
  <c r="H7"/>
  <c r="I7"/>
  <c r="J7"/>
  <c r="K8"/>
  <c r="K9"/>
  <c r="K10"/>
  <c r="D11"/>
  <c r="E11"/>
  <c r="E23" s="1"/>
  <c r="F11"/>
  <c r="G11"/>
  <c r="H11"/>
  <c r="I11"/>
  <c r="J11"/>
  <c r="J18"/>
  <c r="K13"/>
  <c r="K14"/>
  <c r="K15"/>
  <c r="K16"/>
  <c r="K17"/>
  <c r="D18"/>
  <c r="F18"/>
  <c r="G18"/>
  <c r="H18"/>
  <c r="K19"/>
  <c r="D22"/>
  <c r="E22"/>
  <c r="F22"/>
  <c r="G22"/>
  <c r="H22"/>
  <c r="I22"/>
  <c r="J22"/>
  <c r="D27" i="4"/>
  <c r="F27"/>
  <c r="K11" i="1"/>
  <c r="K22" l="1"/>
  <c r="D23" i="6"/>
  <c r="C13" i="5" s="1"/>
  <c r="C19" s="1"/>
  <c r="I27" i="2"/>
  <c r="J23" i="6"/>
  <c r="I13" i="5" s="1"/>
  <c r="I19" s="1"/>
  <c r="D27" i="2"/>
  <c r="E27"/>
  <c r="G27"/>
  <c r="H27"/>
  <c r="K27"/>
  <c r="J27"/>
  <c r="I23" i="6"/>
  <c r="H13" i="5" s="1"/>
  <c r="H19" s="1"/>
  <c r="G23" i="6"/>
  <c r="F13" i="5" s="1"/>
  <c r="F19" s="1"/>
  <c r="E23" i="6"/>
  <c r="D13" i="5" s="1"/>
  <c r="D19" s="1"/>
  <c r="H23" i="6"/>
  <c r="F23"/>
  <c r="E13" i="5" s="1"/>
  <c r="I18" i="1"/>
  <c r="K18" s="1"/>
  <c r="O22" i="2"/>
  <c r="O15"/>
  <c r="G13" i="5"/>
  <c r="G19" s="1"/>
  <c r="K18" i="6"/>
  <c r="K22"/>
  <c r="J23" i="1"/>
  <c r="I21" i="5" s="1"/>
  <c r="H23" i="1"/>
  <c r="G21" i="5" s="1"/>
  <c r="F23" i="1"/>
  <c r="E21" i="5" s="1"/>
  <c r="D21"/>
  <c r="G23" i="1"/>
  <c r="D23"/>
  <c r="C21" i="5" s="1"/>
  <c r="K23" i="6" l="1"/>
  <c r="D23" i="5"/>
  <c r="O27" i="2"/>
  <c r="G23" i="5"/>
  <c r="I23" i="1"/>
  <c r="H21" i="5" s="1"/>
  <c r="H23" s="1"/>
  <c r="K23" i="1"/>
  <c r="I23" i="5"/>
  <c r="F21"/>
  <c r="F23" s="1"/>
  <c r="K13"/>
  <c r="K19" s="1"/>
  <c r="J13"/>
  <c r="J19" s="1"/>
  <c r="E19"/>
  <c r="E23" s="1"/>
  <c r="L13"/>
  <c r="L19" s="1"/>
  <c r="C25" l="1"/>
</calcChain>
</file>

<file path=xl/sharedStrings.xml><?xml version="1.0" encoding="utf-8"?>
<sst xmlns="http://schemas.openxmlformats.org/spreadsheetml/2006/main" count="244" uniqueCount="116">
  <si>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</si>
  <si>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</si>
  <si>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</si>
  <si>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</si>
  <si>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</si>
  <si>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</si>
  <si>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</si>
  <si>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</si>
  <si>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</si>
  <si>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</si>
  <si>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</si>
  <si>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</si>
  <si>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</si>
  <si>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</si>
  <si>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</si>
  <si>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</si>
  <si>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</si>
  <si>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</si>
  <si>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</si>
  <si>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</si>
  <si>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</si>
  <si>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</si>
  <si>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</si>
  <si>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</si>
  <si>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</si>
  <si>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</si>
  <si>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</si>
  <si>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</si>
  <si>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</si>
  <si>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</si>
  <si>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</si>
  <si>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</si>
  <si>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</si>
  <si>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</si>
  <si>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</si>
  <si>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</si>
  <si>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</si>
  <si>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</si>
  <si>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</si>
  <si>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</si>
  <si>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</si>
  <si>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</si>
  <si>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</si>
  <si>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</si>
  <si>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</si>
  <si>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</si>
  <si>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</si>
  <si>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</si>
  <si>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</si>
  <si>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</si>
  <si>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</si>
  <si>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</si>
  <si>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</si>
  <si>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</si>
  <si>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</si>
  <si>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</si>
  <si>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</si>
  <si>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</si>
  <si>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</si>
  <si>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</si>
  <si>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</si>
  <si>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</si>
  <si>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</si>
  <si>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</si>
  <si>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</si>
  <si>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</si>
  <si>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</si>
  <si>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</si>
  <si>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</si>
  <si>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</si>
  <si>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</si>
  <si>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</si>
  <si>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</si>
  <si>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</si>
  <si>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</si>
  <si>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</si>
  <si>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</si>
  <si>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</si>
  <si>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</si>
  <si>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</si>
  <si>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</si>
  <si>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</si>
  <si>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</si>
  <si>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</si>
  <si>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</si>
  <si>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</si>
  <si>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</si>
  <si>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</si>
  <si>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</si>
  <si>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</si>
  <si>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</si>
  <si>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</si>
  <si>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</si>
  <si>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</si>
  <si>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</si>
  <si>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</si>
  <si>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</si>
  <si>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</si>
  <si>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</si>
  <si>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</si>
  <si>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</si>
  <si>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</si>
  <si>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</si>
  <si>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</si>
  <si>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</si>
  <si>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</si>
  <si>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</si>
  <si>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</si>
  <si>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Public Defender CISS Readiness / Case Management System</t>
  </si>
  <si>
    <t>Stephen Hunt, Financial Director, Public Defender Services Commission</t>
  </si>
  <si>
    <t>860-509-6416</t>
  </si>
  <si>
    <t>Stephen.Hunt@jud.ct.gov</t>
  </si>
  <si>
    <t>FY 16</t>
  </si>
  <si>
    <t>Archive Savings</t>
  </si>
  <si>
    <t>Other Expenses Savings</t>
  </si>
  <si>
    <t>Eliminate 28.5 FTE's through Attrition</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</si>
</sst>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409]mmmm\ d\,\ yyyy;@"/>
    <numFmt numFmtId="166" formatCode="_(&quot;$&quot;* #,##0_);_(&quot;$&quot;* \(#,##0\);_(&quot;$&quot;* &quot;-&quot;??_);_(@_)"/>
  </numFmts>
  <fonts count="47">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4" fontId="46" fillId="0" borderId="0" applyFont="0" applyFill="0" applyBorder="0" applyAlignment="0" applyProtection="0"/>
  </cellStyleXfs>
  <cellXfs count="34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3" fontId="8" fillId="0" borderId="0" xfId="0" applyNumberFormat="1" applyFont="1" applyProtection="1"/>
    <xf numFmtId="166" fontId="0" fillId="0" borderId="0" xfId="0" applyNumberFormat="1"/>
    <xf numFmtId="0" fontId="0" fillId="0" borderId="0" xfId="0" applyBorder="1"/>
    <xf numFmtId="166" fontId="0" fillId="0" borderId="0" xfId="0" applyNumberFormat="1" applyBorder="1"/>
    <xf numFmtId="0" fontId="9" fillId="0" borderId="0" xfId="0" applyFont="1" applyBorder="1" applyProtection="1"/>
    <xf numFmtId="166" fontId="0" fillId="0" borderId="0" xfId="44" applyNumberFormat="1" applyFont="1" applyBorder="1"/>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4"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tephen.Hunt@jud.ct.gov" TargetMode="External"/><Relationship Id="rId5" Type="http://schemas.openxmlformats.org/officeDocument/2006/relationships/oleObject" Target="../embeddings/Microsoft_Visio_2003-2010_Drawing111111111.vsd"/><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4" sqref="C4"/>
    </sheetView>
  </sheetViews>
  <sheetFormatPr defaultColWidth="9.125" defaultRowHeight="10.199999999999999"/>
  <cols>
    <col min="1" max="1" width="2" style="9" customWidth="1"/>
    <col min="2" max="2" width="14.375" style="9" customWidth="1"/>
    <col min="3" max="3" width="109.75" style="9" customWidth="1"/>
    <col min="4" max="4" width="1.25" style="9" customWidth="1"/>
    <col min="5" max="16384" width="9.125" style="9"/>
  </cols>
  <sheetData>
    <row r="1" spans="1:7" ht="12.6" customHeight="1"/>
    <row r="2" spans="1:7" ht="16.5" customHeight="1">
      <c r="A2" s="234" t="s">
        <v>73</v>
      </c>
      <c r="B2" s="234"/>
      <c r="C2" s="235"/>
    </row>
    <row r="3" spans="1:7" s="162" customFormat="1" ht="16.5" customHeight="1">
      <c r="A3" s="239" t="s">
        <v>25</v>
      </c>
      <c r="B3" s="240"/>
      <c r="C3" s="193">
        <v>1</v>
      </c>
    </row>
    <row r="4" spans="1:7" s="162" customFormat="1" ht="16.5" customHeight="1">
      <c r="A4" s="239" t="s">
        <v>22</v>
      </c>
      <c r="B4" s="240"/>
      <c r="C4" s="194" t="s">
        <v>108</v>
      </c>
    </row>
    <row r="5" spans="1:7" s="162" customFormat="1" ht="16.5" customHeight="1">
      <c r="A5" s="239" t="s">
        <v>26</v>
      </c>
      <c r="B5" s="240"/>
      <c r="C5" s="49">
        <v>41775</v>
      </c>
    </row>
    <row r="6" spans="1:7" s="162" customFormat="1" ht="16.5" customHeight="1">
      <c r="A6" s="239" t="s">
        <v>27</v>
      </c>
      <c r="B6" s="240"/>
      <c r="C6" s="194" t="s">
        <v>109</v>
      </c>
      <c r="E6" s="216" t="s">
        <v>80</v>
      </c>
      <c r="F6" s="216"/>
      <c r="G6" s="216"/>
    </row>
    <row r="7" spans="1:7" s="162" customFormat="1" ht="16.5" customHeight="1">
      <c r="A7" s="239" t="s">
        <v>23</v>
      </c>
      <c r="B7" s="240"/>
      <c r="C7" s="194" t="s">
        <v>110</v>
      </c>
      <c r="E7" s="216"/>
      <c r="F7" s="216"/>
      <c r="G7" s="216"/>
    </row>
    <row r="8" spans="1:7" s="163" customFormat="1" ht="16.5" customHeight="1">
      <c r="A8" s="241" t="s">
        <v>24</v>
      </c>
      <c r="B8" s="242"/>
      <c r="C8" s="206" t="s">
        <v>111</v>
      </c>
      <c r="E8" s="216"/>
      <c r="F8" s="216"/>
      <c r="G8" s="216"/>
    </row>
    <row r="9" spans="1:7" ht="15.8" customHeight="1">
      <c r="A9" s="243" t="s">
        <v>74</v>
      </c>
      <c r="B9" s="244"/>
      <c r="C9" s="245"/>
    </row>
    <row r="10" spans="1:7" ht="26.5" customHeight="1">
      <c r="A10" s="217" t="s">
        <v>104</v>
      </c>
      <c r="B10" s="218"/>
      <c r="C10" s="219"/>
    </row>
    <row r="11" spans="1:7" ht="16.5" customHeight="1">
      <c r="A11" s="204">
        <v>1</v>
      </c>
      <c r="B11" s="222" t="s">
        <v>68</v>
      </c>
      <c r="C11" s="222"/>
      <c r="D11" s="203"/>
      <c r="E11" s="203"/>
    </row>
    <row r="12" spans="1:7" ht="16.5" customHeight="1">
      <c r="A12" s="202">
        <v>2</v>
      </c>
      <c r="B12" s="222" t="s">
        <v>31</v>
      </c>
      <c r="C12" s="222"/>
      <c r="D12" s="203"/>
      <c r="E12" s="203"/>
    </row>
    <row r="13" spans="1:7" ht="16.5" customHeight="1">
      <c r="A13" s="202">
        <v>3</v>
      </c>
      <c r="B13" s="222" t="s">
        <v>32</v>
      </c>
      <c r="C13" s="222"/>
      <c r="D13" s="203"/>
      <c r="E13" s="203"/>
    </row>
    <row r="14" spans="1:7" ht="16.5" customHeight="1">
      <c r="A14" s="202">
        <v>4</v>
      </c>
      <c r="B14" s="222" t="s">
        <v>66</v>
      </c>
      <c r="C14" s="222"/>
      <c r="D14" s="203"/>
      <c r="E14" s="203"/>
    </row>
    <row r="15" spans="1:7" ht="16.5" customHeight="1">
      <c r="A15" s="202">
        <v>6</v>
      </c>
      <c r="B15" s="222" t="s">
        <v>67</v>
      </c>
      <c r="C15" s="222"/>
      <c r="D15" s="203"/>
      <c r="E15" s="203"/>
    </row>
    <row r="16" spans="1:7" ht="18" customHeight="1">
      <c r="A16" s="202">
        <v>7</v>
      </c>
      <c r="B16" s="222" t="s">
        <v>33</v>
      </c>
      <c r="C16" s="222"/>
      <c r="D16" s="203"/>
      <c r="E16" s="203"/>
    </row>
    <row r="17" spans="1:3" ht="15.8" customHeight="1">
      <c r="A17" s="236" t="s">
        <v>46</v>
      </c>
      <c r="B17" s="237"/>
      <c r="C17" s="238"/>
    </row>
    <row r="18" spans="1:3" ht="14.3" customHeight="1">
      <c r="A18" s="199">
        <v>3</v>
      </c>
      <c r="B18" s="220" t="s">
        <v>84</v>
      </c>
      <c r="C18" s="221"/>
    </row>
    <row r="19" spans="1:3" ht="14.3" customHeight="1">
      <c r="A19" s="247" t="s">
        <v>20</v>
      </c>
      <c r="B19" s="248"/>
      <c r="C19" s="249"/>
    </row>
    <row r="20" spans="1:3" ht="12.9">
      <c r="A20" s="198">
        <v>1</v>
      </c>
      <c r="B20" s="246" t="s">
        <v>34</v>
      </c>
      <c r="C20" s="246"/>
    </row>
    <row r="21" spans="1:3" ht="93.25" customHeight="1">
      <c r="A21" s="199">
        <v>2</v>
      </c>
      <c r="B21" s="224" t="s">
        <v>47</v>
      </c>
      <c r="C21" s="224"/>
    </row>
    <row r="22" spans="1:3" ht="12.9">
      <c r="A22" s="199">
        <v>3</v>
      </c>
      <c r="B22" s="224" t="s">
        <v>101</v>
      </c>
      <c r="C22" s="224"/>
    </row>
    <row r="23" spans="1:3" ht="12.9">
      <c r="A23" s="199">
        <v>4</v>
      </c>
      <c r="B23" s="224" t="s">
        <v>102</v>
      </c>
      <c r="C23" s="224"/>
    </row>
    <row r="24" spans="1:3" ht="15.8" customHeight="1">
      <c r="A24" s="228" t="s">
        <v>45</v>
      </c>
      <c r="B24" s="228"/>
      <c r="C24" s="228"/>
    </row>
    <row r="25" spans="1:3" ht="12.75" customHeight="1">
      <c r="A25" s="198">
        <v>1</v>
      </c>
      <c r="B25" s="231" t="s">
        <v>35</v>
      </c>
      <c r="C25" s="231"/>
    </row>
    <row r="26" spans="1:3" ht="12.9">
      <c r="A26" s="199">
        <v>2</v>
      </c>
      <c r="B26" s="232" t="s">
        <v>36</v>
      </c>
      <c r="C26" s="232"/>
    </row>
    <row r="27" spans="1:3" ht="12.75" customHeight="1">
      <c r="A27" s="199">
        <v>3</v>
      </c>
      <c r="B27" s="224" t="s">
        <v>101</v>
      </c>
      <c r="C27" s="224"/>
    </row>
    <row r="28" spans="1:3" ht="13.75" customHeight="1">
      <c r="A28" s="225" t="s">
        <v>50</v>
      </c>
      <c r="B28" s="226"/>
      <c r="C28" s="227"/>
    </row>
    <row r="29" spans="1:3" ht="12.9">
      <c r="A29" s="198">
        <v>1</v>
      </c>
      <c r="B29" s="231" t="s">
        <v>35</v>
      </c>
      <c r="C29" s="231"/>
    </row>
    <row r="30" spans="1:3" ht="12.9">
      <c r="A30" s="199">
        <v>2</v>
      </c>
      <c r="B30" s="232" t="s">
        <v>36</v>
      </c>
      <c r="C30" s="232"/>
    </row>
    <row r="31" spans="1:3" ht="12.75" customHeight="1">
      <c r="A31" s="199">
        <v>3</v>
      </c>
      <c r="B31" s="224" t="s">
        <v>101</v>
      </c>
      <c r="C31" s="224"/>
    </row>
    <row r="32" spans="1:3" ht="13.75" customHeight="1">
      <c r="A32" s="225" t="s">
        <v>54</v>
      </c>
      <c r="B32" s="226"/>
      <c r="C32" s="227"/>
    </row>
    <row r="33" spans="1:3" ht="64.55" customHeight="1">
      <c r="A33" s="198">
        <v>1</v>
      </c>
      <c r="B33" s="229" t="s">
        <v>81</v>
      </c>
      <c r="C33" s="230"/>
    </row>
    <row r="34" spans="1:3" ht="117.7" customHeight="1">
      <c r="A34" s="199">
        <v>2</v>
      </c>
      <c r="B34" s="229" t="s">
        <v>103</v>
      </c>
      <c r="C34" s="230"/>
    </row>
    <row r="35" spans="1:3" ht="54.7" customHeight="1">
      <c r="A35" s="199">
        <v>3</v>
      </c>
      <c r="B35" s="229" t="s">
        <v>82</v>
      </c>
      <c r="C35" s="230"/>
    </row>
    <row r="36" spans="1:3" ht="32.299999999999997" customHeight="1">
      <c r="A36" s="199">
        <v>4</v>
      </c>
      <c r="B36" s="229" t="s">
        <v>59</v>
      </c>
      <c r="C36" s="230"/>
    </row>
    <row r="37" spans="1:3" ht="15.8" customHeight="1">
      <c r="A37" s="199">
        <v>5</v>
      </c>
      <c r="B37" s="224" t="s">
        <v>69</v>
      </c>
      <c r="C37" s="224"/>
    </row>
    <row r="38" spans="1:3" ht="107.5" customHeight="1">
      <c r="A38" s="199">
        <v>6</v>
      </c>
      <c r="B38" s="233" t="s">
        <v>100</v>
      </c>
      <c r="C38" s="224"/>
    </row>
    <row r="39" spans="1:3" ht="13.75" customHeight="1">
      <c r="A39" s="225" t="s">
        <v>21</v>
      </c>
      <c r="B39" s="226"/>
      <c r="C39" s="227"/>
    </row>
    <row r="40" spans="1:3" ht="12.75" customHeight="1">
      <c r="A40" s="198">
        <v>1</v>
      </c>
      <c r="B40" s="246" t="s">
        <v>37</v>
      </c>
      <c r="C40" s="246"/>
    </row>
    <row r="41" spans="1:3" ht="27.7" customHeight="1">
      <c r="A41" s="199">
        <v>2</v>
      </c>
      <c r="B41" s="224" t="s">
        <v>75</v>
      </c>
      <c r="C41" s="224"/>
    </row>
    <row r="42" spans="1:3" ht="15.8" customHeight="1">
      <c r="A42" s="200">
        <v>3</v>
      </c>
      <c r="B42" s="224" t="s">
        <v>38</v>
      </c>
      <c r="C42" s="224"/>
    </row>
    <row r="43" spans="1:3" ht="43.5" customHeight="1">
      <c r="A43" s="201">
        <v>4</v>
      </c>
      <c r="B43" s="223" t="s">
        <v>79</v>
      </c>
      <c r="C43" s="22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42" sqref="B42"/>
    </sheetView>
  </sheetViews>
  <sheetFormatPr defaultColWidth="9.125" defaultRowHeight="11.55"/>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c r="A2" s="255" t="s">
        <v>25</v>
      </c>
      <c r="B2" s="256"/>
      <c r="C2" s="261">
        <f>IF(ISBLANK('PROJECT ID|INSTRUCTIONS'!C3)," ",'PROJECT ID|INSTRUCTIONS'!C3)</f>
        <v>1</v>
      </c>
      <c r="D2" s="262"/>
      <c r="E2" s="262"/>
      <c r="F2" s="263"/>
    </row>
    <row r="3" spans="1:6" s="19" customFormat="1" ht="16.5" customHeight="1">
      <c r="A3" s="257" t="s">
        <v>22</v>
      </c>
      <c r="B3" s="258"/>
      <c r="C3" s="264" t="str">
        <f>IF(ISBLANK('PROJECT ID|INSTRUCTIONS'!C4)," ",'PROJECT ID|INSTRUCTIONS'!C4)</f>
        <v>Public Defender CISS Readiness / Case Management System</v>
      </c>
      <c r="D3" s="265"/>
      <c r="E3" s="265"/>
      <c r="F3" s="266"/>
    </row>
    <row r="4" spans="1:6" s="19" customFormat="1" ht="16.5" customHeight="1">
      <c r="A4" s="259" t="s">
        <v>26</v>
      </c>
      <c r="B4" s="260"/>
      <c r="C4" s="267">
        <f>IF(ISBLANK('PROJECT ID|INSTRUCTIONS'!C5)," ",'PROJECT ID|INSTRUCTIONS'!C5)</f>
        <v>41775</v>
      </c>
      <c r="D4" s="268"/>
      <c r="E4" s="268"/>
      <c r="F4" s="269"/>
    </row>
    <row r="5" spans="1:6" s="20" customFormat="1" ht="12.25" customHeight="1"/>
    <row r="6" spans="1:6" s="20" customFormat="1" ht="18.7" customHeight="1">
      <c r="A6" s="252" t="s">
        <v>20</v>
      </c>
      <c r="B6" s="253"/>
      <c r="C6" s="253"/>
      <c r="D6" s="253"/>
      <c r="E6" s="253"/>
      <c r="F6" s="254"/>
    </row>
    <row r="7" spans="1:6" ht="14.3"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7"/>
      <c r="C10" s="12"/>
      <c r="D10" s="15"/>
      <c r="E10" s="12"/>
      <c r="F10" s="15"/>
    </row>
    <row r="11" spans="1:6" s="27" customFormat="1">
      <c r="A11" s="97"/>
      <c r="B11" s="127"/>
      <c r="C11" s="13"/>
      <c r="D11" s="14"/>
      <c r="E11" s="13"/>
      <c r="F11" s="14"/>
    </row>
    <row r="12" spans="1:6" s="27" customFormat="1">
      <c r="A12" s="97"/>
      <c r="B12" s="127"/>
      <c r="C12" s="13"/>
      <c r="D12" s="14"/>
      <c r="E12" s="13"/>
      <c r="F12" s="14"/>
    </row>
    <row r="13" spans="1:6" s="27" customFormat="1">
      <c r="A13" s="97"/>
      <c r="B13" s="127"/>
      <c r="C13" s="12"/>
      <c r="D13" s="15"/>
      <c r="E13" s="12"/>
      <c r="F13" s="15"/>
    </row>
    <row r="14" spans="1:6" s="27" customFormat="1">
      <c r="A14" s="97"/>
      <c r="B14" s="127"/>
      <c r="C14" s="12"/>
      <c r="D14" s="15"/>
      <c r="E14" s="12"/>
      <c r="F14" s="15"/>
    </row>
    <row r="15" spans="1:6" ht="14.95" customHeight="1">
      <c r="A15" s="34" t="s">
        <v>11</v>
      </c>
      <c r="B15" s="35"/>
      <c r="C15" s="100"/>
      <c r="D15" s="101"/>
      <c r="E15" s="100"/>
      <c r="F15" s="101"/>
    </row>
    <row r="16" spans="1:6" s="27" customFormat="1">
      <c r="A16" s="97"/>
      <c r="B16" s="127" t="s">
        <v>115</v>
      </c>
      <c r="C16" s="13"/>
      <c r="D16" s="14"/>
      <c r="E16" s="13" t="s">
        <v>112</v>
      </c>
      <c r="F16" s="14">
        <v>1809750</v>
      </c>
    </row>
    <row r="17" spans="1:6" s="27" customFormat="1">
      <c r="A17" s="97"/>
      <c r="B17" s="127" t="s">
        <v>113</v>
      </c>
      <c r="C17" s="13"/>
      <c r="D17" s="14"/>
      <c r="E17" s="13" t="s">
        <v>112</v>
      </c>
      <c r="F17" s="14">
        <v>75000</v>
      </c>
    </row>
    <row r="18" spans="1:6" s="27" customFormat="1">
      <c r="A18" s="97"/>
      <c r="B18" s="127" t="s">
        <v>114</v>
      </c>
      <c r="C18" s="13"/>
      <c r="D18" s="14"/>
      <c r="E18" s="13" t="s">
        <v>112</v>
      </c>
      <c r="F18" s="14">
        <v>35000</v>
      </c>
    </row>
    <row r="19" spans="1:6" s="27" customFormat="1">
      <c r="A19" s="97"/>
      <c r="B19" s="127"/>
      <c r="C19" s="12"/>
      <c r="D19" s="15"/>
      <c r="E19" s="12"/>
      <c r="F19" s="15"/>
    </row>
    <row r="20" spans="1:6" s="27" customFormat="1">
      <c r="A20" s="97"/>
      <c r="B20" s="127"/>
      <c r="C20" s="16"/>
      <c r="D20" s="17"/>
      <c r="E20" s="16"/>
      <c r="F20" s="17"/>
    </row>
    <row r="21" spans="1:6" ht="14.95" customHeight="1">
      <c r="A21" s="34" t="s">
        <v>12</v>
      </c>
      <c r="B21" s="35"/>
      <c r="C21" s="98"/>
      <c r="D21" s="99"/>
      <c r="E21" s="188"/>
      <c r="F21" s="99"/>
    </row>
    <row r="22" spans="1:6" s="27" customFormat="1">
      <c r="A22" s="36"/>
      <c r="B22" s="128"/>
      <c r="C22" s="13"/>
      <c r="D22" s="14"/>
      <c r="E22" s="13"/>
      <c r="F22" s="14"/>
    </row>
    <row r="23" spans="1:6" s="27" customFormat="1">
      <c r="A23" s="36"/>
      <c r="B23" s="129"/>
      <c r="C23" s="13"/>
      <c r="D23" s="14"/>
      <c r="E23" s="13"/>
      <c r="F23" s="14"/>
    </row>
    <row r="24" spans="1:6" s="27" customFormat="1">
      <c r="A24" s="36"/>
      <c r="B24" s="129"/>
      <c r="C24" s="13"/>
      <c r="D24" s="14"/>
      <c r="E24" s="13"/>
      <c r="F24" s="14"/>
    </row>
    <row r="25" spans="1:6" s="27" customFormat="1">
      <c r="A25" s="36"/>
      <c r="B25" s="128"/>
      <c r="C25" s="12"/>
      <c r="D25" s="15"/>
      <c r="E25" s="12"/>
      <c r="F25" s="15"/>
    </row>
    <row r="26" spans="1:6" s="27" customFormat="1" ht="12.25" thickBot="1">
      <c r="A26" s="36"/>
      <c r="B26" s="130"/>
      <c r="C26" s="16"/>
      <c r="D26" s="17"/>
      <c r="E26" s="16"/>
      <c r="F26" s="17"/>
    </row>
    <row r="27" spans="1:6" ht="18" customHeight="1" thickTop="1" thickBot="1">
      <c r="A27" s="250" t="s">
        <v>0</v>
      </c>
      <c r="B27" s="251"/>
      <c r="C27" s="28"/>
      <c r="D27" s="29">
        <f>SUM(D9:D26)</f>
        <v>0</v>
      </c>
      <c r="E27" s="28"/>
      <c r="F27" s="29">
        <f>SUM(F9:F26)</f>
        <v>1919750</v>
      </c>
    </row>
    <row r="28" spans="1:6" ht="12.2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7"/>
  <sheetViews>
    <sheetView showGridLines="0" topLeftCell="B1" zoomScaleNormal="100" workbookViewId="0">
      <pane ySplit="7" topLeftCell="A8" activePane="bottomLeft" state="frozen"/>
      <selection pane="bottomLeft" activeCell="J20" sqref="J20"/>
    </sheetView>
  </sheetViews>
  <sheetFormatPr defaultColWidth="9.125" defaultRowHeight="12.9"/>
  <cols>
    <col min="1" max="2" width="10.75" style="20" customWidth="1"/>
    <col min="3" max="3" width="29.75" style="20" customWidth="1"/>
    <col min="4" max="10" width="12.75" style="20" customWidth="1"/>
    <col min="11" max="11" width="14.125" style="20" customWidth="1"/>
    <col min="12" max="16384" width="9.125" style="20"/>
  </cols>
  <sheetData>
    <row r="1" spans="1:11" ht="12.25" customHeight="1"/>
    <row r="2" spans="1:11" ht="16.5" customHeight="1">
      <c r="A2" s="270" t="s">
        <v>25</v>
      </c>
      <c r="B2" s="271"/>
      <c r="C2" s="272"/>
      <c r="D2" s="261">
        <f>IF(ISBLANK('PROJECT ID|INSTRUCTIONS'!C3)," ",'PROJECT ID|INSTRUCTIONS'!C3)</f>
        <v>1</v>
      </c>
      <c r="E2" s="262"/>
      <c r="F2" s="262"/>
      <c r="G2" s="262"/>
      <c r="H2" s="262"/>
      <c r="I2" s="263"/>
    </row>
    <row r="3" spans="1:11" ht="16.5" customHeight="1">
      <c r="A3" s="273" t="s">
        <v>22</v>
      </c>
      <c r="B3" s="274"/>
      <c r="C3" s="258"/>
      <c r="D3" s="264" t="str">
        <f>IF(ISBLANK('PROJECT ID|INSTRUCTIONS'!C4)," ",'PROJECT ID|INSTRUCTIONS'!C4)</f>
        <v>Public Defender CISS Readiness / Case Management System</v>
      </c>
      <c r="E3" s="265"/>
      <c r="F3" s="265"/>
      <c r="G3" s="265"/>
      <c r="H3" s="265"/>
      <c r="I3" s="266"/>
    </row>
    <row r="4" spans="1:11" ht="16.5" customHeight="1">
      <c r="A4" s="275" t="s">
        <v>26</v>
      </c>
      <c r="B4" s="276"/>
      <c r="C4" s="277"/>
      <c r="D4" s="267">
        <f>IF(ISBLANK('PROJECT ID|INSTRUCTIONS'!C5)," ",'PROJECT ID|INSTRUCTIONS'!C5)</f>
        <v>41775</v>
      </c>
      <c r="E4" s="268"/>
      <c r="F4" s="268"/>
      <c r="G4" s="268"/>
      <c r="H4" s="268"/>
      <c r="I4" s="269"/>
    </row>
    <row r="5" spans="1:11" s="51" customFormat="1" ht="12.25" customHeight="1">
      <c r="A5" s="50" t="s">
        <v>48</v>
      </c>
      <c r="B5" s="50"/>
      <c r="C5" s="50"/>
      <c r="D5" s="50"/>
      <c r="E5" s="50"/>
      <c r="F5" s="50"/>
      <c r="G5" s="50"/>
    </row>
    <row r="6" spans="1:11" s="52" customFormat="1" ht="18" customHeight="1">
      <c r="A6" s="281" t="s">
        <v>55</v>
      </c>
      <c r="B6" s="282"/>
      <c r="C6" s="282"/>
      <c r="D6" s="282"/>
      <c r="E6" s="282"/>
      <c r="F6" s="282"/>
      <c r="G6" s="282"/>
      <c r="H6" s="282"/>
      <c r="I6" s="282"/>
      <c r="J6" s="282"/>
      <c r="K6" s="283"/>
    </row>
    <row r="7" spans="1:11" s="52" customFormat="1" ht="27.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84" t="s">
        <v>86</v>
      </c>
      <c r="B8" s="58">
        <v>50110</v>
      </c>
      <c r="C8" s="58" t="s">
        <v>87</v>
      </c>
      <c r="D8" s="3"/>
      <c r="E8" s="3"/>
      <c r="F8" s="3"/>
      <c r="G8" s="3"/>
      <c r="H8" s="3"/>
      <c r="I8" s="3"/>
      <c r="J8" s="3"/>
      <c r="K8" s="179">
        <f>SUM(D8:J8)</f>
        <v>0</v>
      </c>
    </row>
    <row r="9" spans="1:11" ht="16.5" customHeight="1">
      <c r="A9" s="285"/>
      <c r="B9" s="58">
        <v>50130</v>
      </c>
      <c r="C9" s="58" t="s">
        <v>88</v>
      </c>
      <c r="D9" s="1"/>
      <c r="E9" s="1"/>
      <c r="F9" s="1"/>
      <c r="G9" s="1"/>
      <c r="H9" s="1"/>
      <c r="I9" s="1"/>
      <c r="J9" s="1"/>
      <c r="K9" s="99">
        <f t="shared" ref="K9:K19" si="0">SUM(D9:J9)</f>
        <v>0</v>
      </c>
    </row>
    <row r="10" spans="1:11" ht="16.5" customHeight="1">
      <c r="A10" s="285"/>
      <c r="B10" s="58">
        <v>50170</v>
      </c>
      <c r="C10" s="58" t="s">
        <v>89</v>
      </c>
      <c r="D10" s="2"/>
      <c r="E10" s="2"/>
      <c r="F10" s="2"/>
      <c r="G10" s="2"/>
      <c r="H10" s="2"/>
      <c r="I10" s="2"/>
      <c r="J10" s="2"/>
      <c r="K10" s="187">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7" t="s">
        <v>85</v>
      </c>
      <c r="B12" s="58">
        <v>53715</v>
      </c>
      <c r="C12" s="58" t="s">
        <v>90</v>
      </c>
      <c r="D12" s="3">
        <v>54359</v>
      </c>
      <c r="E12" s="3">
        <f>157500+151250+30000</f>
        <v>338750</v>
      </c>
      <c r="F12" s="3"/>
      <c r="G12" s="3">
        <f>200000+20000</f>
        <v>220000</v>
      </c>
      <c r="H12" s="3">
        <f>180000+250000+50000</f>
        <v>480000</v>
      </c>
      <c r="I12" s="3">
        <f>60000+250000+50000</f>
        <v>360000</v>
      </c>
      <c r="J12" s="3"/>
      <c r="K12" s="186">
        <f t="shared" si="0"/>
        <v>1453109</v>
      </c>
    </row>
    <row r="13" spans="1:11" ht="16.5" customHeight="1">
      <c r="A13" s="285"/>
      <c r="B13" s="58">
        <v>53720</v>
      </c>
      <c r="C13" s="58" t="s">
        <v>91</v>
      </c>
      <c r="D13" s="1"/>
      <c r="E13" s="1">
        <v>138000</v>
      </c>
      <c r="F13" s="1"/>
      <c r="G13" s="1"/>
      <c r="H13" s="1"/>
      <c r="I13" s="1"/>
      <c r="J13" s="1"/>
      <c r="K13" s="99">
        <f t="shared" si="0"/>
        <v>138000</v>
      </c>
    </row>
    <row r="14" spans="1:11" ht="16.5" customHeight="1">
      <c r="A14" s="285"/>
      <c r="B14" s="58">
        <v>53735</v>
      </c>
      <c r="C14" s="58" t="s">
        <v>92</v>
      </c>
      <c r="D14" s="1"/>
      <c r="E14" s="1"/>
      <c r="F14" s="1"/>
      <c r="G14" s="1"/>
      <c r="H14" s="1"/>
      <c r="I14" s="1"/>
      <c r="J14" s="1"/>
      <c r="K14" s="99">
        <f t="shared" si="0"/>
        <v>0</v>
      </c>
    </row>
    <row r="15" spans="1:11" ht="16.5" customHeight="1">
      <c r="A15" s="285"/>
      <c r="B15" s="58">
        <v>53740</v>
      </c>
      <c r="C15" s="58" t="s">
        <v>93</v>
      </c>
      <c r="D15" s="1"/>
      <c r="E15" s="1"/>
      <c r="F15" s="1"/>
      <c r="G15" s="1"/>
      <c r="H15" s="1"/>
      <c r="I15" s="1"/>
      <c r="J15" s="1"/>
      <c r="K15" s="99">
        <f t="shared" si="0"/>
        <v>0</v>
      </c>
    </row>
    <row r="16" spans="1:11" ht="16.5" customHeight="1">
      <c r="A16" s="285"/>
      <c r="B16" s="58">
        <v>53755</v>
      </c>
      <c r="C16" s="58" t="s">
        <v>94</v>
      </c>
      <c r="D16" s="1"/>
      <c r="E16" s="1">
        <v>23000</v>
      </c>
      <c r="F16" s="1"/>
      <c r="G16" s="1">
        <f>350000</f>
        <v>350000</v>
      </c>
      <c r="H16" s="1">
        <f>250000</f>
        <v>250000</v>
      </c>
      <c r="I16" s="1">
        <v>60000</v>
      </c>
      <c r="J16" s="1"/>
      <c r="K16" s="99">
        <f t="shared" si="0"/>
        <v>683000</v>
      </c>
    </row>
    <row r="17" spans="1:11" ht="16.5" customHeight="1">
      <c r="A17" s="285"/>
      <c r="B17" s="58">
        <v>53760</v>
      </c>
      <c r="C17" s="58" t="s">
        <v>95</v>
      </c>
      <c r="D17" s="1"/>
      <c r="E17" s="1">
        <v>4500</v>
      </c>
      <c r="F17" s="1"/>
      <c r="G17" s="1"/>
      <c r="H17" s="1">
        <v>275000</v>
      </c>
      <c r="I17" s="1">
        <v>289000</v>
      </c>
      <c r="J17" s="1"/>
      <c r="K17" s="187">
        <f t="shared" si="0"/>
        <v>568500</v>
      </c>
    </row>
    <row r="18" spans="1:11" ht="16.5" customHeight="1" thickBot="1">
      <c r="A18" s="286"/>
      <c r="B18" s="59" t="s">
        <v>16</v>
      </c>
      <c r="C18" s="59"/>
      <c r="D18" s="60">
        <f>SUM(D12:D17)</f>
        <v>54359</v>
      </c>
      <c r="E18" s="60">
        <f>SUM(E12:E17)</f>
        <v>504250</v>
      </c>
      <c r="F18" s="60">
        <f t="shared" ref="F18:J18" si="2">SUM(F12:F17)</f>
        <v>0</v>
      </c>
      <c r="G18" s="60">
        <f t="shared" si="2"/>
        <v>570000</v>
      </c>
      <c r="H18" s="60">
        <f t="shared" si="2"/>
        <v>1005000</v>
      </c>
      <c r="I18" s="60">
        <f t="shared" si="2"/>
        <v>709000</v>
      </c>
      <c r="J18" s="60">
        <f t="shared" si="2"/>
        <v>0</v>
      </c>
      <c r="K18" s="61">
        <f>SUM(D18:J18)</f>
        <v>2842609</v>
      </c>
    </row>
    <row r="19" spans="1:11" ht="16.5" customHeight="1" thickTop="1">
      <c r="A19" s="287" t="s">
        <v>96</v>
      </c>
      <c r="B19" s="58">
        <v>55700</v>
      </c>
      <c r="C19" s="58" t="s">
        <v>97</v>
      </c>
      <c r="D19" s="1">
        <v>50162</v>
      </c>
      <c r="E19" s="1">
        <v>246000</v>
      </c>
      <c r="F19" s="1"/>
      <c r="G19" s="1">
        <v>250000</v>
      </c>
      <c r="H19" s="1">
        <f>275000</f>
        <v>275000</v>
      </c>
      <c r="I19" s="1">
        <v>275000</v>
      </c>
      <c r="J19" s="1"/>
      <c r="K19" s="186">
        <f t="shared" si="0"/>
        <v>1096162</v>
      </c>
    </row>
    <row r="20" spans="1:11" ht="16.5" customHeight="1">
      <c r="A20" s="284"/>
      <c r="B20" s="58">
        <v>55710</v>
      </c>
      <c r="C20" s="58" t="s">
        <v>98</v>
      </c>
      <c r="D20" s="1"/>
      <c r="E20" s="1"/>
      <c r="F20" s="1"/>
      <c r="G20" s="1"/>
      <c r="H20" s="1"/>
      <c r="I20" s="1"/>
      <c r="J20" s="1"/>
      <c r="K20" s="207"/>
    </row>
    <row r="21" spans="1:11" ht="48.25" customHeight="1">
      <c r="A21" s="284"/>
      <c r="B21" s="58">
        <v>55730</v>
      </c>
      <c r="C21" s="58" t="s">
        <v>99</v>
      </c>
      <c r="D21" s="1"/>
      <c r="E21" s="1"/>
      <c r="F21" s="1"/>
      <c r="G21" s="1"/>
      <c r="H21" s="1"/>
      <c r="I21" s="1"/>
      <c r="J21" s="1"/>
      <c r="K21" s="207"/>
    </row>
    <row r="22" spans="1:11" ht="16.5" customHeight="1" thickBot="1">
      <c r="A22" s="286"/>
      <c r="B22" s="59" t="s">
        <v>16</v>
      </c>
      <c r="C22" s="59"/>
      <c r="D22" s="60">
        <f t="shared" ref="D22:J22" si="3">SUM(D19:D21)</f>
        <v>50162</v>
      </c>
      <c r="E22" s="60">
        <f t="shared" si="3"/>
        <v>246000</v>
      </c>
      <c r="F22" s="60">
        <f t="shared" si="3"/>
        <v>0</v>
      </c>
      <c r="G22" s="60">
        <f t="shared" si="3"/>
        <v>250000</v>
      </c>
      <c r="H22" s="60">
        <f t="shared" si="3"/>
        <v>275000</v>
      </c>
      <c r="I22" s="60">
        <f t="shared" si="3"/>
        <v>275000</v>
      </c>
      <c r="J22" s="60">
        <f t="shared" si="3"/>
        <v>0</v>
      </c>
      <c r="K22" s="61">
        <f>SUM(D22:J22)</f>
        <v>1096162</v>
      </c>
    </row>
    <row r="23" spans="1:11" ht="16.5" customHeight="1" thickTop="1" thickBot="1">
      <c r="A23" s="278" t="s">
        <v>17</v>
      </c>
      <c r="B23" s="279"/>
      <c r="C23" s="280"/>
      <c r="D23" s="29">
        <f t="shared" ref="D23:J23" si="4">D11+D18+D22</f>
        <v>104521</v>
      </c>
      <c r="E23" s="29">
        <f>E11+E18+E22</f>
        <v>750250</v>
      </c>
      <c r="F23" s="29">
        <f t="shared" si="4"/>
        <v>0</v>
      </c>
      <c r="G23" s="29">
        <f t="shared" si="4"/>
        <v>820000</v>
      </c>
      <c r="H23" s="29">
        <f t="shared" si="4"/>
        <v>1280000</v>
      </c>
      <c r="I23" s="29">
        <f t="shared" si="4"/>
        <v>984000</v>
      </c>
      <c r="J23" s="29">
        <f t="shared" si="4"/>
        <v>0</v>
      </c>
      <c r="K23" s="29">
        <f>SUM(D23:J23)</f>
        <v>3938771</v>
      </c>
    </row>
    <row r="24" spans="1:11" ht="13.6" thickTop="1"/>
    <row r="25" spans="1:11">
      <c r="E25" s="210"/>
      <c r="F25" s="210"/>
      <c r="G25" s="210"/>
      <c r="H25" s="210"/>
      <c r="I25" s="210"/>
    </row>
    <row r="26" spans="1:11">
      <c r="F26" s="210"/>
      <c r="G26" s="210"/>
    </row>
    <row r="27" spans="1:11">
      <c r="J27" s="210"/>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J19" sqref="J19"/>
    </sheetView>
  </sheetViews>
  <sheetFormatPr defaultColWidth="9.125" defaultRowHeight="10.199999999999999"/>
  <cols>
    <col min="1" max="2" width="10.75" style="9" customWidth="1"/>
    <col min="3" max="3" width="29.75" style="9" customWidth="1"/>
    <col min="4" max="10" width="12.75" style="9" customWidth="1"/>
    <col min="11" max="11" width="13" style="9" customWidth="1"/>
    <col min="12" max="16384" width="9.125" style="9"/>
  </cols>
  <sheetData>
    <row r="1" spans="1:11" ht="12.25" customHeight="1"/>
    <row r="2" spans="1:11" s="65" customFormat="1" ht="16.5" customHeight="1">
      <c r="A2" s="270" t="s">
        <v>25</v>
      </c>
      <c r="B2" s="271"/>
      <c r="C2" s="271"/>
      <c r="D2" s="262">
        <f>IF(ISBLANK('PROJECT ID|INSTRUCTIONS'!C3)," ",'PROJECT ID|INSTRUCTIONS'!C3)</f>
        <v>1</v>
      </c>
      <c r="E2" s="288"/>
      <c r="F2" s="288"/>
      <c r="G2" s="288"/>
      <c r="H2" s="288"/>
      <c r="I2" s="289"/>
    </row>
    <row r="3" spans="1:11" s="65" customFormat="1" ht="16.5" customHeight="1">
      <c r="A3" s="273" t="s">
        <v>22</v>
      </c>
      <c r="B3" s="274"/>
      <c r="C3" s="274"/>
      <c r="D3" s="265" t="str">
        <f>IF(ISBLANK('PROJECT ID|INSTRUCTIONS'!C4)," ",'PROJECT ID|INSTRUCTIONS'!C4)</f>
        <v>Public Defender CISS Readiness / Case Management System</v>
      </c>
      <c r="E3" s="290"/>
      <c r="F3" s="290"/>
      <c r="G3" s="290"/>
      <c r="H3" s="290"/>
      <c r="I3" s="291"/>
    </row>
    <row r="4" spans="1:11" s="65" customFormat="1" ht="16.5" customHeight="1">
      <c r="A4" s="275" t="s">
        <v>26</v>
      </c>
      <c r="B4" s="276"/>
      <c r="C4" s="276"/>
      <c r="D4" s="268">
        <f>IF(ISBLANK('PROJECT ID|INSTRUCTIONS'!C5)," ",'PROJECT ID|INSTRUCTIONS'!C5)</f>
        <v>41775</v>
      </c>
      <c r="E4" s="292"/>
      <c r="F4" s="292"/>
      <c r="G4" s="292"/>
      <c r="H4" s="292"/>
      <c r="I4" s="293"/>
    </row>
    <row r="5" spans="1:11" s="65" customFormat="1" ht="12.25" customHeight="1">
      <c r="A5" s="66"/>
      <c r="B5" s="66"/>
      <c r="C5" s="66"/>
      <c r="D5" s="66"/>
      <c r="E5" s="67"/>
      <c r="F5" s="67"/>
      <c r="G5" s="67"/>
      <c r="H5" s="67"/>
      <c r="I5" s="67"/>
    </row>
    <row r="6" spans="1:11" ht="18" customHeight="1">
      <c r="A6" s="294" t="s">
        <v>56</v>
      </c>
      <c r="B6" s="295"/>
      <c r="C6" s="295"/>
      <c r="D6" s="295"/>
      <c r="E6" s="295"/>
      <c r="F6" s="295"/>
      <c r="G6" s="295"/>
      <c r="H6" s="295"/>
      <c r="I6" s="295"/>
      <c r="J6" s="295"/>
      <c r="K6" s="296"/>
    </row>
    <row r="7" spans="1:11" ht="27.8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84" t="s">
        <v>86</v>
      </c>
      <c r="B8" s="58">
        <v>50110</v>
      </c>
      <c r="C8" s="58" t="s">
        <v>87</v>
      </c>
      <c r="D8" s="205"/>
      <c r="E8" s="3"/>
      <c r="F8" s="3"/>
      <c r="G8" s="3"/>
      <c r="H8" s="3"/>
      <c r="I8" s="3"/>
      <c r="J8" s="40"/>
      <c r="K8" s="182">
        <f>SUM(D8:J8)</f>
        <v>0</v>
      </c>
    </row>
    <row r="9" spans="1:11" ht="16.5" customHeight="1">
      <c r="A9" s="285"/>
      <c r="B9" s="58">
        <v>50130</v>
      </c>
      <c r="C9" s="58" t="s">
        <v>88</v>
      </c>
      <c r="D9" s="1"/>
      <c r="E9" s="1"/>
      <c r="F9" s="1"/>
      <c r="G9" s="1"/>
      <c r="H9" s="1"/>
      <c r="I9" s="1"/>
      <c r="J9" s="41"/>
      <c r="K9" s="183">
        <f t="shared" ref="K9:K23" si="0">SUM(D9:J9)</f>
        <v>0</v>
      </c>
    </row>
    <row r="10" spans="1:11" ht="16.5" customHeight="1">
      <c r="A10" s="285"/>
      <c r="B10" s="58">
        <v>50170</v>
      </c>
      <c r="C10" s="58" t="s">
        <v>89</v>
      </c>
      <c r="D10" s="2"/>
      <c r="E10" s="2"/>
      <c r="F10" s="2"/>
      <c r="G10" s="2"/>
      <c r="H10" s="2"/>
      <c r="I10" s="2"/>
      <c r="J10" s="42"/>
      <c r="K10" s="184">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7" t="s">
        <v>85</v>
      </c>
      <c r="B12" s="58">
        <v>53715</v>
      </c>
      <c r="C12" s="58" t="s">
        <v>90</v>
      </c>
      <c r="D12" s="3"/>
      <c r="E12" s="3">
        <f>157500+151250+30000</f>
        <v>338750</v>
      </c>
      <c r="F12" s="3"/>
      <c r="G12" s="3">
        <f>200000+20000</f>
        <v>220000</v>
      </c>
      <c r="H12" s="3">
        <f>180000+250000+50000</f>
        <v>480000</v>
      </c>
      <c r="I12" s="3">
        <f>60000+250000+50000</f>
        <v>360000</v>
      </c>
      <c r="J12" s="3"/>
      <c r="K12" s="185">
        <f t="shared" si="0"/>
        <v>1398750</v>
      </c>
    </row>
    <row r="13" spans="1:11" ht="16.5" customHeight="1">
      <c r="A13" s="285"/>
      <c r="B13" s="58">
        <v>53720</v>
      </c>
      <c r="C13" s="58" t="s">
        <v>91</v>
      </c>
      <c r="D13" s="1"/>
      <c r="E13" s="1">
        <v>138000</v>
      </c>
      <c r="F13" s="1"/>
      <c r="G13" s="1"/>
      <c r="H13" s="1"/>
      <c r="I13" s="1"/>
      <c r="J13" s="1"/>
      <c r="K13" s="183">
        <f t="shared" si="0"/>
        <v>138000</v>
      </c>
    </row>
    <row r="14" spans="1:11" ht="16.5" customHeight="1">
      <c r="A14" s="285"/>
      <c r="B14" s="58">
        <v>53735</v>
      </c>
      <c r="C14" s="58" t="s">
        <v>92</v>
      </c>
      <c r="D14" s="1"/>
      <c r="E14" s="1"/>
      <c r="F14" s="1"/>
      <c r="G14" s="1"/>
      <c r="H14" s="1"/>
      <c r="I14" s="1"/>
      <c r="J14" s="1"/>
      <c r="K14" s="183">
        <f t="shared" si="0"/>
        <v>0</v>
      </c>
    </row>
    <row r="15" spans="1:11" ht="16.5" customHeight="1">
      <c r="A15" s="285"/>
      <c r="B15" s="58">
        <v>53740</v>
      </c>
      <c r="C15" s="58" t="s">
        <v>93</v>
      </c>
      <c r="D15" s="1"/>
      <c r="E15" s="1"/>
      <c r="F15" s="1"/>
      <c r="G15" s="1"/>
      <c r="H15" s="1"/>
      <c r="I15" s="1"/>
      <c r="J15" s="1"/>
      <c r="K15" s="183">
        <f t="shared" si="0"/>
        <v>0</v>
      </c>
    </row>
    <row r="16" spans="1:11" ht="16.5" customHeight="1">
      <c r="A16" s="285"/>
      <c r="B16" s="58">
        <v>53755</v>
      </c>
      <c r="C16" s="58" t="s">
        <v>94</v>
      </c>
      <c r="D16" s="1"/>
      <c r="E16" s="1">
        <v>23000</v>
      </c>
      <c r="F16" s="1"/>
      <c r="G16" s="1">
        <f>350000</f>
        <v>350000</v>
      </c>
      <c r="H16" s="1">
        <f>250000</f>
        <v>250000</v>
      </c>
      <c r="I16" s="1">
        <v>60000</v>
      </c>
      <c r="J16" s="1"/>
      <c r="K16" s="183">
        <f t="shared" si="0"/>
        <v>683000</v>
      </c>
    </row>
    <row r="17" spans="1:11" ht="16.5" customHeight="1">
      <c r="A17" s="285"/>
      <c r="B17" s="58">
        <v>53760</v>
      </c>
      <c r="C17" s="58" t="s">
        <v>95</v>
      </c>
      <c r="D17" s="1"/>
      <c r="E17" s="1">
        <v>4500</v>
      </c>
      <c r="F17" s="1"/>
      <c r="G17" s="1"/>
      <c r="H17" s="1">
        <v>275000</v>
      </c>
      <c r="I17" s="1">
        <v>289000</v>
      </c>
      <c r="J17" s="1"/>
      <c r="K17" s="184">
        <f t="shared" si="0"/>
        <v>568500</v>
      </c>
    </row>
    <row r="18" spans="1:11" ht="16.5" customHeight="1" thickBot="1">
      <c r="A18" s="286"/>
      <c r="B18" s="59" t="s">
        <v>16</v>
      </c>
      <c r="C18" s="59"/>
      <c r="D18" s="60">
        <f>SUM(D12:D17)</f>
        <v>0</v>
      </c>
      <c r="E18" s="60">
        <f t="shared" ref="E18:J18" si="2">SUM(E12:E17)</f>
        <v>504250</v>
      </c>
      <c r="F18" s="60">
        <f t="shared" si="2"/>
        <v>0</v>
      </c>
      <c r="G18" s="60">
        <f t="shared" si="2"/>
        <v>570000</v>
      </c>
      <c r="H18" s="60">
        <f t="shared" si="2"/>
        <v>1005000</v>
      </c>
      <c r="I18" s="60">
        <f t="shared" si="2"/>
        <v>709000</v>
      </c>
      <c r="J18" s="72">
        <f t="shared" si="2"/>
        <v>0</v>
      </c>
      <c r="K18" s="62">
        <f t="shared" si="0"/>
        <v>2788250</v>
      </c>
    </row>
    <row r="19" spans="1:11" ht="16.5" customHeight="1" thickTop="1">
      <c r="A19" s="287" t="s">
        <v>96</v>
      </c>
      <c r="B19" s="58">
        <v>55700</v>
      </c>
      <c r="C19" s="58" t="s">
        <v>97</v>
      </c>
      <c r="D19" s="1"/>
      <c r="E19" s="1">
        <v>246000</v>
      </c>
      <c r="F19" s="1"/>
      <c r="G19" s="1">
        <v>250000</v>
      </c>
      <c r="H19" s="1">
        <f>275000</f>
        <v>275000</v>
      </c>
      <c r="I19" s="1">
        <v>275000</v>
      </c>
      <c r="J19" s="1"/>
      <c r="K19" s="185">
        <f t="shared" si="0"/>
        <v>1046000</v>
      </c>
    </row>
    <row r="20" spans="1:11" ht="16.5" customHeight="1">
      <c r="A20" s="284"/>
      <c r="B20" s="58">
        <v>55710</v>
      </c>
      <c r="C20" s="58" t="s">
        <v>98</v>
      </c>
      <c r="D20" s="1"/>
      <c r="E20" s="1"/>
      <c r="F20" s="1"/>
      <c r="G20" s="1"/>
      <c r="H20" s="1"/>
      <c r="I20" s="1"/>
      <c r="J20" s="41"/>
      <c r="K20" s="208"/>
    </row>
    <row r="21" spans="1:11" ht="15.8" customHeight="1">
      <c r="A21" s="284"/>
      <c r="B21" s="58">
        <v>55730</v>
      </c>
      <c r="C21" s="58" t="s">
        <v>99</v>
      </c>
      <c r="D21" s="1"/>
      <c r="E21" s="1"/>
      <c r="F21" s="1"/>
      <c r="G21" s="1"/>
      <c r="H21" s="1"/>
      <c r="I21" s="1"/>
      <c r="J21" s="41"/>
      <c r="K21" s="184">
        <f t="shared" si="0"/>
        <v>0</v>
      </c>
    </row>
    <row r="22" spans="1:11" ht="16.5" customHeight="1" thickBot="1">
      <c r="A22" s="286"/>
      <c r="B22" s="59" t="s">
        <v>16</v>
      </c>
      <c r="C22" s="59"/>
      <c r="D22" s="60">
        <f>SUM(D19:D21)</f>
        <v>0</v>
      </c>
      <c r="E22" s="60">
        <f t="shared" ref="E22:J22" si="3">SUM(E19:E21)</f>
        <v>246000</v>
      </c>
      <c r="F22" s="60">
        <f t="shared" si="3"/>
        <v>0</v>
      </c>
      <c r="G22" s="60">
        <f t="shared" si="3"/>
        <v>250000</v>
      </c>
      <c r="H22" s="60">
        <f t="shared" si="3"/>
        <v>275000</v>
      </c>
      <c r="I22" s="60">
        <f t="shared" si="3"/>
        <v>275000</v>
      </c>
      <c r="J22" s="72">
        <f t="shared" si="3"/>
        <v>0</v>
      </c>
      <c r="K22" s="62">
        <f t="shared" si="0"/>
        <v>1046000</v>
      </c>
    </row>
    <row r="23" spans="1:11" ht="16.5" customHeight="1" thickTop="1" thickBot="1">
      <c r="A23" s="63" t="s">
        <v>17</v>
      </c>
      <c r="B23" s="64"/>
      <c r="C23" s="73"/>
      <c r="D23" s="29">
        <f t="shared" ref="D23:J23" si="4">D11+D18+D22</f>
        <v>0</v>
      </c>
      <c r="E23" s="29">
        <f t="shared" si="4"/>
        <v>750250</v>
      </c>
      <c r="F23" s="29">
        <f t="shared" si="4"/>
        <v>0</v>
      </c>
      <c r="G23" s="29">
        <f t="shared" si="4"/>
        <v>820000</v>
      </c>
      <c r="H23" s="29">
        <f t="shared" si="4"/>
        <v>1280000</v>
      </c>
      <c r="I23" s="29">
        <f t="shared" si="4"/>
        <v>984000</v>
      </c>
      <c r="J23" s="29">
        <f t="shared" si="4"/>
        <v>0</v>
      </c>
      <c r="K23" s="29">
        <f t="shared" si="0"/>
        <v>3834250</v>
      </c>
    </row>
    <row r="24" spans="1:11" ht="3.9"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2.9"/>
  <cols>
    <col min="1" max="1" width="7.375" style="75" customWidth="1"/>
    <col min="2" max="2" width="9.25" style="75" customWidth="1"/>
    <col min="3" max="3" width="74.375" style="76" customWidth="1"/>
    <col min="4" max="4" width="17.625" style="76" customWidth="1"/>
    <col min="5" max="5" width="15.125" style="76" customWidth="1"/>
    <col min="6" max="16384" width="9.125" style="76"/>
  </cols>
  <sheetData>
    <row r="1" spans="1:5" ht="12.25" customHeight="1"/>
    <row r="2" spans="1:5" ht="16.5" customHeight="1">
      <c r="A2" s="304" t="s">
        <v>25</v>
      </c>
      <c r="B2" s="305"/>
      <c r="C2" s="297">
        <f>IF(ISBLANK('PROJECT ID|INSTRUCTIONS'!C3)," ",'PROJECT ID|INSTRUCTIONS'!C3)</f>
        <v>1</v>
      </c>
      <c r="D2" s="297"/>
      <c r="E2" s="298"/>
    </row>
    <row r="3" spans="1:5" ht="16.5" customHeight="1">
      <c r="A3" s="306" t="s">
        <v>22</v>
      </c>
      <c r="B3" s="307"/>
      <c r="C3" s="299" t="str">
        <f>IF(ISBLANK('PROJECT ID|INSTRUCTIONS'!C4)," ",'PROJECT ID|INSTRUCTIONS'!C4)</f>
        <v>Public Defender CISS Readiness / Case Management System</v>
      </c>
      <c r="D3" s="299"/>
      <c r="E3" s="300"/>
    </row>
    <row r="4" spans="1:5" ht="16.5" customHeight="1">
      <c r="A4" s="308" t="s">
        <v>26</v>
      </c>
      <c r="B4" s="309"/>
      <c r="C4" s="301">
        <f>IF(ISBLANK('PROJECT ID|INSTRUCTIONS'!C5)," ",'PROJECT ID|INSTRUCTIONS'!C5)</f>
        <v>41775</v>
      </c>
      <c r="D4" s="301"/>
      <c r="E4" s="302"/>
    </row>
    <row r="5" spans="1:5" ht="12.25" customHeight="1"/>
    <row r="6" spans="1:5" ht="15.65">
      <c r="A6" s="311" t="s">
        <v>71</v>
      </c>
      <c r="B6" s="312"/>
      <c r="C6" s="312"/>
      <c r="D6" s="312"/>
      <c r="E6" s="313"/>
    </row>
    <row r="7" spans="1:5" ht="15.8" customHeight="1">
      <c r="A7" s="197" t="s">
        <v>44</v>
      </c>
      <c r="B7" s="189" t="s">
        <v>49</v>
      </c>
      <c r="C7" s="190" t="s">
        <v>83</v>
      </c>
      <c r="D7" s="190" t="s">
        <v>51</v>
      </c>
      <c r="E7" s="191" t="s">
        <v>43</v>
      </c>
    </row>
    <row r="8" spans="1:5" ht="3.75" customHeight="1">
      <c r="A8" s="195"/>
      <c r="B8" s="195"/>
      <c r="C8" s="196"/>
      <c r="D8" s="196"/>
      <c r="E8" s="196"/>
    </row>
    <row r="9" spans="1:5" ht="14.3">
      <c r="A9" s="314" t="str">
        <f>CONCATENATE("FY ",Settings!$C$1-1)</f>
        <v>FY 2012</v>
      </c>
      <c r="B9" s="315"/>
      <c r="C9" s="315"/>
      <c r="D9" s="315"/>
      <c r="E9" s="316"/>
    </row>
    <row r="10" spans="1:5">
      <c r="A10" s="131">
        <v>2011</v>
      </c>
      <c r="B10" s="132">
        <v>1</v>
      </c>
      <c r="C10" s="175"/>
      <c r="D10" s="133"/>
      <c r="E10" s="134" t="s">
        <v>57</v>
      </c>
    </row>
    <row r="11" spans="1:5">
      <c r="A11" s="135">
        <v>2011</v>
      </c>
      <c r="B11" s="136">
        <v>2</v>
      </c>
      <c r="C11" s="176"/>
      <c r="D11" s="138"/>
      <c r="E11" s="139" t="s">
        <v>57</v>
      </c>
    </row>
    <row r="12" spans="1:5">
      <c r="A12" s="135">
        <v>2011</v>
      </c>
      <c r="B12" s="136">
        <v>3</v>
      </c>
      <c r="C12" s="177"/>
      <c r="D12" s="138"/>
      <c r="E12" s="139" t="s">
        <v>57</v>
      </c>
    </row>
    <row r="13" spans="1:5">
      <c r="A13" s="135">
        <v>2011</v>
      </c>
      <c r="B13" s="136">
        <v>4</v>
      </c>
      <c r="C13" s="177"/>
      <c r="D13" s="138"/>
      <c r="E13" s="139" t="s">
        <v>57</v>
      </c>
    </row>
    <row r="14" spans="1:5">
      <c r="A14" s="135">
        <v>2011</v>
      </c>
      <c r="B14" s="136">
        <v>5</v>
      </c>
      <c r="C14" s="177"/>
      <c r="D14" s="138"/>
      <c r="E14" s="139" t="s">
        <v>57</v>
      </c>
    </row>
    <row r="15" spans="1:5">
      <c r="A15" s="135">
        <v>2011</v>
      </c>
      <c r="B15" s="136">
        <v>6</v>
      </c>
      <c r="C15" s="177"/>
      <c r="D15" s="138"/>
      <c r="E15" s="139" t="s">
        <v>57</v>
      </c>
    </row>
    <row r="16" spans="1:5">
      <c r="A16" s="135">
        <v>2011</v>
      </c>
      <c r="B16" s="136">
        <v>7</v>
      </c>
      <c r="C16" s="177"/>
      <c r="D16" s="138"/>
      <c r="E16" s="139" t="s">
        <v>57</v>
      </c>
    </row>
    <row r="17" spans="1:5">
      <c r="A17" s="135">
        <v>2011</v>
      </c>
      <c r="B17" s="136">
        <v>8</v>
      </c>
      <c r="C17" s="177"/>
      <c r="D17" s="138"/>
      <c r="E17" s="139" t="s">
        <v>57</v>
      </c>
    </row>
    <row r="18" spans="1:5">
      <c r="A18" s="135">
        <v>2011</v>
      </c>
      <c r="B18" s="136">
        <v>9</v>
      </c>
      <c r="C18" s="177"/>
      <c r="D18" s="138"/>
      <c r="E18" s="139" t="s">
        <v>57</v>
      </c>
    </row>
    <row r="19" spans="1:5">
      <c r="A19" s="141">
        <v>2011</v>
      </c>
      <c r="B19" s="142">
        <v>10</v>
      </c>
      <c r="C19" s="178"/>
      <c r="D19" s="143"/>
      <c r="E19" s="144" t="s">
        <v>57</v>
      </c>
    </row>
    <row r="20" spans="1:5" ht="14.3">
      <c r="A20" s="317" t="str">
        <f>CONCATENATE("FY ",Settings!$C$1)</f>
        <v>FY 2013</v>
      </c>
      <c r="B20" s="318"/>
      <c r="C20" s="318"/>
      <c r="D20" s="318"/>
      <c r="E20" s="319"/>
    </row>
    <row r="21" spans="1:5">
      <c r="A21" s="131">
        <v>2012</v>
      </c>
      <c r="B21" s="132">
        <v>1</v>
      </c>
      <c r="C21" s="145"/>
      <c r="D21" s="169"/>
      <c r="E21" s="146" t="s">
        <v>76</v>
      </c>
    </row>
    <row r="22" spans="1:5">
      <c r="A22" s="135">
        <v>2012</v>
      </c>
      <c r="B22" s="136">
        <v>2</v>
      </c>
      <c r="C22" s="137"/>
      <c r="D22" s="170"/>
      <c r="E22" s="147" t="s">
        <v>76</v>
      </c>
    </row>
    <row r="23" spans="1:5">
      <c r="A23" s="135">
        <v>2012</v>
      </c>
      <c r="B23" s="136">
        <v>3</v>
      </c>
      <c r="C23" s="140"/>
      <c r="D23" s="170"/>
      <c r="E23" s="147" t="s">
        <v>76</v>
      </c>
    </row>
    <row r="24" spans="1:5">
      <c r="A24" s="135">
        <v>2012</v>
      </c>
      <c r="B24" s="136">
        <v>4</v>
      </c>
      <c r="C24" s="148"/>
      <c r="D24" s="170"/>
      <c r="E24" s="147" t="s">
        <v>76</v>
      </c>
    </row>
    <row r="25" spans="1:5">
      <c r="A25" s="135">
        <v>2012</v>
      </c>
      <c r="B25" s="136">
        <v>5</v>
      </c>
      <c r="C25" s="140"/>
      <c r="D25" s="170"/>
      <c r="E25" s="147" t="s">
        <v>76</v>
      </c>
    </row>
    <row r="26" spans="1:5">
      <c r="A26" s="135">
        <v>2012</v>
      </c>
      <c r="B26" s="136">
        <v>6</v>
      </c>
      <c r="C26" s="140"/>
      <c r="D26" s="170"/>
      <c r="E26" s="147" t="s">
        <v>76</v>
      </c>
    </row>
    <row r="27" spans="1:5">
      <c r="A27" s="135">
        <v>2012</v>
      </c>
      <c r="B27" s="136">
        <v>7</v>
      </c>
      <c r="C27" s="140"/>
      <c r="D27" s="170"/>
      <c r="E27" s="147" t="s">
        <v>76</v>
      </c>
    </row>
    <row r="28" spans="1:5">
      <c r="A28" s="135">
        <v>2012</v>
      </c>
      <c r="B28" s="136">
        <v>8</v>
      </c>
      <c r="C28" s="140"/>
      <c r="D28" s="170"/>
      <c r="E28" s="147" t="s">
        <v>76</v>
      </c>
    </row>
    <row r="29" spans="1:5">
      <c r="A29" s="135">
        <v>2012</v>
      </c>
      <c r="B29" s="136">
        <v>9</v>
      </c>
      <c r="C29" s="140"/>
      <c r="D29" s="170"/>
      <c r="E29" s="147" t="s">
        <v>76</v>
      </c>
    </row>
    <row r="30" spans="1:5">
      <c r="A30" s="135">
        <v>2012</v>
      </c>
      <c r="B30" s="136">
        <v>10</v>
      </c>
      <c r="C30" s="140"/>
      <c r="D30" s="170"/>
      <c r="E30" s="147" t="s">
        <v>76</v>
      </c>
    </row>
    <row r="31" spans="1:5">
      <c r="A31" s="135">
        <v>2012</v>
      </c>
      <c r="B31" s="136">
        <v>11</v>
      </c>
      <c r="C31" s="148"/>
      <c r="D31" s="170"/>
      <c r="E31" s="147" t="s">
        <v>76</v>
      </c>
    </row>
    <row r="32" spans="1:5">
      <c r="A32" s="135">
        <v>2012</v>
      </c>
      <c r="B32" s="136">
        <v>12</v>
      </c>
      <c r="C32" s="148"/>
      <c r="D32" s="170"/>
      <c r="E32" s="147" t="s">
        <v>76</v>
      </c>
    </row>
    <row r="33" spans="1:5">
      <c r="A33" s="135">
        <v>2012</v>
      </c>
      <c r="B33" s="136">
        <v>13</v>
      </c>
      <c r="C33" s="148"/>
      <c r="D33" s="170"/>
      <c r="E33" s="147" t="s">
        <v>76</v>
      </c>
    </row>
    <row r="34" spans="1:5">
      <c r="A34" s="135">
        <v>2012</v>
      </c>
      <c r="B34" s="136">
        <v>14</v>
      </c>
      <c r="C34" s="148"/>
      <c r="D34" s="170"/>
      <c r="E34" s="147" t="s">
        <v>76</v>
      </c>
    </row>
    <row r="35" spans="1:5" ht="13.6" thickBot="1">
      <c r="A35" s="149">
        <v>2012</v>
      </c>
      <c r="B35" s="150">
        <v>15</v>
      </c>
      <c r="C35" s="151"/>
      <c r="D35" s="171"/>
      <c r="E35" s="152" t="s">
        <v>76</v>
      </c>
    </row>
    <row r="36" spans="1:5" ht="14.3" thickTop="1" thickBot="1">
      <c r="A36" s="303" t="s">
        <v>39</v>
      </c>
      <c r="B36" s="303"/>
      <c r="C36" s="303"/>
      <c r="D36" s="192">
        <f>SUM(D21:D35)</f>
        <v>0</v>
      </c>
      <c r="E36" s="77"/>
    </row>
    <row r="37" spans="1:5" ht="15.8" customHeight="1" thickTop="1">
      <c r="A37" s="310" t="str">
        <f>CONCATENATE("FY ",Settings!$C$1+1, "+")</f>
        <v>FY 2014+</v>
      </c>
      <c r="B37" s="310"/>
      <c r="C37" s="310"/>
      <c r="D37" s="310"/>
      <c r="E37" s="310"/>
    </row>
    <row r="38" spans="1:5">
      <c r="A38" s="153">
        <v>2013</v>
      </c>
      <c r="B38" s="154">
        <v>1</v>
      </c>
      <c r="C38" s="155"/>
      <c r="D38" s="172"/>
      <c r="E38" s="146" t="s">
        <v>76</v>
      </c>
    </row>
    <row r="39" spans="1:5">
      <c r="A39" s="156">
        <v>2013</v>
      </c>
      <c r="B39" s="157">
        <v>2</v>
      </c>
      <c r="C39" s="148"/>
      <c r="D39" s="173"/>
      <c r="E39" s="147" t="s">
        <v>76</v>
      </c>
    </row>
    <row r="40" spans="1:5">
      <c r="A40" s="156">
        <v>2013</v>
      </c>
      <c r="B40" s="157">
        <v>3</v>
      </c>
      <c r="C40" s="140"/>
      <c r="D40" s="173"/>
      <c r="E40" s="147" t="s">
        <v>76</v>
      </c>
    </row>
    <row r="41" spans="1:5">
      <c r="A41" s="156">
        <v>2013</v>
      </c>
      <c r="B41" s="157">
        <v>4</v>
      </c>
      <c r="C41" s="148"/>
      <c r="D41" s="173"/>
      <c r="E41" s="147" t="s">
        <v>76</v>
      </c>
    </row>
    <row r="42" spans="1:5">
      <c r="A42" s="156">
        <v>2013</v>
      </c>
      <c r="B42" s="157">
        <v>5</v>
      </c>
      <c r="C42" s="137"/>
      <c r="D42" s="173"/>
      <c r="E42" s="147" t="s">
        <v>76</v>
      </c>
    </row>
    <row r="43" spans="1:5">
      <c r="A43" s="156">
        <v>2013</v>
      </c>
      <c r="B43" s="157">
        <v>6</v>
      </c>
      <c r="C43" s="140"/>
      <c r="D43" s="173"/>
      <c r="E43" s="147" t="s">
        <v>76</v>
      </c>
    </row>
    <row r="44" spans="1:5">
      <c r="A44" s="156">
        <v>2013</v>
      </c>
      <c r="B44" s="157">
        <v>7</v>
      </c>
      <c r="C44" s="158"/>
      <c r="D44" s="173"/>
      <c r="E44" s="147" t="s">
        <v>76</v>
      </c>
    </row>
    <row r="45" spans="1:5">
      <c r="A45" s="156">
        <v>2014</v>
      </c>
      <c r="B45" s="157">
        <v>1</v>
      </c>
      <c r="C45" s="158"/>
      <c r="D45" s="173"/>
      <c r="E45" s="147" t="s">
        <v>76</v>
      </c>
    </row>
    <row r="46" spans="1:5">
      <c r="A46" s="156">
        <v>2014</v>
      </c>
      <c r="B46" s="157">
        <v>2</v>
      </c>
      <c r="C46" s="158"/>
      <c r="D46" s="173"/>
      <c r="E46" s="147" t="s">
        <v>76</v>
      </c>
    </row>
    <row r="47" spans="1:5">
      <c r="A47" s="156">
        <v>2014</v>
      </c>
      <c r="B47" s="157">
        <v>3</v>
      </c>
      <c r="C47" s="158"/>
      <c r="D47" s="173"/>
      <c r="E47" s="147" t="s">
        <v>76</v>
      </c>
    </row>
    <row r="48" spans="1:5">
      <c r="A48" s="156">
        <v>2014</v>
      </c>
      <c r="B48" s="157">
        <v>4</v>
      </c>
      <c r="C48" s="158"/>
      <c r="D48" s="173"/>
      <c r="E48" s="147" t="s">
        <v>76</v>
      </c>
    </row>
    <row r="49" spans="1:5">
      <c r="A49" s="156">
        <v>2014</v>
      </c>
      <c r="B49" s="157">
        <v>5</v>
      </c>
      <c r="C49" s="158"/>
      <c r="D49" s="173"/>
      <c r="E49" s="147" t="s">
        <v>76</v>
      </c>
    </row>
    <row r="50" spans="1:5">
      <c r="A50" s="156">
        <v>2014</v>
      </c>
      <c r="B50" s="157">
        <v>6</v>
      </c>
      <c r="C50" s="158"/>
      <c r="D50" s="173"/>
      <c r="E50" s="147" t="s">
        <v>76</v>
      </c>
    </row>
    <row r="51" spans="1:5">
      <c r="A51" s="156">
        <v>2014</v>
      </c>
      <c r="B51" s="157">
        <v>7</v>
      </c>
      <c r="C51" s="158"/>
      <c r="D51" s="173"/>
      <c r="E51" s="147" t="s">
        <v>76</v>
      </c>
    </row>
    <row r="52" spans="1:5">
      <c r="A52" s="156">
        <v>2015</v>
      </c>
      <c r="B52" s="157">
        <v>1</v>
      </c>
      <c r="C52" s="158"/>
      <c r="D52" s="173"/>
      <c r="E52" s="147" t="s">
        <v>76</v>
      </c>
    </row>
    <row r="53" spans="1:5">
      <c r="A53" s="156">
        <v>2015</v>
      </c>
      <c r="B53" s="157">
        <v>2</v>
      </c>
      <c r="C53" s="158"/>
      <c r="D53" s="173"/>
      <c r="E53" s="147" t="s">
        <v>76</v>
      </c>
    </row>
    <row r="54" spans="1:5">
      <c r="A54" s="156">
        <v>2015</v>
      </c>
      <c r="B54" s="157">
        <v>3</v>
      </c>
      <c r="C54" s="158"/>
      <c r="D54" s="173"/>
      <c r="E54" s="147" t="s">
        <v>76</v>
      </c>
    </row>
    <row r="55" spans="1:5">
      <c r="A55" s="156">
        <v>2015</v>
      </c>
      <c r="B55" s="157">
        <v>4</v>
      </c>
      <c r="C55" s="158"/>
      <c r="D55" s="173"/>
      <c r="E55" s="147" t="s">
        <v>76</v>
      </c>
    </row>
    <row r="56" spans="1:5">
      <c r="A56" s="156">
        <v>2015</v>
      </c>
      <c r="B56" s="157">
        <v>5</v>
      </c>
      <c r="C56" s="158"/>
      <c r="D56" s="173"/>
      <c r="E56" s="147" t="s">
        <v>76</v>
      </c>
    </row>
    <row r="57" spans="1:5">
      <c r="A57" s="156">
        <v>2015</v>
      </c>
      <c r="B57" s="157">
        <v>6</v>
      </c>
      <c r="C57" s="158"/>
      <c r="D57" s="173"/>
      <c r="E57" s="147" t="s">
        <v>76</v>
      </c>
    </row>
    <row r="58" spans="1:5">
      <c r="A58" s="156">
        <v>2015</v>
      </c>
      <c r="B58" s="157">
        <v>7</v>
      </c>
      <c r="C58" s="158"/>
      <c r="D58" s="173"/>
      <c r="E58" s="147" t="s">
        <v>76</v>
      </c>
    </row>
    <row r="59" spans="1:5">
      <c r="A59" s="156">
        <v>2016</v>
      </c>
      <c r="B59" s="157">
        <v>1</v>
      </c>
      <c r="C59" s="158"/>
      <c r="D59" s="173"/>
      <c r="E59" s="147" t="s">
        <v>76</v>
      </c>
    </row>
    <row r="60" spans="1:5">
      <c r="A60" s="156">
        <v>2016</v>
      </c>
      <c r="B60" s="157">
        <v>2</v>
      </c>
      <c r="C60" s="158"/>
      <c r="D60" s="173"/>
      <c r="E60" s="147" t="s">
        <v>76</v>
      </c>
    </row>
    <row r="61" spans="1:5">
      <c r="A61" s="156">
        <v>2016</v>
      </c>
      <c r="B61" s="157">
        <v>3</v>
      </c>
      <c r="C61" s="158"/>
      <c r="D61" s="173"/>
      <c r="E61" s="147" t="s">
        <v>76</v>
      </c>
    </row>
    <row r="62" spans="1:5">
      <c r="A62" s="156">
        <v>2016</v>
      </c>
      <c r="B62" s="157">
        <v>4</v>
      </c>
      <c r="C62" s="158"/>
      <c r="D62" s="173"/>
      <c r="E62" s="147" t="s">
        <v>76</v>
      </c>
    </row>
    <row r="63" spans="1:5">
      <c r="A63" s="156">
        <v>2016</v>
      </c>
      <c r="B63" s="157">
        <v>5</v>
      </c>
      <c r="C63" s="158"/>
      <c r="D63" s="173"/>
      <c r="E63" s="147" t="s">
        <v>76</v>
      </c>
    </row>
    <row r="64" spans="1:5">
      <c r="A64" s="156">
        <v>2016</v>
      </c>
      <c r="B64" s="157">
        <v>6</v>
      </c>
      <c r="C64" s="158"/>
      <c r="D64" s="173"/>
      <c r="E64" s="147" t="s">
        <v>76</v>
      </c>
    </row>
    <row r="65" spans="1:5" ht="13.6" thickBot="1">
      <c r="A65" s="159">
        <v>2016</v>
      </c>
      <c r="B65" s="160">
        <v>7</v>
      </c>
      <c r="C65" s="161"/>
      <c r="D65" s="174"/>
      <c r="E65" s="152" t="s">
        <v>76</v>
      </c>
    </row>
    <row r="66" spans="1:5" ht="16.5" customHeight="1" thickTop="1" thickBot="1">
      <c r="A66" s="320" t="s">
        <v>39</v>
      </c>
      <c r="B66" s="321"/>
      <c r="C66" s="322"/>
      <c r="D66" s="192">
        <f>SUM(D38:D65)</f>
        <v>0</v>
      </c>
      <c r="E66" s="77"/>
    </row>
    <row r="67" spans="1:5" ht="13.6"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E25" sqref="E25"/>
    </sheetView>
  </sheetViews>
  <sheetFormatPr defaultColWidth="9.125" defaultRowHeight="11.55"/>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25" customHeight="1"/>
    <row r="2" spans="1:15" s="65" customFormat="1" ht="16.5" customHeight="1">
      <c r="A2" s="255" t="s">
        <v>25</v>
      </c>
      <c r="B2" s="327"/>
      <c r="C2" s="256"/>
      <c r="D2" s="261">
        <f>IF(ISBLANK('PROJECT ID|INSTRUCTIONS'!C3)," ",'PROJECT ID|INSTRUCTIONS'!C3)</f>
        <v>1</v>
      </c>
      <c r="E2" s="262"/>
      <c r="F2" s="262"/>
      <c r="G2" s="262"/>
      <c r="H2" s="262"/>
      <c r="I2" s="262"/>
      <c r="J2" s="262"/>
      <c r="K2" s="263"/>
    </row>
    <row r="3" spans="1:15" s="65" customFormat="1" ht="16.5" customHeight="1">
      <c r="A3" s="257" t="s">
        <v>22</v>
      </c>
      <c r="B3" s="274"/>
      <c r="C3" s="258"/>
      <c r="D3" s="264" t="str">
        <f>IF(ISBLANK('PROJECT ID|INSTRUCTIONS'!C4)," ",'PROJECT ID|INSTRUCTIONS'!C4)</f>
        <v>Public Defender CISS Readiness / Case Management System</v>
      </c>
      <c r="E3" s="265"/>
      <c r="F3" s="265"/>
      <c r="G3" s="265"/>
      <c r="H3" s="265"/>
      <c r="I3" s="265"/>
      <c r="J3" s="265"/>
      <c r="K3" s="266"/>
    </row>
    <row r="4" spans="1:15" s="65" customFormat="1" ht="16.5" customHeight="1">
      <c r="A4" s="259" t="s">
        <v>26</v>
      </c>
      <c r="B4" s="328"/>
      <c r="C4" s="260"/>
      <c r="D4" s="267">
        <f>IF(ISBLANK('PROJECT ID|INSTRUCTIONS'!C5)," ",'PROJECT ID|INSTRUCTIONS'!C5)</f>
        <v>41775</v>
      </c>
      <c r="E4" s="268"/>
      <c r="F4" s="268"/>
      <c r="G4" s="268"/>
      <c r="H4" s="268"/>
      <c r="I4" s="268"/>
      <c r="J4" s="268"/>
      <c r="K4" s="269"/>
    </row>
    <row r="5" spans="1:15" s="51" customFormat="1" ht="12.25" customHeight="1"/>
    <row r="6" spans="1:15" ht="16.5" customHeight="1">
      <c r="A6" s="326" t="s">
        <v>52</v>
      </c>
      <c r="B6" s="326"/>
      <c r="C6" s="326"/>
      <c r="D6" s="326"/>
      <c r="E6" s="326"/>
      <c r="F6" s="95">
        <v>2017</v>
      </c>
      <c r="G6" s="51"/>
      <c r="H6" s="78"/>
      <c r="I6" s="51"/>
      <c r="J6" s="51"/>
      <c r="K6" s="51"/>
    </row>
    <row r="7" spans="1:15" ht="16.5" customHeight="1">
      <c r="A7" s="326" t="s">
        <v>53</v>
      </c>
      <c r="B7" s="326"/>
      <c r="C7" s="326"/>
      <c r="D7" s="326"/>
      <c r="E7" s="326"/>
      <c r="F7" s="96">
        <v>2017</v>
      </c>
      <c r="G7" s="51"/>
      <c r="H7" s="51"/>
      <c r="I7" s="51"/>
      <c r="J7" s="51"/>
      <c r="K7" s="51"/>
    </row>
    <row r="8" spans="1:15" ht="12.25" customHeight="1">
      <c r="A8" s="51"/>
      <c r="B8" s="51"/>
      <c r="C8" s="51"/>
      <c r="D8" s="51"/>
      <c r="E8" s="51"/>
      <c r="F8" s="51"/>
      <c r="G8" s="51"/>
      <c r="H8" s="51"/>
      <c r="I8" s="51"/>
      <c r="J8" s="51"/>
      <c r="K8" s="51"/>
    </row>
    <row r="9" spans="1:15" ht="31.75" customHeight="1">
      <c r="A9" s="294" t="s">
        <v>28</v>
      </c>
      <c r="B9" s="295"/>
      <c r="C9" s="295"/>
      <c r="D9" s="295"/>
      <c r="E9" s="295"/>
      <c r="F9" s="295"/>
      <c r="G9" s="295"/>
      <c r="H9" s="295"/>
      <c r="I9" s="295"/>
      <c r="J9" s="295"/>
      <c r="K9" s="296"/>
      <c r="M9" s="323" t="s">
        <v>70</v>
      </c>
      <c r="N9" s="324"/>
      <c r="O9" s="325"/>
    </row>
    <row r="10" spans="1:15" ht="13.6">
      <c r="A10" s="79"/>
      <c r="B10" s="80"/>
      <c r="C10" s="81"/>
      <c r="D10" s="82" t="s">
        <v>18</v>
      </c>
      <c r="E10" s="82" t="s">
        <v>19</v>
      </c>
      <c r="F10" s="83" t="str">
        <f>IF(OR(ISBLANK($F$7),ISBLANK($F$6)),"(c)",IF($F$7-$F$6&gt;1,"(c)",""))</f>
        <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(c)</v>
      </c>
      <c r="M10" s="85" t="s">
        <v>63</v>
      </c>
      <c r="N10" s="82" t="s">
        <v>64</v>
      </c>
      <c r="O10" s="86" t="s">
        <v>65</v>
      </c>
    </row>
    <row r="11" spans="1:15" ht="37.549999999999997" customHeight="1">
      <c r="A11" s="87"/>
      <c r="B11" s="88" t="s">
        <v>14</v>
      </c>
      <c r="C11" s="88" t="s">
        <v>15</v>
      </c>
      <c r="D11" s="89" t="s">
        <v>58</v>
      </c>
      <c r="E11" s="89" t="str">
        <f>CONCATENATE("Transition FY"&amp;IF(ISBLANK($F$6),1,RIGHT($F$6,2))&amp;" Support Costs")</f>
        <v>Transition FY17 Support Costs</v>
      </c>
      <c r="F11" s="89" t="str">
        <f>IF(ISBLANK($F$7),CONCATENATE("Transition FY"&amp;IF(ISBLANK($F$6),2,RIGHT($F$6,2)+1)&amp;" Support Costs"),IF(ISBLANK($F$6),"Transition FY2 Support Costs",IF($F$7-$F$6&gt;1,CONCATENATE("Transition FY"&amp;RIGHT($F$6,2)+1&amp;" Support Costs"),"")))</f>
        <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FY17 Support Costs</v>
      </c>
      <c r="L11" s="91"/>
      <c r="M11" s="92" t="s">
        <v>61</v>
      </c>
      <c r="N11" s="83" t="s">
        <v>72</v>
      </c>
      <c r="O11" s="84" t="s">
        <v>62</v>
      </c>
    </row>
    <row r="12" spans="1:15" ht="16.5" customHeight="1">
      <c r="A12" s="284" t="s">
        <v>86</v>
      </c>
      <c r="B12" s="58">
        <v>50110</v>
      </c>
      <c r="C12" s="58" t="s">
        <v>87</v>
      </c>
      <c r="D12" s="3"/>
      <c r="E12" s="3"/>
      <c r="F12" s="3"/>
      <c r="G12" s="3"/>
      <c r="H12" s="3"/>
      <c r="I12" s="3"/>
      <c r="J12" s="3"/>
      <c r="K12" s="45"/>
      <c r="L12" s="93"/>
      <c r="M12" s="46"/>
      <c r="N12" s="39"/>
      <c r="O12" s="179">
        <f>M12*N12</f>
        <v>0</v>
      </c>
    </row>
    <row r="13" spans="1:15" ht="16.5" customHeight="1">
      <c r="A13" s="285"/>
      <c r="B13" s="58">
        <v>50130</v>
      </c>
      <c r="C13" s="58" t="s">
        <v>88</v>
      </c>
      <c r="D13" s="1"/>
      <c r="E13" s="1"/>
      <c r="F13" s="1"/>
      <c r="G13" s="1"/>
      <c r="H13" s="1"/>
      <c r="I13" s="1"/>
      <c r="J13" s="1"/>
      <c r="K13" s="43"/>
      <c r="M13" s="47"/>
      <c r="N13" s="37"/>
      <c r="O13" s="179">
        <f>M13*N13</f>
        <v>0</v>
      </c>
    </row>
    <row r="14" spans="1:15" ht="16.5" customHeight="1">
      <c r="A14" s="285"/>
      <c r="B14" s="58">
        <v>50170</v>
      </c>
      <c r="C14" s="58" t="s">
        <v>89</v>
      </c>
      <c r="D14" s="2"/>
      <c r="E14" s="2"/>
      <c r="F14" s="2"/>
      <c r="G14" s="2"/>
      <c r="H14" s="2"/>
      <c r="I14" s="2"/>
      <c r="J14" s="2"/>
      <c r="K14" s="44"/>
      <c r="M14" s="48"/>
      <c r="N14" s="38"/>
      <c r="O14" s="179">
        <f>M14*N14</f>
        <v>0</v>
      </c>
    </row>
    <row r="15" spans="1:15" ht="16.5" customHeight="1" thickBot="1">
      <c r="A15" s="286"/>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1" t="s">
        <v>60</v>
      </c>
      <c r="O15" s="61">
        <f>SUM(O12:O14)</f>
        <v>0</v>
      </c>
    </row>
    <row r="16" spans="1:15" ht="16.5" customHeight="1" thickTop="1">
      <c r="A16" s="287" t="s">
        <v>85</v>
      </c>
      <c r="B16" s="58">
        <v>53715</v>
      </c>
      <c r="C16" s="58" t="s">
        <v>90</v>
      </c>
      <c r="D16" s="3">
        <v>54359</v>
      </c>
      <c r="E16" s="3"/>
      <c r="F16" s="3"/>
      <c r="G16" s="3"/>
      <c r="H16" s="3"/>
      <c r="I16" s="3"/>
      <c r="J16" s="3"/>
      <c r="K16" s="3">
        <f>20000+20000+250000</f>
        <v>290000</v>
      </c>
      <c r="M16" s="46"/>
      <c r="N16" s="39"/>
      <c r="O16" s="179">
        <f t="shared" ref="O16:O21" si="1">M16*N16</f>
        <v>0</v>
      </c>
    </row>
    <row r="17" spans="1:15" ht="16.5" customHeight="1">
      <c r="A17" s="285"/>
      <c r="B17" s="58">
        <v>53720</v>
      </c>
      <c r="C17" s="58" t="s">
        <v>91</v>
      </c>
      <c r="D17" s="1"/>
      <c r="E17" s="1"/>
      <c r="F17" s="1"/>
      <c r="G17" s="1"/>
      <c r="H17" s="1"/>
      <c r="I17" s="1"/>
      <c r="J17" s="1"/>
      <c r="K17" s="1">
        <v>0</v>
      </c>
      <c r="M17" s="47"/>
      <c r="N17" s="37"/>
      <c r="O17" s="179">
        <f t="shared" si="1"/>
        <v>0</v>
      </c>
    </row>
    <row r="18" spans="1:15" ht="16.5" customHeight="1">
      <c r="A18" s="285"/>
      <c r="B18" s="58">
        <v>53735</v>
      </c>
      <c r="C18" s="58" t="s">
        <v>92</v>
      </c>
      <c r="D18" s="1"/>
      <c r="E18" s="1"/>
      <c r="F18" s="1"/>
      <c r="G18" s="1"/>
      <c r="H18" s="1"/>
      <c r="I18" s="1"/>
      <c r="J18" s="1"/>
      <c r="K18" s="1"/>
      <c r="M18" s="47"/>
      <c r="N18" s="37"/>
      <c r="O18" s="179">
        <f t="shared" si="1"/>
        <v>0</v>
      </c>
    </row>
    <row r="19" spans="1:15" ht="16.5" customHeight="1">
      <c r="A19" s="285"/>
      <c r="B19" s="58">
        <v>53740</v>
      </c>
      <c r="C19" s="58" t="s">
        <v>93</v>
      </c>
      <c r="D19" s="1"/>
      <c r="E19" s="1"/>
      <c r="F19" s="1"/>
      <c r="G19" s="1"/>
      <c r="H19" s="1"/>
      <c r="I19" s="1"/>
      <c r="J19" s="1"/>
      <c r="K19" s="1"/>
      <c r="M19" s="47"/>
      <c r="N19" s="37"/>
      <c r="O19" s="179">
        <f t="shared" si="1"/>
        <v>0</v>
      </c>
    </row>
    <row r="20" spans="1:15" ht="16.5" customHeight="1">
      <c r="A20" s="285"/>
      <c r="B20" s="58">
        <v>53755</v>
      </c>
      <c r="C20" s="58" t="s">
        <v>94</v>
      </c>
      <c r="D20" s="1"/>
      <c r="E20" s="1"/>
      <c r="F20" s="1"/>
      <c r="G20" s="1"/>
      <c r="H20" s="1"/>
      <c r="I20" s="1"/>
      <c r="J20" s="1"/>
      <c r="K20" s="1">
        <v>60000</v>
      </c>
      <c r="M20" s="47"/>
      <c r="N20" s="37"/>
      <c r="O20" s="179">
        <f t="shared" si="1"/>
        <v>0</v>
      </c>
    </row>
    <row r="21" spans="1:15" ht="16.5" customHeight="1">
      <c r="A21" s="285"/>
      <c r="B21" s="58">
        <v>53760</v>
      </c>
      <c r="C21" s="58" t="s">
        <v>95</v>
      </c>
      <c r="D21" s="1"/>
      <c r="E21" s="1"/>
      <c r="F21" s="1"/>
      <c r="G21" s="1"/>
      <c r="H21" s="1"/>
      <c r="I21" s="1"/>
      <c r="J21" s="1"/>
      <c r="K21" s="1">
        <v>350000</v>
      </c>
      <c r="M21" s="47"/>
      <c r="N21" s="37"/>
      <c r="O21" s="179">
        <f t="shared" si="1"/>
        <v>0</v>
      </c>
    </row>
    <row r="22" spans="1:15" ht="16.5" customHeight="1" thickBot="1">
      <c r="A22" s="286"/>
      <c r="B22" s="59" t="s">
        <v>16</v>
      </c>
      <c r="C22" s="59"/>
      <c r="D22" s="60">
        <f>SUM(D16:D21)</f>
        <v>54359</v>
      </c>
      <c r="E22" s="60">
        <f t="shared" ref="E22:I22" si="2">SUM(E16:E21)</f>
        <v>0</v>
      </c>
      <c r="F22" s="60">
        <f t="shared" si="2"/>
        <v>0</v>
      </c>
      <c r="G22" s="60">
        <f t="shared" si="2"/>
        <v>0</v>
      </c>
      <c r="H22" s="60">
        <f t="shared" si="2"/>
        <v>0</v>
      </c>
      <c r="I22" s="60">
        <f t="shared" si="2"/>
        <v>0</v>
      </c>
      <c r="J22" s="60">
        <f t="shared" ref="J22:K22" si="3">SUM(J16:J21)</f>
        <v>0</v>
      </c>
      <c r="K22" s="61">
        <f t="shared" si="3"/>
        <v>700000</v>
      </c>
      <c r="M22" s="94">
        <f>SUM(M16:M21)</f>
        <v>0</v>
      </c>
      <c r="N22" s="181" t="s">
        <v>60</v>
      </c>
      <c r="O22" s="61">
        <f>SUM(O16:O21)</f>
        <v>0</v>
      </c>
    </row>
    <row r="23" spans="1:15" ht="16.5" customHeight="1" thickTop="1">
      <c r="A23" s="287" t="s">
        <v>96</v>
      </c>
      <c r="B23" s="58">
        <v>55700</v>
      </c>
      <c r="C23" s="58" t="s">
        <v>97</v>
      </c>
      <c r="D23" s="1">
        <v>50162</v>
      </c>
      <c r="E23" s="1"/>
      <c r="F23" s="1"/>
      <c r="G23" s="1"/>
      <c r="H23" s="1"/>
      <c r="I23" s="1"/>
      <c r="J23" s="1"/>
      <c r="K23" s="1">
        <v>275000</v>
      </c>
      <c r="M23" s="47"/>
      <c r="N23" s="37"/>
      <c r="O23" s="179">
        <f>M23*N23</f>
        <v>0</v>
      </c>
    </row>
    <row r="24" spans="1:15" ht="16.5" customHeight="1">
      <c r="A24" s="284"/>
      <c r="B24" s="58">
        <v>55710</v>
      </c>
      <c r="C24" s="58" t="s">
        <v>98</v>
      </c>
      <c r="D24" s="1"/>
      <c r="E24" s="1"/>
      <c r="F24" s="1"/>
      <c r="G24" s="1"/>
      <c r="H24" s="1"/>
      <c r="I24" s="1"/>
      <c r="J24" s="1"/>
      <c r="K24" s="43"/>
      <c r="M24" s="47"/>
      <c r="N24" s="37"/>
      <c r="O24" s="179"/>
    </row>
    <row r="25" spans="1:15" ht="16.5" customHeight="1">
      <c r="A25" s="284"/>
      <c r="B25" s="58">
        <v>55730</v>
      </c>
      <c r="C25" s="58" t="s">
        <v>99</v>
      </c>
      <c r="D25" s="1"/>
      <c r="E25" s="1"/>
      <c r="F25" s="1"/>
      <c r="G25" s="1"/>
      <c r="H25" s="1"/>
      <c r="I25" s="1"/>
      <c r="J25" s="1"/>
      <c r="K25" s="43"/>
      <c r="M25" s="47"/>
      <c r="N25" s="37"/>
      <c r="O25" s="179">
        <f>M25*N25</f>
        <v>0</v>
      </c>
    </row>
    <row r="26" spans="1:15" ht="16.5" customHeight="1" thickBot="1">
      <c r="A26" s="286"/>
      <c r="B26" s="59" t="s">
        <v>16</v>
      </c>
      <c r="C26" s="59"/>
      <c r="D26" s="60">
        <f t="shared" ref="D26:K26" si="4">SUM(D23:D25)</f>
        <v>50162</v>
      </c>
      <c r="E26" s="60">
        <f t="shared" si="4"/>
        <v>0</v>
      </c>
      <c r="F26" s="60">
        <f t="shared" si="4"/>
        <v>0</v>
      </c>
      <c r="G26" s="60">
        <f t="shared" si="4"/>
        <v>0</v>
      </c>
      <c r="H26" s="60">
        <f t="shared" si="4"/>
        <v>0</v>
      </c>
      <c r="I26" s="60">
        <f t="shared" si="4"/>
        <v>0</v>
      </c>
      <c r="J26" s="60">
        <f t="shared" si="4"/>
        <v>0</v>
      </c>
      <c r="K26" s="61">
        <f t="shared" si="4"/>
        <v>275000</v>
      </c>
      <c r="M26" s="94">
        <f>SUM(M23:M25)</f>
        <v>0</v>
      </c>
      <c r="N26" s="181" t="s">
        <v>60</v>
      </c>
      <c r="O26" s="61">
        <f>SUM(O23:O25)</f>
        <v>0</v>
      </c>
    </row>
    <row r="27" spans="1:15" ht="16.5" customHeight="1" thickTop="1" thickBot="1">
      <c r="A27" s="73" t="s">
        <v>17</v>
      </c>
      <c r="B27" s="73"/>
      <c r="C27" s="73"/>
      <c r="D27" s="29">
        <f t="shared" ref="D27:K27" si="5">D15+D22+D26</f>
        <v>104521</v>
      </c>
      <c r="E27" s="29">
        <f t="shared" si="5"/>
        <v>0</v>
      </c>
      <c r="F27" s="29">
        <f t="shared" si="5"/>
        <v>0</v>
      </c>
      <c r="G27" s="29">
        <f t="shared" si="5"/>
        <v>0</v>
      </c>
      <c r="H27" s="29">
        <f t="shared" si="5"/>
        <v>0</v>
      </c>
      <c r="I27" s="29">
        <f t="shared" si="5"/>
        <v>0</v>
      </c>
      <c r="J27" s="29">
        <f t="shared" si="5"/>
        <v>0</v>
      </c>
      <c r="K27" s="29">
        <f t="shared" si="5"/>
        <v>975000</v>
      </c>
      <c r="M27" s="29">
        <f>M15+M22+M26</f>
        <v>0</v>
      </c>
      <c r="N27" s="180"/>
      <c r="O27" s="29">
        <f>O15+O22+O26</f>
        <v>0</v>
      </c>
    </row>
    <row r="28" spans="1:15" ht="3.9"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8"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32"/>
  <sheetViews>
    <sheetView showGridLines="0" tabSelected="1" zoomScaleNormal="100" workbookViewId="0">
      <selection activeCell="E28" sqref="E28"/>
    </sheetView>
  </sheetViews>
  <sheetFormatPr defaultColWidth="9.125" defaultRowHeight="13.6"/>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25" customHeight="1"/>
    <row r="2" spans="1:12" s="65" customFormat="1" ht="16.5" customHeight="1">
      <c r="A2" s="304" t="s">
        <v>25</v>
      </c>
      <c r="B2" s="305"/>
      <c r="C2" s="343">
        <f>IF(ISBLANK('PROJECT ID|INSTRUCTIONS'!C3)," ",'PROJECT ID|INSTRUCTIONS'!C3)</f>
        <v>1</v>
      </c>
      <c r="D2" s="343"/>
      <c r="E2" s="343"/>
      <c r="F2" s="343"/>
      <c r="G2" s="343"/>
      <c r="H2" s="343"/>
      <c r="I2" s="344"/>
    </row>
    <row r="3" spans="1:12" s="65" customFormat="1" ht="16.5" customHeight="1">
      <c r="A3" s="306" t="s">
        <v>22</v>
      </c>
      <c r="B3" s="307"/>
      <c r="C3" s="345" t="str">
        <f>IF(ISBLANK('PROJECT ID|INSTRUCTIONS'!C4)," ",'PROJECT ID|INSTRUCTIONS'!C4)</f>
        <v>Public Defender CISS Readiness / Case Management System</v>
      </c>
      <c r="D3" s="345"/>
      <c r="E3" s="345"/>
      <c r="F3" s="345"/>
      <c r="G3" s="345"/>
      <c r="H3" s="345"/>
      <c r="I3" s="346"/>
    </row>
    <row r="4" spans="1:12" s="65" customFormat="1" ht="16.5" customHeight="1">
      <c r="A4" s="308" t="s">
        <v>26</v>
      </c>
      <c r="B4" s="309"/>
      <c r="C4" s="268">
        <f>IF(ISBLANK('PROJECT ID|INSTRUCTIONS'!C5)," ",'PROJECT ID|INSTRUCTIONS'!C5)</f>
        <v>41775</v>
      </c>
      <c r="D4" s="268"/>
      <c r="E4" s="268"/>
      <c r="F4" s="268"/>
      <c r="G4" s="268"/>
      <c r="H4" s="268"/>
      <c r="I4" s="269"/>
    </row>
    <row r="5" spans="1:12" s="106" customFormat="1" ht="12.25" customHeight="1">
      <c r="A5" s="102"/>
      <c r="B5" s="102"/>
      <c r="C5" s="329"/>
      <c r="D5" s="329"/>
      <c r="E5" s="329"/>
      <c r="F5" s="329"/>
      <c r="G5" s="329"/>
      <c r="H5" s="329"/>
      <c r="I5" s="103"/>
      <c r="J5" s="104"/>
      <c r="K5" s="105"/>
    </row>
    <row r="6" spans="1:12" s="106" customFormat="1" ht="14.95" customHeight="1">
      <c r="A6" s="330" t="s">
        <v>21</v>
      </c>
      <c r="B6" s="331"/>
      <c r="C6" s="331"/>
      <c r="D6" s="331"/>
      <c r="E6" s="331"/>
      <c r="F6" s="331"/>
      <c r="G6" s="331"/>
      <c r="H6" s="331"/>
      <c r="I6" s="331"/>
      <c r="J6" s="331"/>
      <c r="K6" s="331"/>
      <c r="L6" s="332"/>
    </row>
    <row r="7" spans="1:12" ht="39.25" customHeight="1">
      <c r="A7" s="164"/>
      <c r="B7" s="165" t="s">
        <v>21</v>
      </c>
      <c r="C7" s="166" t="s">
        <v>30</v>
      </c>
      <c r="D7" s="167" t="str">
        <f>CONCATENATE("FY ",Settings!$C$1)</f>
        <v>FY 2013</v>
      </c>
      <c r="E7" s="167" t="str">
        <f>CONCATENATE("FY ",Settings!$C$1+1)</f>
        <v>FY 2014</v>
      </c>
      <c r="F7" s="167" t="str">
        <f>CONCATENATE("FY ",Settings!$C$1+2)</f>
        <v>FY 2015</v>
      </c>
      <c r="G7" s="167" t="str">
        <f>CONCATENATE("FY ",Settings!$C$1+3)</f>
        <v>FY 2016</v>
      </c>
      <c r="H7" s="167" t="str">
        <f>CONCATENATE("FY ",Settings!$C$1+4)</f>
        <v>FY 2017</v>
      </c>
      <c r="I7" s="167" t="str">
        <f>CONCATENATE("Out Years after FY",Settings!$C$1+4)</f>
        <v>Out Years after FY2017</v>
      </c>
      <c r="J7" s="167" t="str">
        <f>CONCATENATE("Total FY",Settings!$C$1," - FY",Settings!$C$1+4)</f>
        <v>Total FY2013 - FY2017</v>
      </c>
      <c r="K7" s="167" t="str">
        <f>CONCATENATE("Total FY",Settings!$C$1," - Out Years")</f>
        <v>Total FY2013 - Out Years</v>
      </c>
      <c r="L7" s="168" t="s">
        <v>29</v>
      </c>
    </row>
    <row r="8" spans="1:12" ht="16.5" customHeight="1">
      <c r="A8" s="107"/>
      <c r="B8" s="209" t="s">
        <v>105</v>
      </c>
      <c r="C8" s="6"/>
      <c r="D8" s="6"/>
      <c r="E8" s="6"/>
      <c r="F8" s="6"/>
      <c r="G8" s="6"/>
      <c r="H8" s="6"/>
      <c r="I8" s="6"/>
      <c r="J8" s="121">
        <f>SUM(D8:H8)</f>
        <v>0</v>
      </c>
      <c r="K8" s="115">
        <f>SUM(D8:I8)</f>
        <v>0</v>
      </c>
      <c r="L8" s="116">
        <f>SUM(C8:I8)</f>
        <v>0</v>
      </c>
    </row>
    <row r="9" spans="1:12" ht="16.5" customHeight="1">
      <c r="A9" s="107"/>
      <c r="B9" s="209"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09"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c r="F11" s="4"/>
      <c r="G11" s="4"/>
      <c r="H11" s="4"/>
      <c r="I11" s="4"/>
      <c r="J11" s="122">
        <f t="shared" si="0"/>
        <v>0</v>
      </c>
      <c r="K11" s="117">
        <f t="shared" si="1"/>
        <v>0</v>
      </c>
      <c r="L11" s="118">
        <f t="shared" si="2"/>
        <v>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5" t="s">
        <v>9</v>
      </c>
      <c r="C13" s="126">
        <f>'CAPITAL DEV. COSTS-THIS REQUEST'!D23</f>
        <v>0</v>
      </c>
      <c r="D13" s="126">
        <f>'CAPITAL DEV. COSTS-THIS REQUEST'!E23</f>
        <v>750250</v>
      </c>
      <c r="E13" s="126">
        <f>'CAPITAL DEV. COSTS-THIS REQUEST'!F23</f>
        <v>0</v>
      </c>
      <c r="F13" s="126">
        <f>'CAPITAL DEV. COSTS-THIS REQUEST'!G23</f>
        <v>820000</v>
      </c>
      <c r="G13" s="126">
        <f>'CAPITAL DEV. COSTS-THIS REQUEST'!H23</f>
        <v>1280000</v>
      </c>
      <c r="H13" s="126">
        <f>'CAPITAL DEV. COSTS-THIS REQUEST'!I23</f>
        <v>984000</v>
      </c>
      <c r="I13" s="126">
        <f>'CAPITAL DEV. COSTS-THIS REQUEST'!J23</f>
        <v>0</v>
      </c>
      <c r="J13" s="122">
        <f t="shared" si="0"/>
        <v>3834250</v>
      </c>
      <c r="K13" s="117">
        <f t="shared" si="1"/>
        <v>3834250</v>
      </c>
      <c r="L13" s="118">
        <f t="shared" si="2"/>
        <v>3834250</v>
      </c>
    </row>
    <row r="14" spans="1:12" ht="16.5" customHeight="1">
      <c r="A14" s="341" t="s">
        <v>77</v>
      </c>
      <c r="B14" s="342"/>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4"/>
      <c r="J18" s="123">
        <f>SUM(D18:H18)</f>
        <v>0</v>
      </c>
      <c r="K18" s="119">
        <f>SUM(D18:I18)</f>
        <v>0</v>
      </c>
      <c r="L18" s="120">
        <f t="shared" si="2"/>
        <v>0</v>
      </c>
    </row>
    <row r="19" spans="1:12" ht="16.5" customHeight="1" thickTop="1" thickBot="1">
      <c r="A19" s="340" t="s">
        <v>41</v>
      </c>
      <c r="B19" s="340"/>
      <c r="C19" s="11">
        <f t="shared" ref="C19:L19" si="3">SUM(C8:C18)</f>
        <v>0</v>
      </c>
      <c r="D19" s="11">
        <f t="shared" si="3"/>
        <v>750250</v>
      </c>
      <c r="E19" s="11">
        <f t="shared" si="3"/>
        <v>0</v>
      </c>
      <c r="F19" s="11">
        <f t="shared" si="3"/>
        <v>820000</v>
      </c>
      <c r="G19" s="11">
        <f t="shared" si="3"/>
        <v>1280000</v>
      </c>
      <c r="H19" s="11">
        <f t="shared" si="3"/>
        <v>984000</v>
      </c>
      <c r="I19" s="11">
        <f t="shared" si="3"/>
        <v>0</v>
      </c>
      <c r="J19" s="11">
        <f>SUM(J8:J18)</f>
        <v>3834250</v>
      </c>
      <c r="K19" s="11">
        <f t="shared" si="3"/>
        <v>3834250</v>
      </c>
      <c r="L19" s="11">
        <f t="shared" si="3"/>
        <v>3834250</v>
      </c>
    </row>
    <row r="20" spans="1:12" ht="12.6" customHeight="1" thickTop="1">
      <c r="A20" s="110"/>
      <c r="B20" s="111"/>
      <c r="C20" s="112"/>
      <c r="D20" s="112"/>
      <c r="E20" s="112"/>
      <c r="F20" s="112"/>
      <c r="G20" s="112"/>
      <c r="H20" s="112"/>
      <c r="I20" s="112"/>
    </row>
    <row r="21" spans="1:12" ht="26.5" customHeight="1">
      <c r="A21" s="333" t="s">
        <v>40</v>
      </c>
      <c r="B21" s="334"/>
      <c r="C21" s="7">
        <f>'TOTAL DEVELOPMENT COSTS'!D23</f>
        <v>104521</v>
      </c>
      <c r="D21" s="7">
        <f>'TOTAL DEVELOPMENT COSTS'!E23</f>
        <v>750250</v>
      </c>
      <c r="E21" s="7">
        <f>'TOTAL DEVELOPMENT COSTS'!F23</f>
        <v>0</v>
      </c>
      <c r="F21" s="7">
        <f>'TOTAL DEVELOPMENT COSTS'!G23</f>
        <v>820000</v>
      </c>
      <c r="G21" s="7">
        <f>'TOTAL DEVELOPMENT COSTS'!H23</f>
        <v>1280000</v>
      </c>
      <c r="H21" s="7">
        <f>'TOTAL DEVELOPMENT COSTS'!I23</f>
        <v>984000</v>
      </c>
      <c r="I21" s="7">
        <f>'TOTAL DEVELOPMENT COSTS'!J23</f>
        <v>0</v>
      </c>
    </row>
    <row r="22" spans="1:12" s="113" customFormat="1" ht="8.5" customHeight="1">
      <c r="A22" s="110"/>
      <c r="B22" s="111"/>
      <c r="C22" s="112"/>
      <c r="D22" s="112"/>
      <c r="E22" s="112"/>
      <c r="F22" s="112"/>
      <c r="G22" s="112"/>
      <c r="H22" s="112"/>
      <c r="I22" s="112"/>
      <c r="L22" s="114"/>
    </row>
    <row r="23" spans="1:12" ht="37.549999999999997" customHeight="1" thickBot="1">
      <c r="A23" s="335" t="s">
        <v>78</v>
      </c>
      <c r="B23" s="336"/>
      <c r="C23" s="181"/>
      <c r="D23" s="7">
        <f>D21-D19</f>
        <v>0</v>
      </c>
      <c r="E23" s="7">
        <f t="shared" ref="E23:I23" si="4">E21-E19</f>
        <v>0</v>
      </c>
      <c r="F23" s="7">
        <f t="shared" si="4"/>
        <v>0</v>
      </c>
      <c r="G23" s="7">
        <f t="shared" si="4"/>
        <v>0</v>
      </c>
      <c r="H23" s="7">
        <f t="shared" si="4"/>
        <v>0</v>
      </c>
      <c r="I23" s="7">
        <f t="shared" si="4"/>
        <v>0</v>
      </c>
    </row>
    <row r="24" spans="1:12" ht="14.95" thickTop="1" thickBot="1"/>
    <row r="25" spans="1:12" ht="14.3" thickBot="1">
      <c r="C25" s="337" t="str">
        <f>IF(AND(D23=0,E23=0,F23=0,G23=0,H23=0,I23=0),"","Total Funding Source Must Equal Total Development Cost")</f>
        <v/>
      </c>
      <c r="D25" s="338"/>
      <c r="E25" s="338"/>
      <c r="F25" s="338"/>
      <c r="G25" s="338"/>
      <c r="H25" s="338"/>
      <c r="I25" s="339"/>
    </row>
    <row r="28" spans="1:12">
      <c r="C28"/>
      <c r="D28" s="211"/>
    </row>
    <row r="29" spans="1:12">
      <c r="C29" s="212"/>
      <c r="D29" s="213"/>
      <c r="E29" s="214"/>
    </row>
    <row r="30" spans="1:12">
      <c r="C30" s="212"/>
      <c r="D30" s="215"/>
      <c r="E30" s="214"/>
    </row>
    <row r="31" spans="1:12">
      <c r="C31" s="214"/>
      <c r="D31" s="214"/>
      <c r="E31" s="214"/>
    </row>
    <row r="32" spans="1:12">
      <c r="C32" s="214"/>
      <c r="D32" s="214"/>
      <c r="E32" s="21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199999999999999"/>
  <cols>
    <col min="2" max="2" width="23.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Stephen Hunt</cp:lastModifiedBy>
  <cp:lastPrinted>2014-05-16T13:37:36Z</cp:lastPrinted>
  <dcterms:created xsi:type="dcterms:W3CDTF">2009-11-16T15:45:40Z</dcterms:created>
  <dcterms:modified xsi:type="dcterms:W3CDTF">2014-05-20T18:46:58Z</dcterms:modified>
</cp:coreProperties>
</file>