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881"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J18" i="6"/>
  <c r="K18" i="5"/>
  <c r="K17"/>
  <c r="K16"/>
  <c r="K15"/>
  <c r="K14"/>
  <c r="K12"/>
  <c r="K11"/>
  <c r="K10"/>
  <c r="K9"/>
  <c r="J7"/>
  <c r="I7"/>
  <c r="I21"/>
  <c r="G19" i="6" l="1"/>
  <c r="H19"/>
  <c r="I19"/>
  <c r="J19"/>
  <c r="G20"/>
  <c r="H20"/>
  <c r="I20"/>
  <c r="J20"/>
  <c r="G21"/>
  <c r="H21"/>
  <c r="I21"/>
  <c r="J21"/>
  <c r="G13"/>
  <c r="H13"/>
  <c r="I13"/>
  <c r="J13"/>
  <c r="G14"/>
  <c r="H14"/>
  <c r="I14"/>
  <c r="J14"/>
  <c r="G15"/>
  <c r="G16"/>
  <c r="H16"/>
  <c r="I16"/>
  <c r="J16"/>
  <c r="G17"/>
  <c r="G12"/>
  <c r="H12"/>
  <c r="I12"/>
  <c r="J12"/>
  <c r="G10"/>
  <c r="H10"/>
  <c r="I10"/>
  <c r="J10"/>
  <c r="G9"/>
  <c r="H9"/>
  <c r="I9"/>
  <c r="J9"/>
  <c r="G8"/>
  <c r="H8"/>
  <c r="I8"/>
  <c r="J8"/>
  <c r="F20"/>
  <c r="F21"/>
  <c r="F19"/>
  <c r="F13"/>
  <c r="F14"/>
  <c r="F15"/>
  <c r="F16"/>
  <c r="F17"/>
  <c r="F12"/>
  <c r="E19"/>
  <c r="E8"/>
  <c r="E9"/>
  <c r="E10"/>
  <c r="E12"/>
  <c r="E13"/>
  <c r="H22"/>
  <c r="I22"/>
  <c r="J22"/>
  <c r="J23"/>
  <c r="J7"/>
  <c r="I22" i="1"/>
  <c r="I23"/>
  <c r="I18"/>
  <c r="J11"/>
  <c r="J18"/>
  <c r="J22"/>
  <c r="J23"/>
  <c r="J7"/>
  <c r="I7"/>
  <c r="I13" i="5" l="1"/>
  <c r="I8"/>
  <c r="I19" s="1"/>
  <c r="I23" s="1"/>
  <c r="D8" i="6"/>
  <c r="D9"/>
  <c r="D10"/>
  <c r="F8"/>
  <c r="K8"/>
  <c r="F9"/>
  <c r="K9"/>
  <c r="F10"/>
  <c r="K10"/>
  <c r="D19"/>
  <c r="D20"/>
  <c r="D21"/>
  <c r="D12"/>
  <c r="D13"/>
  <c r="D14"/>
  <c r="D15"/>
  <c r="D16"/>
  <c r="D17"/>
  <c r="K21"/>
  <c r="E21"/>
  <c r="K20"/>
  <c r="E20"/>
  <c r="K19"/>
  <c r="K12"/>
  <c r="K13"/>
  <c r="K14"/>
  <c r="K16"/>
  <c r="E14"/>
  <c r="E15"/>
  <c r="E16"/>
  <c r="E17"/>
  <c r="L21" i="1"/>
  <c r="L20"/>
  <c r="O27" i="2"/>
  <c r="M27"/>
  <c r="J27"/>
  <c r="I27"/>
  <c r="H27"/>
  <c r="G27"/>
  <c r="F27"/>
  <c r="E27"/>
  <c r="D27"/>
  <c r="D22"/>
  <c r="D15"/>
  <c r="E15"/>
  <c r="F15"/>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K7"/>
  <c r="L7"/>
  <c r="L9"/>
  <c r="M9"/>
  <c r="L10"/>
  <c r="M10"/>
  <c r="L11"/>
  <c r="M11"/>
  <c r="L12"/>
  <c r="M12"/>
  <c r="D11" i="6"/>
  <c r="D18"/>
  <c r="D22"/>
  <c r="E11"/>
  <c r="E22"/>
  <c r="F11"/>
  <c r="F18"/>
  <c r="F22"/>
  <c r="G11"/>
  <c r="G18"/>
  <c r="G22"/>
  <c r="H11"/>
  <c r="H18"/>
  <c r="I11"/>
  <c r="I18"/>
  <c r="K11"/>
  <c r="K18"/>
  <c r="K22"/>
  <c r="L14" i="5"/>
  <c r="M14"/>
  <c r="L15"/>
  <c r="M15"/>
  <c r="L16"/>
  <c r="M16"/>
  <c r="L17"/>
  <c r="M17"/>
  <c r="L18"/>
  <c r="M18"/>
  <c r="G15" i="2"/>
  <c r="K15"/>
  <c r="E22"/>
  <c r="F22"/>
  <c r="G22"/>
  <c r="K22"/>
  <c r="D26"/>
  <c r="E26"/>
  <c r="F26"/>
  <c r="G26"/>
  <c r="K26"/>
  <c r="K27" s="1"/>
  <c r="A20" i="10"/>
  <c r="A9"/>
  <c r="E7" i="6"/>
  <c r="F7"/>
  <c r="G7"/>
  <c r="H7"/>
  <c r="I7"/>
  <c r="K7"/>
  <c r="L8"/>
  <c r="L9"/>
  <c r="L10"/>
  <c r="L13"/>
  <c r="L14"/>
  <c r="L15"/>
  <c r="L16"/>
  <c r="L17"/>
  <c r="L19"/>
  <c r="L21"/>
  <c r="E7" i="1"/>
  <c r="F7"/>
  <c r="G7"/>
  <c r="H7"/>
  <c r="K7"/>
  <c r="L8"/>
  <c r="L9"/>
  <c r="L10"/>
  <c r="D11"/>
  <c r="E11"/>
  <c r="E18"/>
  <c r="F11"/>
  <c r="G11"/>
  <c r="H11"/>
  <c r="I11"/>
  <c r="K11"/>
  <c r="K18"/>
  <c r="L12"/>
  <c r="L13"/>
  <c r="L14"/>
  <c r="L15"/>
  <c r="L16"/>
  <c r="L17"/>
  <c r="D18"/>
  <c r="F18"/>
  <c r="G18"/>
  <c r="H18"/>
  <c r="L19"/>
  <c r="D22"/>
  <c r="E22"/>
  <c r="F22"/>
  <c r="G22"/>
  <c r="H22"/>
  <c r="K22"/>
  <c r="D27" i="4"/>
  <c r="F27"/>
  <c r="L11" i="1"/>
  <c r="L11" i="6"/>
  <c r="L22" i="1"/>
  <c r="L18"/>
  <c r="I23" i="6" l="1"/>
  <c r="H23"/>
  <c r="D23"/>
  <c r="C13" i="5" s="1"/>
  <c r="K23" i="6"/>
  <c r="H8" i="5"/>
  <c r="G23" i="6"/>
  <c r="F23"/>
  <c r="O22" i="2"/>
  <c r="O15"/>
  <c r="J13" i="5"/>
  <c r="G13"/>
  <c r="H13"/>
  <c r="H19" s="1"/>
  <c r="F13"/>
  <c r="L22" i="6"/>
  <c r="K23" i="1"/>
  <c r="J21" i="5" s="1"/>
  <c r="H23" i="1"/>
  <c r="G21" i="5" s="1"/>
  <c r="F23" i="1"/>
  <c r="E21" i="5" s="1"/>
  <c r="E23" i="1"/>
  <c r="D21" i="5" s="1"/>
  <c r="G23" i="1"/>
  <c r="D23"/>
  <c r="C21" i="5" s="1"/>
  <c r="H21"/>
  <c r="L23" i="1"/>
  <c r="C19" i="5"/>
  <c r="E13"/>
  <c r="K13" l="1"/>
  <c r="E8"/>
  <c r="F8"/>
  <c r="F19" s="1"/>
  <c r="G8"/>
  <c r="J8"/>
  <c r="J19" s="1"/>
  <c r="J23" s="1"/>
  <c r="H23"/>
  <c r="F21"/>
  <c r="E19"/>
  <c r="E23" s="1"/>
  <c r="G19" l="1"/>
  <c r="G23" s="1"/>
  <c r="K8"/>
  <c r="F23"/>
  <c r="L12" i="6"/>
  <c r="E18"/>
  <c r="L18" s="1"/>
  <c r="E23"/>
  <c r="L23"/>
  <c r="D8" i="5" l="1"/>
  <c r="D13"/>
  <c r="L13" l="1"/>
  <c r="M13"/>
  <c r="L8"/>
  <c r="M8"/>
  <c r="D19"/>
  <c r="D23" s="1"/>
  <c r="C25" s="1"/>
  <c r="M19" l="1"/>
  <c r="K19"/>
  <c r="L19"/>
</calcChain>
</file>

<file path=xl/sharedStrings.xml><?xml version="1.0" encoding="utf-8"?>
<sst xmlns="http://schemas.openxmlformats.org/spreadsheetml/2006/main" count="296" uniqueCount="148">
  <si>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</si>
  <si>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</si>
  <si>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</si>
  <si>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</si>
  <si>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</si>
  <si>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</si>
  <si>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</si>
  <si>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</si>
  <si>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</si>
  <si>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</si>
  <si>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</si>
  <si>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</si>
  <si>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</si>
  <si>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</si>
  <si>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</si>
  <si>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</si>
  <si>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</si>
  <si>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</si>
  <si>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</si>
  <si>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</si>
  <si>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</si>
  <si>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</si>
  <si>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</si>
  <si>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</si>
  <si>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</si>
  <si>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</si>
  <si>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</si>
  <si>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</si>
  <si>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</si>
  <si>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</si>
  <si>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</si>
  <si>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</si>
  <si>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</si>
  <si>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</si>
  <si>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</si>
  <si>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</si>
  <si>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</si>
  <si>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</si>
  <si>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</si>
  <si>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</si>
  <si>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</si>
  <si>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</si>
  <si>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</si>
  <si>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</si>
  <si>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</si>
  <si>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</si>
  <si>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</si>
  <si>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</si>
  <si>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</si>
  <si>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</si>
  <si>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</si>
  <si>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</si>
  <si>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</si>
  <si>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</si>
  <si>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</si>
  <si>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</si>
  <si>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</si>
  <si>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</si>
  <si>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</si>
  <si>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</si>
  <si>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</si>
  <si>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</si>
  <si>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</si>
  <si>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</si>
  <si>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</si>
  <si>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</si>
  <si>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</si>
  <si>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</si>
  <si>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</si>
  <si>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</si>
  <si>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</si>
  <si>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</si>
  <si>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</si>
  <si>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</si>
  <si>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</si>
  <si>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</si>
  <si>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</si>
  <si>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</si>
  <si>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</si>
  <si>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</si>
  <si>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</si>
  <si>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</si>
  <si>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</si>
  <si>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</si>
  <si>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</si>
  <si>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</si>
  <si>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</si>
  <si>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</si>
  <si>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</si>
  <si>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</si>
  <si>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</si>
  <si>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</si>
  <si>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</si>
  <si>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</si>
  <si>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</si>
  <si>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</si>
  <si>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</si>
  <si>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</si>
  <si>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</si>
  <si>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</si>
  <si>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</si>
  <si>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</si>
  <si>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</si>
  <si>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</si>
  <si>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</si>
  <si>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</si>
  <si>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</si>
  <si>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</si>
  <si>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Offender Management Information System (OMIS)</t>
  </si>
  <si>
    <t>None</t>
  </si>
  <si>
    <t>N/A</t>
  </si>
  <si>
    <t>Stem the increase of processing and managing cost</t>
  </si>
  <si>
    <t>2015</t>
  </si>
  <si>
    <t>53715:</t>
  </si>
  <si>
    <t>53740:</t>
  </si>
  <si>
    <t>53755:</t>
  </si>
  <si>
    <t>53760:</t>
  </si>
  <si>
    <t>55700:</t>
  </si>
  <si>
    <t>CT DOC will utilize its internal employees for lion share of project tasks to be undertaken by the state.    Consultants will only be supplementing.  The term consultants includes contractors to be hired on an hourly basis by DOC.  Any required training for internal state employees is budged and funded separately from this.</t>
  </si>
  <si>
    <t>These are additive required funds.  Current general funds dedicated to IT Hardware Maint and Support will continue and will be redirected to the OMIS project</t>
  </si>
  <si>
    <t>Current projects making enhancements to the IT Hardware will continue</t>
  </si>
  <si>
    <t>The contract will be signed with the currently chosen vendor at the maintenance price as submitted in the RFP response.  DOC will provide level 1 IT Help Desk Support and the vendor will provide level 2 support</t>
  </si>
  <si>
    <t xml:space="preserve">The contract will be signed with the currently chosen vendor at the price submitted in the RFP response . Minimal modifications to the scope and specifications as defined in the RFP The project will be undertaken in 4 phases </t>
  </si>
  <si>
    <t>Assumptions</t>
  </si>
  <si>
    <t>53755: Includes Oracle enhancements needed to allow OMIS to stand on its own.</t>
  </si>
  <si>
    <t>53760: Includes vendor support and upgrades.</t>
  </si>
  <si>
    <t>55700: Accounts for hardware refresh and includes servers, switches, storage, etc</t>
  </si>
  <si>
    <t>Efficiency gains</t>
  </si>
  <si>
    <t>Streamlining/Efficiency Gains</t>
  </si>
  <si>
    <t>Cost Avoidance</t>
  </si>
  <si>
    <t>2017</t>
  </si>
  <si>
    <t>It is anticipated that this project will generate significant costs savings through the automation of business processes from manual to electronic, easier and universal access to accurate offender information and reduced cost for legacy system maintenance. Savings are anticipated to begin accruing in 2015 at approximately $500,000.  This will increase annually as the project is implemented and culminate w/ annual savings of approximately $2,000,000.  Projected 5 year efficiency savings totals approximately  $5,300,000.</t>
  </si>
  <si>
    <t>It is anticipated that this project will stem the increase of processing and managing costs beginning in 2018 (approximately $600,000) and culminate in annual cost avoidance of $1,000,000. Projected 5 year cost avoidance totals approximately  $1,600,000.</t>
  </si>
  <si>
    <t>General: Continuing contractor costs are not anticipated (excluding vendor support) nor are any increase in staff support costs anticipated (We plan to shift existing IT staff to support OMIS as the systems it is replacing are retired). Transition costs should be minimal</t>
  </si>
  <si>
    <t>860 692-7666</t>
  </si>
  <si>
    <t>michael.regan@po.state.ct.us</t>
  </si>
  <si>
    <t>2013 DOCM1 416</t>
  </si>
  <si>
    <t>Michael Regan</t>
  </si>
  <si>
    <t xml:space="preserve">Replace numerous antiquated and redundant IT systems </t>
  </si>
  <si>
    <t xml:space="preserve">Automate numerous manual processes and eliminate redundant process and processes rendered obsolete or superfluous by the new system. </t>
  </si>
  <si>
    <t>Automation of manual processes</t>
  </si>
  <si>
    <t>Increase data accuracy and integrity</t>
  </si>
  <si>
    <r>
      <t xml:space="preserve">This new system has broad, comprehensive automation and efficiency implications throughout DOC.  This system will replace numerous antiquated and redundant IT systems as well as automate numerous manual processes and eliminate redundant process and processes rendered obsolete or superfluous by the new system.  </t>
    </r>
    <r>
      <rPr>
        <b/>
        <sz val="9"/>
        <rFont val="Arial"/>
        <family val="2"/>
      </rPr>
      <t>Please see the application document for additional information.</t>
    </r>
  </si>
  <si>
    <t>REVISED 3/27/13</t>
  </si>
  <si>
    <t>Benefits have not been netted out of costs</t>
  </si>
  <si>
    <t>General:</t>
  </si>
  <si>
    <t xml:space="preserve">General: </t>
  </si>
  <si>
    <t>Some IT Transition costs have been netted out of costs</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</si>
</sst>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b/>
      <sz val="1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5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3"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4" xfId="0" applyFont="1" applyFill="1" applyBorder="1" applyAlignment="1" applyProtection="1">
      <alignment horizontal="center"/>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6" xfId="0" applyFont="1" applyFill="1" applyBorder="1" applyAlignment="1" applyProtection="1">
      <alignment horizontal="center" wrapText="1"/>
    </xf>
    <xf numFmtId="0" fontId="7" fillId="26" borderId="37"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8" xfId="0" applyFont="1" applyFill="1" applyBorder="1" applyAlignment="1" applyProtection="1">
      <alignment vertical="center"/>
    </xf>
    <xf numFmtId="3" fontId="5" fillId="25" borderId="39" xfId="0" applyNumberFormat="1" applyFont="1" applyFill="1" applyBorder="1" applyAlignment="1" applyProtection="1">
      <alignment horizontal="right" vertical="center" indent="1"/>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4" xfId="0" applyFont="1" applyFill="1" applyBorder="1" applyAlignment="1" applyProtection="1">
      <alignment horizontal="center"/>
    </xf>
    <xf numFmtId="0" fontId="7" fillId="26" borderId="45" xfId="0" applyFont="1" applyFill="1" applyBorder="1" applyAlignment="1" applyProtection="1">
      <alignment horizontal="center"/>
    </xf>
    <xf numFmtId="0" fontId="7" fillId="26" borderId="45" xfId="0" applyFont="1" applyFill="1" applyBorder="1" applyAlignment="1" applyProtection="1">
      <alignment horizontal="center" wrapText="1"/>
    </xf>
    <xf numFmtId="0" fontId="7" fillId="26" borderId="46" xfId="0" applyFont="1" applyFill="1" applyBorder="1" applyAlignment="1" applyProtection="1">
      <alignment horizontal="center" wrapText="1"/>
    </xf>
    <xf numFmtId="3" fontId="5" fillId="25" borderId="48"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49"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0" xfId="0" applyFont="1" applyFill="1" applyBorder="1" applyAlignment="1" applyProtection="1">
      <alignment horizontal="center"/>
    </xf>
    <xf numFmtId="0" fontId="7" fillId="26" borderId="51" xfId="0" applyFont="1" applyFill="1" applyBorder="1" applyAlignment="1" applyProtection="1">
      <alignment horizontal="center"/>
    </xf>
    <xf numFmtId="0" fontId="3" fillId="26" borderId="51" xfId="0" applyFont="1" applyFill="1" applyBorder="1" applyAlignment="1" applyProtection="1">
      <alignment horizontal="center" wrapText="1"/>
    </xf>
    <xf numFmtId="0" fontId="3" fillId="26" borderId="52" xfId="0" applyFont="1" applyFill="1" applyBorder="1" applyAlignment="1" applyProtection="1">
      <alignment horizontal="center" wrapText="1"/>
    </xf>
    <xf numFmtId="0" fontId="4" fillId="0" borderId="0" xfId="0" applyNumberFormat="1" applyFont="1" applyProtection="1"/>
    <xf numFmtId="0" fontId="3" fillId="26" borderId="49" xfId="0" applyFont="1" applyFill="1" applyBorder="1" applyAlignment="1" applyProtection="1">
      <alignment horizontal="center" wrapText="1"/>
    </xf>
    <xf numFmtId="0" fontId="6" fillId="0" borderId="0" xfId="0" applyFont="1" applyProtection="1"/>
    <xf numFmtId="3" fontId="5" fillId="25" borderId="53" xfId="0" applyNumberFormat="1" applyFont="1" applyFill="1" applyBorder="1" applyAlignment="1" applyProtection="1">
      <alignment horizontal="right" vertical="center" indent="1"/>
    </xf>
    <xf numFmtId="0" fontId="5" fillId="24" borderId="54" xfId="0" applyNumberFormat="1" applyFont="1" applyFill="1" applyBorder="1" applyAlignment="1" applyProtection="1">
      <alignment horizontal="right" vertical="center" indent="1"/>
      <protection locked="0"/>
    </xf>
    <xf numFmtId="0" fontId="5" fillId="24" borderId="55" xfId="0" applyNumberFormat="1" applyFont="1" applyFill="1" applyBorder="1" applyAlignment="1" applyProtection="1">
      <alignment horizontal="right" vertical="center" indent="1"/>
      <protection locked="0"/>
    </xf>
    <xf numFmtId="0" fontId="5" fillId="25" borderId="56"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7" xfId="0" applyNumberFormat="1" applyFont="1" applyFill="1" applyBorder="1" applyAlignment="1" applyProtection="1">
      <alignment horizontal="center" vertical="center"/>
    </xf>
    <xf numFmtId="3" fontId="5" fillId="25" borderId="58"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0" xfId="0" applyNumberFormat="1" applyFont="1" applyFill="1" applyBorder="1" applyAlignment="1" applyProtection="1">
      <alignment horizontal="right" vertical="center" indent="1"/>
    </xf>
    <xf numFmtId="3" fontId="9" fillId="25" borderId="61"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6" xfId="38" applyFill="1" applyBorder="1" applyAlignment="1" applyProtection="1">
      <alignment horizontal="center" wrapText="1"/>
    </xf>
    <xf numFmtId="0" fontId="19" fillId="25" borderId="60" xfId="38" applyFill="1" applyBorder="1" applyAlignment="1" applyProtection="1">
      <alignment horizontal="center" wrapText="1"/>
    </xf>
    <xf numFmtId="164" fontId="19" fillId="27" borderId="60" xfId="38" applyNumberFormat="1" applyFill="1" applyBorder="1" applyAlignment="1" applyProtection="1">
      <alignment wrapText="1"/>
    </xf>
    <xf numFmtId="164" fontId="19" fillId="0" borderId="61"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1" xfId="38" applyFill="1" applyBorder="1" applyAlignment="1" applyProtection="1">
      <alignment horizontal="center" wrapText="1"/>
    </xf>
    <xf numFmtId="0" fontId="19" fillId="25" borderId="32" xfId="38" applyFill="1" applyBorder="1" applyAlignment="1" applyProtection="1">
      <alignment horizontal="center" wrapText="1"/>
    </xf>
    <xf numFmtId="164" fontId="19" fillId="27" borderId="32" xfId="38" applyNumberFormat="1" applyFill="1" applyBorder="1" applyAlignment="1" applyProtection="1">
      <alignment wrapText="1"/>
    </xf>
    <xf numFmtId="164" fontId="19" fillId="0" borderId="67" xfId="38" applyNumberFormat="1" applyFont="1" applyFill="1" applyBorder="1" applyAlignment="1" applyProtection="1">
      <alignment horizontal="center" wrapText="1"/>
      <protection locked="0"/>
    </xf>
    <xf numFmtId="164" fontId="19" fillId="0" borderId="60" xfId="38" applyNumberFormat="1" applyFont="1" applyBorder="1" applyAlignment="1" applyProtection="1">
      <alignment wrapText="1"/>
      <protection locked="0"/>
    </xf>
    <xf numFmtId="164" fontId="19" fillId="0" borderId="61"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0" fontId="19" fillId="0" borderId="66" xfId="38" applyBorder="1" applyAlignment="1" applyProtection="1">
      <alignment horizontal="center" wrapText="1"/>
      <protection locked="0"/>
    </xf>
    <xf numFmtId="0" fontId="19" fillId="0" borderId="60" xfId="38" applyBorder="1" applyAlignment="1" applyProtection="1">
      <alignment horizontal="center" wrapText="1"/>
      <protection locked="0"/>
    </xf>
    <xf numFmtId="164" fontId="19" fillId="0" borderId="60"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0" xfId="0" applyFont="1" applyFill="1" applyBorder="1" applyAlignment="1" applyProtection="1">
      <alignment vertical="top"/>
    </xf>
    <xf numFmtId="0" fontId="7" fillId="26" borderId="71" xfId="0" applyFont="1" applyFill="1" applyBorder="1" applyAlignment="1" applyProtection="1">
      <alignment horizontal="left"/>
    </xf>
    <xf numFmtId="0" fontId="7" fillId="26" borderId="72" xfId="0" applyFont="1" applyFill="1" applyBorder="1" applyAlignment="1" applyProtection="1">
      <alignment horizontal="center" wrapText="1"/>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3" fontId="42" fillId="0" borderId="60"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2" xfId="38" applyNumberFormat="1" applyFont="1" applyFill="1" applyBorder="1" applyAlignment="1" applyProtection="1">
      <alignment wrapText="1"/>
      <protection locked="0"/>
    </xf>
    <xf numFmtId="3" fontId="42" fillId="24" borderId="60"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0" fontId="19" fillId="0" borderId="60"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2"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1" xfId="38" applyNumberFormat="1" applyFill="1" applyBorder="1" applyAlignment="1" applyProtection="1">
      <alignment wrapText="1"/>
    </xf>
    <xf numFmtId="3" fontId="5" fillId="25" borderId="75" xfId="0" applyNumberFormat="1" applyFont="1" applyFill="1" applyBorder="1" applyAlignment="1" applyProtection="1">
      <alignment horizontal="right" vertical="center" indent="1"/>
    </xf>
    <xf numFmtId="3" fontId="5" fillId="25" borderId="33"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7"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6" xfId="38" applyFont="1" applyFill="1" applyBorder="1" applyAlignment="1" applyProtection="1">
      <alignment horizontal="center" vertical="center"/>
    </xf>
    <xf numFmtId="0" fontId="40" fillId="29" borderId="36"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33"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xf>
    <xf numFmtId="0" fontId="37" fillId="26" borderId="81" xfId="0" applyFont="1" applyFill="1" applyBorder="1" applyAlignment="1" applyProtection="1">
      <protection locked="0"/>
    </xf>
    <xf numFmtId="0" fontId="37" fillId="26" borderId="13" xfId="0" applyFont="1" applyFill="1" applyBorder="1" applyAlignment="1" applyProtection="1">
      <protection locked="0"/>
    </xf>
    <xf numFmtId="0" fontId="37" fillId="26" borderId="82" xfId="0" applyFont="1" applyFill="1" applyBorder="1" applyAlignment="1" applyProtection="1">
      <protection locked="0"/>
    </xf>
    <xf numFmtId="0" fontId="37" fillId="26" borderId="70" xfId="0" applyFont="1" applyFill="1" applyBorder="1" applyAlignment="1" applyProtection="1">
      <protection locked="0"/>
    </xf>
    <xf numFmtId="0" fontId="37" fillId="26" borderId="82" xfId="0" applyFont="1" applyFill="1" applyBorder="1" applyProtection="1">
      <protection locked="0"/>
    </xf>
    <xf numFmtId="0" fontId="44" fillId="0" borderId="0" xfId="0" applyFont="1" applyBorder="1" applyProtection="1"/>
    <xf numFmtId="0" fontId="37" fillId="26" borderId="70"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83" xfId="0" applyNumberFormat="1" applyFont="1" applyFill="1" applyBorder="1" applyAlignment="1" applyProtection="1">
      <alignment horizontal="right" vertical="center" indent="1"/>
    </xf>
    <xf numFmtId="3" fontId="5" fillId="25" borderId="129" xfId="0" applyNumberFormat="1" applyFont="1" applyFill="1" applyBorder="1" applyAlignment="1" applyProtection="1">
      <alignment horizontal="right" vertical="center" indent="1"/>
    </xf>
    <xf numFmtId="0" fontId="9" fillId="25" borderId="59" xfId="0" applyFont="1" applyFill="1" applyBorder="1" applyAlignment="1" applyProtection="1">
      <alignment vertical="center"/>
    </xf>
    <xf numFmtId="0" fontId="4" fillId="0" borderId="0" xfId="0" applyFont="1" applyFill="1" applyBorder="1" applyAlignment="1" applyProtection="1">
      <alignment horizontal="right" vertical="top"/>
    </xf>
    <xf numFmtId="0" fontId="4" fillId="0" borderId="0" xfId="0" applyFont="1" applyAlignment="1" applyProtection="1">
      <alignment vertical="top"/>
    </xf>
    <xf numFmtId="0" fontId="5" fillId="0" borderId="0" xfId="0" applyFont="1" applyAlignment="1" applyProtection="1">
      <alignment vertical="top"/>
    </xf>
    <xf numFmtId="49" fontId="4" fillId="24" borderId="0" xfId="0" applyNumberFormat="1" applyFont="1" applyFill="1" applyBorder="1" applyAlignment="1" applyProtection="1">
      <alignment horizontal="left" vertical="center" wrapText="1"/>
      <protection locked="0"/>
    </xf>
    <xf numFmtId="0" fontId="5" fillId="0" borderId="0" xfId="0" applyFont="1" applyProtection="1"/>
    <xf numFmtId="0" fontId="9" fillId="0" borderId="0" xfId="0" applyFont="1" applyAlignment="1">
      <alignment horizontal="left" vertical="center" readingOrder="1"/>
    </xf>
    <xf numFmtId="3" fontId="5" fillId="0" borderId="12" xfId="0" applyNumberFormat="1" applyFont="1" applyFill="1" applyBorder="1" applyAlignment="1" applyProtection="1">
      <alignment horizontal="right" vertical="center" indent="1"/>
      <protection locked="0"/>
    </xf>
    <xf numFmtId="49" fontId="4" fillId="24" borderId="30" xfId="0" applyNumberFormat="1" applyFont="1" applyFill="1" applyBorder="1" applyAlignment="1" applyProtection="1">
      <alignment horizontal="left" vertical="center" wrapText="1" indent="1"/>
      <protection locked="0"/>
    </xf>
    <xf numFmtId="49" fontId="4" fillId="24" borderId="17" xfId="0" applyNumberFormat="1" applyFont="1" applyFill="1" applyBorder="1" applyAlignment="1" applyProtection="1">
      <alignment horizontal="left" vertical="center" wrapText="1" indent="1"/>
      <protection locked="0"/>
    </xf>
    <xf numFmtId="0" fontId="4" fillId="0" borderId="0" xfId="0" applyFont="1" applyAlignment="1" applyProtection="1">
      <alignment horizontal="left" vertical="top" wrapText="1"/>
    </xf>
    <xf numFmtId="0" fontId="4" fillId="0" borderId="0" xfId="0" applyFont="1" applyBorder="1" applyAlignment="1">
      <alignment horizontal="left" vertical="top" wrapText="1"/>
    </xf>
    <xf numFmtId="0" fontId="7" fillId="24" borderId="0" xfId="0" applyNumberFormat="1" applyFont="1" applyFill="1" applyBorder="1" applyAlignment="1" applyProtection="1">
      <alignment vertical="center" wrapText="1"/>
    </xf>
    <xf numFmtId="0" fontId="9" fillId="25" borderId="0" xfId="0" applyNumberFormat="1" applyFont="1" applyFill="1" applyBorder="1" applyAlignment="1" applyProtection="1">
      <alignment vertical="center" wrapText="1"/>
    </xf>
    <xf numFmtId="165" fontId="9" fillId="25" borderId="0" xfId="0" applyNumberFormat="1" applyFont="1" applyFill="1" applyBorder="1" applyAlignment="1" applyProtection="1">
      <alignment horizontal="left" vertical="center" wrapText="1"/>
    </xf>
    <xf numFmtId="0" fontId="45" fillId="0" borderId="0" xfId="0" applyFont="1" applyProtection="1"/>
    <xf numFmtId="0" fontId="0" fillId="25" borderId="0" xfId="0" applyNumberFormat="1" applyFill="1" applyBorder="1" applyAlignment="1" applyProtection="1">
      <alignment vertical="center" wrapText="1"/>
    </xf>
    <xf numFmtId="165" fontId="0" fillId="25" borderId="0" xfId="0" applyNumberFormat="1" applyFill="1" applyBorder="1" applyAlignment="1" applyProtection="1">
      <alignment horizontal="left" vertical="center" wrapText="1"/>
    </xf>
    <xf numFmtId="0" fontId="4" fillId="0" borderId="0" xfId="0" applyFont="1" applyFill="1" applyBorder="1" applyAlignment="1" applyProtection="1">
      <alignment horizontal="left" vertical="top"/>
    </xf>
    <xf numFmtId="0" fontId="4" fillId="0" borderId="0" xfId="0" applyFont="1" applyFill="1" applyBorder="1" applyAlignment="1" applyProtection="1">
      <alignment vertical="top"/>
    </xf>
    <xf numFmtId="0" fontId="8" fillId="30" borderId="81"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1"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3" xfId="0" applyFont="1" applyFill="1" applyBorder="1" applyAlignment="1" applyProtection="1">
      <alignment horizontal="center"/>
      <protection locked="0"/>
    </xf>
    <xf numFmtId="0" fontId="7" fillId="26" borderId="88" xfId="0" applyFont="1" applyFill="1" applyBorder="1" applyAlignment="1" applyProtection="1">
      <alignment vertical="center"/>
    </xf>
    <xf numFmtId="0" fontId="7" fillId="26" borderId="89"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33" fillId="26" borderId="82" xfId="0" applyFont="1" applyFill="1" applyBorder="1" applyAlignment="1" applyProtection="1">
      <alignment horizontal="center"/>
    </xf>
    <xf numFmtId="0" fontId="33" fillId="26" borderId="92" xfId="0" applyFont="1" applyFill="1" applyBorder="1" applyAlignment="1" applyProtection="1">
      <alignment horizontal="center"/>
    </xf>
    <xf numFmtId="0" fontId="33" fillId="26" borderId="84"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vertical="center"/>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47" xfId="0" applyFont="1" applyFill="1" applyBorder="1" applyAlignment="1" applyProtection="1">
      <alignment horizontal="center"/>
      <protection locked="0"/>
    </xf>
    <xf numFmtId="0" fontId="8" fillId="30" borderId="82"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2" xfId="0" applyFont="1" applyFill="1" applyBorder="1" applyAlignment="1" applyProtection="1">
      <alignment horizontal="left" wrapText="1"/>
      <protection locked="0"/>
    </xf>
    <xf numFmtId="0" fontId="8" fillId="30" borderId="92" xfId="0" applyFont="1" applyFill="1" applyBorder="1" applyAlignment="1" applyProtection="1">
      <alignment horizontal="left" wrapText="1"/>
      <protection locked="0"/>
    </xf>
    <xf numFmtId="0" fontId="8" fillId="30" borderId="84" xfId="0" applyFont="1" applyFill="1" applyBorder="1" applyAlignment="1" applyProtection="1">
      <alignment horizontal="left" wrapText="1"/>
      <protection locked="0"/>
    </xf>
    <xf numFmtId="0" fontId="9" fillId="30" borderId="82"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4" fillId="0" borderId="0" xfId="0" applyFont="1" applyAlignment="1" applyProtection="1">
      <alignment horizontal="left" vertical="top" wrapText="1"/>
    </xf>
    <xf numFmtId="0" fontId="5" fillId="25" borderId="94" xfId="0" applyFont="1" applyFill="1" applyBorder="1" applyAlignment="1" applyProtection="1">
      <alignment vertical="center"/>
    </xf>
    <xf numFmtId="0" fontId="5" fillId="25" borderId="95" xfId="0" applyFont="1" applyFill="1" applyBorder="1" applyAlignment="1" applyProtection="1">
      <alignment vertical="center"/>
    </xf>
    <xf numFmtId="0" fontId="34" fillId="26" borderId="96" xfId="0" applyFont="1" applyFill="1" applyBorder="1" applyAlignment="1" applyProtection="1">
      <alignment horizont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7" fillId="26" borderId="96" xfId="0" applyFont="1" applyFill="1" applyBorder="1" applyAlignment="1" applyProtection="1">
      <alignment vertical="center"/>
    </xf>
    <xf numFmtId="0" fontId="7" fillId="26" borderId="98"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3" xfId="0" applyNumberFormat="1" applyFont="1" applyFill="1" applyBorder="1" applyAlignment="1" applyProtection="1">
      <alignment vertical="center" wrapText="1"/>
    </xf>
    <xf numFmtId="0" fontId="9" fillId="25" borderId="104" xfId="0" applyNumberFormat="1" applyFont="1" applyFill="1" applyBorder="1" applyAlignment="1" applyProtection="1">
      <alignment vertical="center" wrapText="1"/>
    </xf>
    <xf numFmtId="0" fontId="9" fillId="25" borderId="54"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165" fontId="9" fillId="25" borderId="106" xfId="0" applyNumberFormat="1" applyFont="1" applyFill="1" applyBorder="1" applyAlignment="1" applyProtection="1">
      <alignment horizontal="left" vertical="center" wrapText="1"/>
    </xf>
    <xf numFmtId="165" fontId="9" fillId="25" borderId="107" xfId="0" applyNumberFormat="1" applyFont="1" applyFill="1" applyBorder="1" applyAlignment="1" applyProtection="1">
      <alignment horizontal="left" vertical="center" wrapText="1"/>
    </xf>
    <xf numFmtId="165" fontId="9" fillId="25" borderId="55" xfId="0" applyNumberFormat="1" applyFont="1" applyFill="1" applyBorder="1" applyAlignment="1" applyProtection="1">
      <alignment horizontal="left" vertical="center"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108" xfId="0" applyFont="1" applyFill="1" applyBorder="1" applyAlignment="1" applyProtection="1">
      <alignment vertical="center"/>
    </xf>
    <xf numFmtId="0" fontId="33" fillId="26" borderId="96"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9" fillId="25" borderId="109" xfId="0" applyFont="1" applyFill="1" applyBorder="1" applyAlignment="1" applyProtection="1">
      <alignment horizontal="center" vertical="center" textRotation="90" wrapText="1"/>
    </xf>
    <xf numFmtId="0" fontId="7" fillId="26" borderId="110" xfId="0" applyFont="1" applyFill="1" applyBorder="1" applyAlignment="1" applyProtection="1">
      <alignment vertical="center"/>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0" fillId="25" borderId="104"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5"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7"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3" fillId="26" borderId="118" xfId="0" applyFont="1" applyFill="1" applyBorder="1" applyAlignment="1" applyProtection="1">
      <alignment horizontal="center"/>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2"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40" fillId="29" borderId="70"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125" xfId="38" applyFont="1" applyFill="1" applyBorder="1" applyAlignment="1" applyProtection="1">
      <alignment horizontal="center" vertical="center"/>
    </xf>
    <xf numFmtId="0" fontId="40" fillId="29" borderId="82" xfId="38" applyFont="1" applyFill="1" applyBorder="1" applyAlignment="1" applyProtection="1">
      <alignment horizontal="center" vertical="center"/>
    </xf>
    <xf numFmtId="0" fontId="40" fillId="29" borderId="92"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164" fontId="5" fillId="25" borderId="42" xfId="38" applyNumberFormat="1" applyFont="1" applyFill="1" applyBorder="1" applyAlignment="1" applyProtection="1">
      <alignment horizontal="center"/>
    </xf>
    <xf numFmtId="164" fontId="5" fillId="25" borderId="43" xfId="38" applyNumberFormat="1" applyFont="1" applyFill="1" applyBorder="1" applyAlignment="1" applyProtection="1">
      <alignment horizontal="center"/>
    </xf>
    <xf numFmtId="164" fontId="5" fillId="25" borderId="108" xfId="38" applyNumberFormat="1" applyFont="1" applyFill="1" applyBorder="1" applyAlignment="1" applyProtection="1">
      <alignment horizontal="center"/>
    </xf>
    <xf numFmtId="0" fontId="9" fillId="25" borderId="104" xfId="0" applyNumberFormat="1" applyFont="1" applyFill="1" applyBorder="1" applyAlignment="1" applyProtection="1">
      <alignment horizontal="left" vertical="center" wrapText="1"/>
      <protection locked="0"/>
    </xf>
    <xf numFmtId="0" fontId="9" fillId="25" borderId="54" xfId="0" applyNumberFormat="1" applyFont="1" applyFill="1" applyBorder="1" applyAlignment="1" applyProtection="1">
      <alignment horizontal="left" vertical="center" wrapText="1"/>
      <protection locked="0"/>
    </xf>
    <xf numFmtId="0" fontId="9" fillId="25" borderId="105" xfId="0" applyNumberFormat="1" applyFont="1" applyFill="1" applyBorder="1" applyAlignment="1" applyProtection="1">
      <alignment horizontal="left" vertical="center" wrapText="1"/>
      <protection locked="0"/>
    </xf>
    <xf numFmtId="0" fontId="9" fillId="25" borderId="58" xfId="0" applyNumberFormat="1" applyFont="1" applyFill="1" applyBorder="1" applyAlignment="1" applyProtection="1">
      <alignment horizontal="left" vertical="center" wrapText="1"/>
      <protection locked="0"/>
    </xf>
    <xf numFmtId="165" fontId="9" fillId="25" borderId="107" xfId="0" applyNumberFormat="1" applyFont="1" applyFill="1" applyBorder="1" applyAlignment="1" applyProtection="1">
      <alignment horizontal="left" vertical="center" wrapText="1"/>
      <protection locked="0"/>
    </xf>
    <xf numFmtId="165" fontId="9" fillId="25" borderId="55"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6" xfId="0" applyFont="1" applyFill="1" applyBorder="1" applyAlignment="1" applyProtection="1">
      <alignment horizontal="left" vertical="center"/>
    </xf>
    <xf numFmtId="0" fontId="7" fillId="26" borderId="97"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14"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21" xfId="0" applyFont="1" applyFill="1" applyBorder="1" applyAlignment="1" applyProtection="1">
      <alignment horizontal="left" vertical="center"/>
    </xf>
    <xf numFmtId="0" fontId="7" fillId="26" borderId="97" xfId="0" applyFont="1" applyFill="1" applyBorder="1" applyAlignment="1" applyProtection="1">
      <alignment vertical="center"/>
    </xf>
    <xf numFmtId="0" fontId="7" fillId="26" borderId="121" xfId="0" applyFont="1" applyFill="1" applyBorder="1" applyAlignment="1" applyProtection="1">
      <alignment vertical="center"/>
    </xf>
    <xf numFmtId="0" fontId="33" fillId="26" borderId="96" xfId="0" applyFont="1" applyFill="1" applyBorder="1" applyAlignment="1" applyProtection="1">
      <alignment horizontal="center" wrapText="1"/>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4" xfId="0" applyNumberFormat="1" applyFont="1" applyFill="1" applyBorder="1" applyAlignment="1" applyProtection="1">
      <alignment horizontal="left" vertical="center" wrapText="1"/>
    </xf>
    <xf numFmtId="0" fontId="9" fillId="25" borderId="54" xfId="0" applyNumberFormat="1" applyFont="1" applyFill="1" applyBorder="1" applyAlignment="1" applyProtection="1">
      <alignment horizontal="left" vertical="center" wrapText="1"/>
    </xf>
    <xf numFmtId="0" fontId="9" fillId="25" borderId="105" xfId="0" applyNumberFormat="1" applyFont="1" applyFill="1" applyBorder="1" applyAlignment="1" applyProtection="1">
      <alignment horizontal="left" vertical="center" wrapText="1"/>
    </xf>
    <xf numFmtId="0" fontId="9" fillId="25" borderId="58"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6" xfId="0" applyFont="1" applyFill="1" applyBorder="1" applyAlignment="1" applyProtection="1">
      <alignment horizontal="center"/>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9" fillId="25" borderId="82" xfId="0" applyNumberFormat="1" applyFont="1" applyFill="1" applyBorder="1" applyAlignment="1" applyProtection="1">
      <alignment horizontal="left" vertical="center" wrapText="1"/>
    </xf>
    <xf numFmtId="0" fontId="9" fillId="25" borderId="84" xfId="0" applyNumberFormat="1" applyFont="1" applyFill="1" applyBorder="1" applyAlignment="1" applyProtection="1">
      <alignment horizontal="left" vertical="center" wrapText="1"/>
    </xf>
    <xf numFmtId="0" fontId="9" fillId="25" borderId="82" xfId="0"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0" borderId="126" xfId="0" applyFont="1" applyBorder="1" applyAlignment="1" applyProtection="1">
      <alignment horizontal="center"/>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ichael.regan@po.state.ct.us"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3" sqref="C3"/>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30" t="s">
        <v>73</v>
      </c>
      <c r="B2" s="230"/>
      <c r="C2" s="231"/>
    </row>
    <row r="3" spans="1:7" s="158" customFormat="1" ht="16.5" customHeight="1">
      <c r="A3" s="235" t="s">
        <v>25</v>
      </c>
      <c r="B3" s="236"/>
      <c r="C3" s="209" t="s">
        <v>136</v>
      </c>
    </row>
    <row r="4" spans="1:7" s="158" customFormat="1" ht="16.5" customHeight="1">
      <c r="A4" s="235" t="s">
        <v>22</v>
      </c>
      <c r="B4" s="236"/>
      <c r="C4" s="189" t="s">
        <v>108</v>
      </c>
    </row>
    <row r="5" spans="1:7" s="158" customFormat="1" ht="16.5" customHeight="1">
      <c r="A5" s="235" t="s">
        <v>26</v>
      </c>
      <c r="B5" s="236"/>
      <c r="C5" s="46">
        <v>41298</v>
      </c>
    </row>
    <row r="6" spans="1:7" s="158" customFormat="1" ht="16.5" customHeight="1">
      <c r="A6" s="235" t="s">
        <v>27</v>
      </c>
      <c r="B6" s="236"/>
      <c r="C6" s="189" t="s">
        <v>137</v>
      </c>
      <c r="E6" s="251" t="s">
        <v>80</v>
      </c>
      <c r="F6" s="251"/>
      <c r="G6" s="251"/>
    </row>
    <row r="7" spans="1:7" s="158" customFormat="1" ht="16.5" customHeight="1">
      <c r="A7" s="235" t="s">
        <v>23</v>
      </c>
      <c r="B7" s="236"/>
      <c r="C7" s="189" t="s">
        <v>134</v>
      </c>
      <c r="E7" s="251"/>
      <c r="F7" s="251"/>
      <c r="G7" s="251"/>
    </row>
    <row r="8" spans="1:7" s="159" customFormat="1" ht="16.5" customHeight="1">
      <c r="A8" s="238" t="s">
        <v>24</v>
      </c>
      <c r="B8" s="239"/>
      <c r="C8" s="200" t="s">
        <v>135</v>
      </c>
      <c r="E8" s="251"/>
      <c r="F8" s="251"/>
      <c r="G8" s="251"/>
    </row>
    <row r="9" spans="1:7" ht="15.75" customHeight="1">
      <c r="A9" s="240" t="s">
        <v>74</v>
      </c>
      <c r="B9" s="241"/>
      <c r="C9" s="242"/>
    </row>
    <row r="10" spans="1:7" ht="26.25" customHeight="1">
      <c r="A10" s="252" t="s">
        <v>104</v>
      </c>
      <c r="B10" s="253"/>
      <c r="C10" s="254"/>
    </row>
    <row r="11" spans="1:7" ht="16.5" customHeight="1">
      <c r="A11" s="199">
        <v>1</v>
      </c>
      <c r="B11" s="237" t="s">
        <v>68</v>
      </c>
      <c r="C11" s="237"/>
      <c r="D11" s="198"/>
      <c r="E11" s="198"/>
    </row>
    <row r="12" spans="1:7" ht="16.5" customHeight="1">
      <c r="A12" s="197">
        <v>2</v>
      </c>
      <c r="B12" s="237" t="s">
        <v>31</v>
      </c>
      <c r="C12" s="237"/>
      <c r="D12" s="198"/>
      <c r="E12" s="198"/>
    </row>
    <row r="13" spans="1:7" ht="16.5" customHeight="1">
      <c r="A13" s="197">
        <v>3</v>
      </c>
      <c r="B13" s="237" t="s">
        <v>32</v>
      </c>
      <c r="C13" s="237"/>
      <c r="D13" s="198"/>
      <c r="E13" s="198"/>
    </row>
    <row r="14" spans="1:7" ht="16.5" customHeight="1">
      <c r="A14" s="197">
        <v>4</v>
      </c>
      <c r="B14" s="237" t="s">
        <v>66</v>
      </c>
      <c r="C14" s="237"/>
      <c r="D14" s="198"/>
      <c r="E14" s="198"/>
    </row>
    <row r="15" spans="1:7" ht="16.5" customHeight="1">
      <c r="A15" s="197">
        <v>6</v>
      </c>
      <c r="B15" s="237" t="s">
        <v>67</v>
      </c>
      <c r="C15" s="237"/>
      <c r="D15" s="198"/>
      <c r="E15" s="198"/>
    </row>
    <row r="16" spans="1:7" ht="18" customHeight="1">
      <c r="A16" s="197">
        <v>7</v>
      </c>
      <c r="B16" s="237" t="s">
        <v>33</v>
      </c>
      <c r="C16" s="237"/>
      <c r="D16" s="198"/>
      <c r="E16" s="198"/>
    </row>
    <row r="17" spans="1:3" ht="15.75" customHeight="1">
      <c r="A17" s="232" t="s">
        <v>46</v>
      </c>
      <c r="B17" s="233"/>
      <c r="C17" s="234"/>
    </row>
    <row r="18" spans="1:3" ht="14.25" customHeight="1">
      <c r="A18" s="194">
        <v>3</v>
      </c>
      <c r="B18" s="255" t="s">
        <v>84</v>
      </c>
      <c r="C18" s="256"/>
    </row>
    <row r="19" spans="1:3" ht="14.25" customHeight="1">
      <c r="A19" s="225" t="s">
        <v>20</v>
      </c>
      <c r="B19" s="226"/>
      <c r="C19" s="227"/>
    </row>
    <row r="20" spans="1:3" ht="12.75">
      <c r="A20" s="193">
        <v>1</v>
      </c>
      <c r="B20" s="223" t="s">
        <v>34</v>
      </c>
      <c r="C20" s="223"/>
    </row>
    <row r="21" spans="1:3" ht="93" customHeight="1">
      <c r="A21" s="194">
        <v>2</v>
      </c>
      <c r="B21" s="224" t="s">
        <v>47</v>
      </c>
      <c r="C21" s="224"/>
    </row>
    <row r="22" spans="1:3" ht="12.75">
      <c r="A22" s="194">
        <v>3</v>
      </c>
      <c r="B22" s="224" t="s">
        <v>101</v>
      </c>
      <c r="C22" s="224"/>
    </row>
    <row r="23" spans="1:3" ht="12.75">
      <c r="A23" s="194">
        <v>4</v>
      </c>
      <c r="B23" s="224" t="s">
        <v>102</v>
      </c>
      <c r="C23" s="224"/>
    </row>
    <row r="24" spans="1:3" ht="15.75" customHeight="1">
      <c r="A24" s="247" t="s">
        <v>45</v>
      </c>
      <c r="B24" s="247"/>
      <c r="C24" s="247"/>
    </row>
    <row r="25" spans="1:3" ht="12.75" customHeight="1">
      <c r="A25" s="193">
        <v>1</v>
      </c>
      <c r="B25" s="229" t="s">
        <v>35</v>
      </c>
      <c r="C25" s="229"/>
    </row>
    <row r="26" spans="1:3" ht="12.75">
      <c r="A26" s="194">
        <v>2</v>
      </c>
      <c r="B26" s="228" t="s">
        <v>36</v>
      </c>
      <c r="C26" s="228"/>
    </row>
    <row r="27" spans="1:3" ht="12.75" customHeight="1">
      <c r="A27" s="194">
        <v>3</v>
      </c>
      <c r="B27" s="224" t="s">
        <v>101</v>
      </c>
      <c r="C27" s="224"/>
    </row>
    <row r="28" spans="1:3" ht="13.5" customHeight="1">
      <c r="A28" s="244" t="s">
        <v>50</v>
      </c>
      <c r="B28" s="245"/>
      <c r="C28" s="246"/>
    </row>
    <row r="29" spans="1:3" ht="12.75">
      <c r="A29" s="193">
        <v>1</v>
      </c>
      <c r="B29" s="229" t="s">
        <v>35</v>
      </c>
      <c r="C29" s="229"/>
    </row>
    <row r="30" spans="1:3" ht="12.75">
      <c r="A30" s="194">
        <v>2</v>
      </c>
      <c r="B30" s="228" t="s">
        <v>36</v>
      </c>
      <c r="C30" s="228"/>
    </row>
    <row r="31" spans="1:3" ht="12.75" customHeight="1">
      <c r="A31" s="194">
        <v>3</v>
      </c>
      <c r="B31" s="224" t="s">
        <v>101</v>
      </c>
      <c r="C31" s="224"/>
    </row>
    <row r="32" spans="1:3" ht="13.5" customHeight="1">
      <c r="A32" s="244" t="s">
        <v>54</v>
      </c>
      <c r="B32" s="245"/>
      <c r="C32" s="246"/>
    </row>
    <row r="33" spans="1:3" ht="64.5" customHeight="1">
      <c r="A33" s="193">
        <v>1</v>
      </c>
      <c r="B33" s="248" t="s">
        <v>81</v>
      </c>
      <c r="C33" s="249"/>
    </row>
    <row r="34" spans="1:3" ht="117.75" customHeight="1">
      <c r="A34" s="194">
        <v>2</v>
      </c>
      <c r="B34" s="248" t="s">
        <v>103</v>
      </c>
      <c r="C34" s="249"/>
    </row>
    <row r="35" spans="1:3" ht="54.75" customHeight="1">
      <c r="A35" s="194">
        <v>3</v>
      </c>
      <c r="B35" s="248" t="s">
        <v>82</v>
      </c>
      <c r="C35" s="249"/>
    </row>
    <row r="36" spans="1:3" ht="32.25" customHeight="1">
      <c r="A36" s="194">
        <v>4</v>
      </c>
      <c r="B36" s="248" t="s">
        <v>59</v>
      </c>
      <c r="C36" s="249"/>
    </row>
    <row r="37" spans="1:3" ht="15.75" customHeight="1">
      <c r="A37" s="194">
        <v>5</v>
      </c>
      <c r="B37" s="224" t="s">
        <v>69</v>
      </c>
      <c r="C37" s="224"/>
    </row>
    <row r="38" spans="1:3" ht="107.25" customHeight="1">
      <c r="A38" s="194">
        <v>6</v>
      </c>
      <c r="B38" s="250" t="s">
        <v>100</v>
      </c>
      <c r="C38" s="224"/>
    </row>
    <row r="39" spans="1:3" ht="13.5" customHeight="1">
      <c r="A39" s="244" t="s">
        <v>21</v>
      </c>
      <c r="B39" s="245"/>
      <c r="C39" s="246"/>
    </row>
    <row r="40" spans="1:3" ht="12.75" customHeight="1">
      <c r="A40" s="193">
        <v>1</v>
      </c>
      <c r="B40" s="223" t="s">
        <v>37</v>
      </c>
      <c r="C40" s="223"/>
    </row>
    <row r="41" spans="1:3" ht="27.75" customHeight="1">
      <c r="A41" s="194">
        <v>2</v>
      </c>
      <c r="B41" s="224" t="s">
        <v>75</v>
      </c>
      <c r="C41" s="224"/>
    </row>
    <row r="42" spans="1:3" ht="15.75" customHeight="1">
      <c r="A42" s="195">
        <v>3</v>
      </c>
      <c r="B42" s="224" t="s">
        <v>38</v>
      </c>
      <c r="C42" s="224"/>
    </row>
    <row r="43" spans="1:3" ht="43.5" customHeight="1">
      <c r="A43" s="196">
        <v>4</v>
      </c>
      <c r="B43" s="243" t="s">
        <v>79</v>
      </c>
      <c r="C43" s="224"/>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38"/>
  <sheetViews>
    <sheetView showGridLines="0" topLeftCell="A7" zoomScaleNormal="100" workbookViewId="0">
      <selection activeCell="A37" sqref="A37"/>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63" t="s">
        <v>25</v>
      </c>
      <c r="B2" s="264"/>
      <c r="C2" s="269" t="str">
        <f>IF(ISBLANK('PROJECT ID|INSTRUCTIONS'!C3)," ",'PROJECT ID|INSTRUCTIONS'!C3)</f>
        <v>2013 DOCM1 416</v>
      </c>
      <c r="D2" s="270"/>
      <c r="E2" s="270"/>
      <c r="F2" s="271"/>
    </row>
    <row r="3" spans="1:6" s="19" customFormat="1" ht="16.5" customHeight="1">
      <c r="A3" s="265" t="s">
        <v>22</v>
      </c>
      <c r="B3" s="266"/>
      <c r="C3" s="272" t="str">
        <f>IF(ISBLANK('PROJECT ID|INSTRUCTIONS'!C4)," ",'PROJECT ID|INSTRUCTIONS'!C4)</f>
        <v>Offender Management Information System (OMIS)</v>
      </c>
      <c r="D3" s="273"/>
      <c r="E3" s="273"/>
      <c r="F3" s="274"/>
    </row>
    <row r="4" spans="1:6" s="19" customFormat="1" ht="16.5" customHeight="1">
      <c r="A4" s="267" t="s">
        <v>26</v>
      </c>
      <c r="B4" s="268"/>
      <c r="C4" s="275">
        <f>IF(ISBLANK('PROJECT ID|INSTRUCTIONS'!C5)," ",'PROJECT ID|INSTRUCTIONS'!C5)</f>
        <v>41298</v>
      </c>
      <c r="D4" s="276"/>
      <c r="E4" s="276"/>
      <c r="F4" s="277"/>
    </row>
    <row r="5" spans="1:6" s="20" customFormat="1" ht="12" customHeight="1"/>
    <row r="6" spans="1:6" s="20" customFormat="1" ht="18.75" customHeight="1">
      <c r="A6" s="260" t="s">
        <v>20</v>
      </c>
      <c r="B6" s="261"/>
      <c r="C6" s="261"/>
      <c r="D6" s="261"/>
      <c r="E6" s="261"/>
      <c r="F6" s="262"/>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4"/>
      <c r="B10" s="124" t="s">
        <v>109</v>
      </c>
      <c r="C10" s="12" t="s">
        <v>110</v>
      </c>
      <c r="D10" s="15">
        <v>0</v>
      </c>
      <c r="E10" s="12" t="s">
        <v>110</v>
      </c>
      <c r="F10" s="15">
        <v>0</v>
      </c>
    </row>
    <row r="11" spans="1:6" s="27" customFormat="1">
      <c r="A11" s="94"/>
      <c r="B11" s="124"/>
      <c r="C11" s="13"/>
      <c r="D11" s="14"/>
      <c r="E11" s="13"/>
      <c r="F11" s="14"/>
    </row>
    <row r="12" spans="1:6" s="27" customFormat="1">
      <c r="A12" s="94"/>
      <c r="B12" s="124"/>
      <c r="C12" s="13"/>
      <c r="D12" s="14"/>
      <c r="E12" s="13"/>
      <c r="F12" s="14"/>
    </row>
    <row r="13" spans="1:6" s="27" customFormat="1">
      <c r="A13" s="94"/>
      <c r="B13" s="124"/>
      <c r="C13" s="12"/>
      <c r="D13" s="15"/>
      <c r="E13" s="12"/>
      <c r="F13" s="15"/>
    </row>
    <row r="14" spans="1:6" s="27" customFormat="1">
      <c r="A14" s="94"/>
      <c r="B14" s="124"/>
      <c r="C14" s="12"/>
      <c r="D14" s="15"/>
      <c r="E14" s="12"/>
      <c r="F14" s="15"/>
    </row>
    <row r="15" spans="1:6" ht="15" customHeight="1">
      <c r="A15" s="34" t="s">
        <v>11</v>
      </c>
      <c r="B15" s="35"/>
      <c r="C15" s="97"/>
      <c r="D15" s="98"/>
      <c r="E15" s="97"/>
      <c r="F15" s="98"/>
    </row>
    <row r="16" spans="1:6" s="27" customFormat="1">
      <c r="A16" s="94"/>
      <c r="B16" s="124" t="s">
        <v>127</v>
      </c>
      <c r="C16" s="13"/>
      <c r="D16" s="14">
        <v>0</v>
      </c>
      <c r="E16" s="13" t="s">
        <v>112</v>
      </c>
      <c r="F16" s="14">
        <v>2000000</v>
      </c>
    </row>
    <row r="17" spans="1:6" s="27" customFormat="1" ht="36">
      <c r="A17" s="94"/>
      <c r="B17" s="211" t="s">
        <v>139</v>
      </c>
      <c r="C17" s="13"/>
      <c r="D17" s="14"/>
      <c r="E17" s="13"/>
      <c r="F17" s="14"/>
    </row>
    <row r="18" spans="1:6" s="27" customFormat="1">
      <c r="A18" s="94"/>
      <c r="B18" s="211" t="s">
        <v>141</v>
      </c>
      <c r="C18" s="13"/>
      <c r="D18" s="14"/>
      <c r="E18" s="13"/>
      <c r="F18" s="14"/>
    </row>
    <row r="19" spans="1:6" s="27" customFormat="1">
      <c r="A19" s="94"/>
      <c r="B19" s="124"/>
      <c r="C19" s="12"/>
      <c r="D19" s="15"/>
      <c r="E19" s="12"/>
      <c r="F19" s="15"/>
    </row>
    <row r="20" spans="1:6" s="27" customFormat="1">
      <c r="A20" s="94"/>
      <c r="B20" s="124"/>
      <c r="C20" s="16"/>
      <c r="D20" s="17"/>
      <c r="E20" s="16"/>
      <c r="F20" s="17"/>
    </row>
    <row r="21" spans="1:6" ht="15" customHeight="1">
      <c r="A21" s="34" t="s">
        <v>12</v>
      </c>
      <c r="B21" s="35"/>
      <c r="C21" s="95"/>
      <c r="D21" s="96"/>
      <c r="E21" s="184"/>
      <c r="F21" s="96"/>
    </row>
    <row r="22" spans="1:6" s="27" customFormat="1">
      <c r="A22" s="36"/>
      <c r="B22" s="125" t="s">
        <v>111</v>
      </c>
      <c r="C22" s="13" t="s">
        <v>110</v>
      </c>
      <c r="D22" s="14">
        <v>0</v>
      </c>
      <c r="E22" s="13" t="s">
        <v>130</v>
      </c>
      <c r="F22" s="14">
        <v>1000000</v>
      </c>
    </row>
    <row r="23" spans="1:6" s="27" customFormat="1">
      <c r="A23" s="36"/>
      <c r="B23" s="212" t="s">
        <v>138</v>
      </c>
      <c r="C23" s="13"/>
      <c r="D23" s="14"/>
      <c r="E23" s="13"/>
      <c r="F23" s="14"/>
    </row>
    <row r="24" spans="1:6" s="27" customFormat="1">
      <c r="A24" s="36"/>
      <c r="B24" s="212" t="s">
        <v>140</v>
      </c>
      <c r="C24" s="13"/>
      <c r="D24" s="14"/>
      <c r="E24" s="13"/>
      <c r="F24" s="14"/>
    </row>
    <row r="25" spans="1:6" s="27" customFormat="1">
      <c r="A25" s="36"/>
      <c r="B25" s="125"/>
      <c r="C25" s="12"/>
      <c r="D25" s="15"/>
      <c r="E25" s="12"/>
      <c r="F25" s="15"/>
    </row>
    <row r="26" spans="1:6" s="27" customFormat="1" ht="12.75" thickBot="1">
      <c r="A26" s="36"/>
      <c r="B26" s="126"/>
      <c r="C26" s="16"/>
      <c r="D26" s="17"/>
      <c r="E26" s="16"/>
      <c r="F26" s="17"/>
    </row>
    <row r="27" spans="1:6" ht="18" customHeight="1" thickTop="1" thickBot="1">
      <c r="A27" s="258" t="s">
        <v>0</v>
      </c>
      <c r="B27" s="259"/>
      <c r="C27" s="28"/>
      <c r="D27" s="29">
        <f>SUM(D9:D26)</f>
        <v>0</v>
      </c>
      <c r="E27" s="28"/>
      <c r="F27" s="29">
        <f>SUM(F9:F26)</f>
        <v>3000000</v>
      </c>
    </row>
    <row r="28" spans="1:6" ht="12.75" thickTop="1"/>
    <row r="30" spans="1:6">
      <c r="A30" s="208" t="s">
        <v>123</v>
      </c>
      <c r="B30" s="208"/>
    </row>
    <row r="31" spans="1:6" ht="42.75" customHeight="1">
      <c r="A31" s="278" t="s">
        <v>142</v>
      </c>
      <c r="B31" s="278"/>
      <c r="C31" s="278"/>
      <c r="D31" s="278"/>
      <c r="E31" s="278"/>
      <c r="F31" s="278"/>
    </row>
    <row r="32" spans="1:6">
      <c r="A32" s="208" t="s">
        <v>128</v>
      </c>
      <c r="B32" s="208"/>
    </row>
    <row r="33" spans="1:6" ht="54" customHeight="1">
      <c r="A33" s="257" t="s">
        <v>131</v>
      </c>
      <c r="B33" s="257"/>
      <c r="C33" s="257"/>
      <c r="D33" s="257"/>
      <c r="E33" s="257"/>
      <c r="F33" s="257"/>
    </row>
    <row r="35" spans="1:6">
      <c r="A35" s="208" t="s">
        <v>129</v>
      </c>
    </row>
    <row r="36" spans="1:6" ht="29.25" customHeight="1">
      <c r="A36" s="257" t="s">
        <v>132</v>
      </c>
      <c r="B36" s="257"/>
      <c r="C36" s="257"/>
      <c r="D36" s="257"/>
      <c r="E36" s="257"/>
      <c r="F36" s="257"/>
    </row>
    <row r="37" spans="1:6">
      <c r="B37" s="207"/>
    </row>
    <row r="38" spans="1:6" ht="15">
      <c r="A38" s="218" t="s">
        <v>143</v>
      </c>
      <c r="B38" s="207"/>
    </row>
  </sheetData>
  <sheetProtection formatCells="0" formatColumns="0" formatRows="0" selectLockedCells="1"/>
  <mergeCells count="11">
    <mergeCell ref="A33:F33"/>
    <mergeCell ref="A36:F36"/>
    <mergeCell ref="A27:B27"/>
    <mergeCell ref="A6:F6"/>
    <mergeCell ref="A2:B2"/>
    <mergeCell ref="A3:B3"/>
    <mergeCell ref="A4:B4"/>
    <mergeCell ref="C2:F2"/>
    <mergeCell ref="C3:F3"/>
    <mergeCell ref="C4:F4"/>
    <mergeCell ref="A31:F31"/>
  </mergeCells>
  <phoneticPr fontId="1" type="noConversion"/>
  <printOptions horizontalCentered="1"/>
  <pageMargins left="0.75" right="0.75" top="1.26" bottom="0.65" header="0.5" footer="0.45"/>
  <pageSetup scale="70" orientation="landscape" r:id="rId1"/>
  <headerFooter alignWithMargins="0">
    <oddHeader>&amp;L&amp;G&amp;C&amp;"Verdana,Bold"&amp;10State of Connecticut
IT Investment Brief
FINANCIAL BENEFITS</oddHeader>
    <oddFooter>&amp;L&amp;A&amp;Cv2.0&amp;RPage &amp;P</oddFooter>
  </headerFooter>
  <ignoredErrors>
    <ignoredError sqref="E16 E19:E21" numberStoredAsText="1"/>
  </ignoredErrors>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L35"/>
  <sheetViews>
    <sheetView showGridLines="0" zoomScaleNormal="100" workbookViewId="0">
      <pane ySplit="7" topLeftCell="A17" activePane="bottomLeft" state="frozen"/>
      <selection pane="bottomLeft" activeCell="B33" sqref="B33"/>
    </sheetView>
  </sheetViews>
  <sheetFormatPr defaultRowHeight="12.75"/>
  <cols>
    <col min="1" max="2" width="10.7109375" style="20" customWidth="1"/>
    <col min="3" max="3" width="29.7109375" style="20" customWidth="1"/>
    <col min="4" max="11" width="12.7109375" style="20" customWidth="1"/>
    <col min="12" max="12" width="14.140625" style="20" customWidth="1"/>
    <col min="13" max="16384" width="9.140625" style="20"/>
  </cols>
  <sheetData>
    <row r="1" spans="1:12" ht="12" customHeight="1"/>
    <row r="2" spans="1:12" ht="16.5" customHeight="1">
      <c r="A2" s="290" t="s">
        <v>25</v>
      </c>
      <c r="B2" s="291"/>
      <c r="C2" s="292"/>
      <c r="D2" s="269" t="str">
        <f>IF(ISBLANK('PROJECT ID|INSTRUCTIONS'!C3)," ",'PROJECT ID|INSTRUCTIONS'!C3)</f>
        <v>2013 DOCM1 416</v>
      </c>
      <c r="E2" s="270"/>
      <c r="F2" s="270"/>
      <c r="G2" s="270"/>
      <c r="H2" s="270"/>
      <c r="I2" s="271"/>
      <c r="J2" s="216"/>
    </row>
    <row r="3" spans="1:12" ht="16.5" customHeight="1">
      <c r="A3" s="293" t="s">
        <v>22</v>
      </c>
      <c r="B3" s="294"/>
      <c r="C3" s="266"/>
      <c r="D3" s="272" t="str">
        <f>IF(ISBLANK('PROJECT ID|INSTRUCTIONS'!C4)," ",'PROJECT ID|INSTRUCTIONS'!C4)</f>
        <v>Offender Management Information System (OMIS)</v>
      </c>
      <c r="E3" s="273"/>
      <c r="F3" s="273"/>
      <c r="G3" s="273"/>
      <c r="H3" s="273"/>
      <c r="I3" s="274"/>
      <c r="J3" s="216"/>
    </row>
    <row r="4" spans="1:12" ht="16.5" customHeight="1">
      <c r="A4" s="295" t="s">
        <v>26</v>
      </c>
      <c r="B4" s="296"/>
      <c r="C4" s="297"/>
      <c r="D4" s="275">
        <f>IF(ISBLANK('PROJECT ID|INSTRUCTIONS'!C5)," ",'PROJECT ID|INSTRUCTIONS'!C5)</f>
        <v>41298</v>
      </c>
      <c r="E4" s="276"/>
      <c r="F4" s="276"/>
      <c r="G4" s="276"/>
      <c r="H4" s="276"/>
      <c r="I4" s="277"/>
      <c r="J4" s="217"/>
    </row>
    <row r="5" spans="1:12" s="48" customFormat="1" ht="12" customHeight="1">
      <c r="A5" s="47" t="s">
        <v>48</v>
      </c>
      <c r="B5" s="47"/>
      <c r="C5" s="47"/>
      <c r="D5" s="47"/>
      <c r="E5" s="47"/>
      <c r="F5" s="47"/>
      <c r="G5" s="47"/>
    </row>
    <row r="6" spans="1:12" s="49" customFormat="1" ht="18" customHeight="1">
      <c r="A6" s="283" t="s">
        <v>55</v>
      </c>
      <c r="B6" s="284"/>
      <c r="C6" s="284"/>
      <c r="D6" s="284"/>
      <c r="E6" s="284"/>
      <c r="F6" s="284"/>
      <c r="G6" s="284"/>
      <c r="H6" s="284"/>
      <c r="I6" s="284"/>
      <c r="J6" s="284"/>
      <c r="K6" s="284"/>
      <c r="L6" s="285"/>
    </row>
    <row r="7" spans="1:12" s="49" customFormat="1" ht="25.5">
      <c r="A7" s="50"/>
      <c r="B7" s="51" t="s">
        <v>14</v>
      </c>
      <c r="C7" s="52" t="s">
        <v>15</v>
      </c>
      <c r="D7" s="53" t="s">
        <v>13</v>
      </c>
      <c r="E7" s="53" t="str">
        <f>CONCATENATE("FY ",Settings!$C$1)</f>
        <v>FY 2013</v>
      </c>
      <c r="F7" s="53" t="str">
        <f>CONCATENATE("FY ",Settings!$C$1+1)</f>
        <v>FY 2014</v>
      </c>
      <c r="G7" s="53" t="str">
        <f>CONCATENATE("FY ",Settings!$C$1+2)</f>
        <v>FY 2015</v>
      </c>
      <c r="H7" s="53" t="str">
        <f>CONCATENATE("FY ",Settings!$C$1+3)</f>
        <v>FY 2016</v>
      </c>
      <c r="I7" s="53" t="str">
        <f>CONCATENATE("FY ",Settings!$C$1+4)</f>
        <v>FY 2017</v>
      </c>
      <c r="J7" s="53" t="str">
        <f>CONCATENATE("FY ",Settings!$C$1+5)</f>
        <v>FY 2018</v>
      </c>
      <c r="K7" s="53" t="str">
        <f>CONCATENATE("Out Years after FY",Settings!$C$1+4)</f>
        <v>Out Years after FY2017</v>
      </c>
      <c r="L7" s="54" t="s">
        <v>0</v>
      </c>
    </row>
    <row r="8" spans="1:12" ht="16.5" customHeight="1">
      <c r="A8" s="286" t="s">
        <v>86</v>
      </c>
      <c r="B8" s="55">
        <v>50110</v>
      </c>
      <c r="C8" s="55" t="s">
        <v>87</v>
      </c>
      <c r="D8" s="3"/>
      <c r="E8" s="3"/>
      <c r="F8" s="3"/>
      <c r="G8" s="3"/>
      <c r="H8" s="3"/>
      <c r="I8" s="3"/>
      <c r="J8" s="3"/>
      <c r="K8" s="3"/>
      <c r="L8" s="175">
        <f>SUM(D8:K8)</f>
        <v>0</v>
      </c>
    </row>
    <row r="9" spans="1:12" ht="16.5" customHeight="1">
      <c r="A9" s="287"/>
      <c r="B9" s="55">
        <v>50130</v>
      </c>
      <c r="C9" s="55" t="s">
        <v>88</v>
      </c>
      <c r="D9" s="1"/>
      <c r="E9" s="1"/>
      <c r="F9" s="1"/>
      <c r="G9" s="1"/>
      <c r="H9" s="1"/>
      <c r="I9" s="1"/>
      <c r="J9" s="1"/>
      <c r="K9" s="1"/>
      <c r="L9" s="96">
        <f t="shared" ref="L9:L21" si="0">SUM(D9:K9)</f>
        <v>0</v>
      </c>
    </row>
    <row r="10" spans="1:12" ht="16.5" customHeight="1">
      <c r="A10" s="287"/>
      <c r="B10" s="55">
        <v>50170</v>
      </c>
      <c r="C10" s="55" t="s">
        <v>89</v>
      </c>
      <c r="D10" s="2"/>
      <c r="E10" s="2"/>
      <c r="F10" s="2"/>
      <c r="G10" s="2"/>
      <c r="H10" s="2"/>
      <c r="I10" s="2"/>
      <c r="J10" s="2"/>
      <c r="K10" s="2"/>
      <c r="L10" s="183">
        <f t="shared" si="0"/>
        <v>0</v>
      </c>
    </row>
    <row r="11" spans="1:12" ht="16.5" customHeight="1" thickBot="1">
      <c r="A11" s="288"/>
      <c r="B11" s="56" t="s">
        <v>16</v>
      </c>
      <c r="C11" s="56"/>
      <c r="D11" s="57">
        <f>SUM(D8:D10)</f>
        <v>0</v>
      </c>
      <c r="E11" s="57">
        <f t="shared" ref="E11:K11" si="1">SUM(E8:E10)</f>
        <v>0</v>
      </c>
      <c r="F11" s="57">
        <f t="shared" si="1"/>
        <v>0</v>
      </c>
      <c r="G11" s="57">
        <f t="shared" si="1"/>
        <v>0</v>
      </c>
      <c r="H11" s="57">
        <f t="shared" si="1"/>
        <v>0</v>
      </c>
      <c r="I11" s="57">
        <f t="shared" si="1"/>
        <v>0</v>
      </c>
      <c r="J11" s="57">
        <f t="shared" ref="J11" si="2">SUM(J8:J10)</f>
        <v>0</v>
      </c>
      <c r="K11" s="57">
        <f t="shared" si="1"/>
        <v>0</v>
      </c>
      <c r="L11" s="58">
        <f t="shared" si="0"/>
        <v>0</v>
      </c>
    </row>
    <row r="12" spans="1:12" ht="16.5" customHeight="1" thickTop="1">
      <c r="A12" s="289" t="s">
        <v>85</v>
      </c>
      <c r="B12" s="55">
        <v>53715</v>
      </c>
      <c r="C12" s="55" t="s">
        <v>90</v>
      </c>
      <c r="D12" s="3"/>
      <c r="F12" s="3">
        <v>500000</v>
      </c>
      <c r="G12" s="3">
        <v>1000000</v>
      </c>
      <c r="H12" s="3">
        <v>1000000</v>
      </c>
      <c r="I12" s="3">
        <v>1000000</v>
      </c>
      <c r="J12" s="3">
        <v>500000</v>
      </c>
      <c r="K12" s="3"/>
      <c r="L12" s="182">
        <f t="shared" si="0"/>
        <v>4000000</v>
      </c>
    </row>
    <row r="13" spans="1:12" ht="16.5" customHeight="1">
      <c r="A13" s="287"/>
      <c r="B13" s="55">
        <v>53720</v>
      </c>
      <c r="C13" s="55" t="s">
        <v>91</v>
      </c>
      <c r="D13" s="1"/>
      <c r="E13" s="1"/>
      <c r="F13" s="1"/>
      <c r="G13" s="1"/>
      <c r="H13" s="1"/>
      <c r="I13" s="1"/>
      <c r="J13" s="1"/>
      <c r="K13" s="1"/>
      <c r="L13" s="96">
        <f t="shared" si="0"/>
        <v>0</v>
      </c>
    </row>
    <row r="14" spans="1:12" ht="16.5" customHeight="1">
      <c r="A14" s="287"/>
      <c r="B14" s="55">
        <v>53735</v>
      </c>
      <c r="C14" s="55" t="s">
        <v>92</v>
      </c>
      <c r="D14" s="1"/>
      <c r="E14" s="1"/>
      <c r="F14" s="1"/>
      <c r="G14" s="1"/>
      <c r="H14" s="1"/>
      <c r="I14" s="1"/>
      <c r="J14" s="1"/>
      <c r="K14" s="1"/>
      <c r="L14" s="96">
        <f t="shared" si="0"/>
        <v>0</v>
      </c>
    </row>
    <row r="15" spans="1:12" ht="16.5" customHeight="1">
      <c r="A15" s="287"/>
      <c r="B15" s="55">
        <v>53740</v>
      </c>
      <c r="C15" s="55" t="s">
        <v>93</v>
      </c>
      <c r="D15" s="1"/>
      <c r="E15" s="1"/>
      <c r="F15" s="1"/>
      <c r="H15" s="1">
        <v>100000</v>
      </c>
      <c r="I15" s="1">
        <v>100000</v>
      </c>
      <c r="J15" s="1">
        <v>100000</v>
      </c>
      <c r="K15" s="1">
        <v>100000</v>
      </c>
      <c r="L15" s="96">
        <f t="shared" si="0"/>
        <v>400000</v>
      </c>
    </row>
    <row r="16" spans="1:12" ht="16.5" customHeight="1">
      <c r="A16" s="287"/>
      <c r="B16" s="55">
        <v>53755</v>
      </c>
      <c r="C16" s="55" t="s">
        <v>94</v>
      </c>
      <c r="D16" s="1"/>
      <c r="E16" s="1"/>
      <c r="G16" s="1">
        <v>3000000</v>
      </c>
      <c r="H16" s="1">
        <v>4000000</v>
      </c>
      <c r="I16" s="1">
        <v>3700000</v>
      </c>
      <c r="J16" s="1"/>
      <c r="K16" s="1"/>
      <c r="L16" s="96">
        <f t="shared" si="0"/>
        <v>10700000</v>
      </c>
    </row>
    <row r="17" spans="1:12" ht="16.5" customHeight="1">
      <c r="A17" s="287"/>
      <c r="B17" s="55">
        <v>53760</v>
      </c>
      <c r="C17" s="55" t="s">
        <v>95</v>
      </c>
      <c r="D17" s="1"/>
      <c r="E17" s="1"/>
      <c r="F17" s="1"/>
      <c r="H17" s="1">
        <v>700000</v>
      </c>
      <c r="I17" s="1">
        <v>700000</v>
      </c>
      <c r="J17" s="1">
        <v>700000</v>
      </c>
      <c r="K17" s="1">
        <v>700000</v>
      </c>
      <c r="L17" s="183">
        <f t="shared" si="0"/>
        <v>2800000</v>
      </c>
    </row>
    <row r="18" spans="1:12" ht="16.5" customHeight="1" thickBot="1">
      <c r="A18" s="288"/>
      <c r="B18" s="56" t="s">
        <v>16</v>
      </c>
      <c r="C18" s="56"/>
      <c r="D18" s="57">
        <f>SUM(D12:D17)</f>
        <v>0</v>
      </c>
      <c r="E18" s="57">
        <f t="shared" ref="E18:K18" si="3">SUM(E12:E17)</f>
        <v>0</v>
      </c>
      <c r="F18" s="57">
        <f t="shared" si="3"/>
        <v>500000</v>
      </c>
      <c r="G18" s="57">
        <f t="shared" si="3"/>
        <v>4000000</v>
      </c>
      <c r="H18" s="57">
        <f t="shared" si="3"/>
        <v>5800000</v>
      </c>
      <c r="I18" s="57">
        <f t="shared" si="3"/>
        <v>5500000</v>
      </c>
      <c r="J18" s="57">
        <f t="shared" ref="J18" si="4">SUM(J12:J17)</f>
        <v>1300000</v>
      </c>
      <c r="K18" s="57">
        <f t="shared" si="3"/>
        <v>800000</v>
      </c>
      <c r="L18" s="58">
        <f>SUM(D18:K18)</f>
        <v>17900000</v>
      </c>
    </row>
    <row r="19" spans="1:12" ht="16.5" customHeight="1" thickTop="1">
      <c r="A19" s="289" t="s">
        <v>96</v>
      </c>
      <c r="B19" s="55">
        <v>55700</v>
      </c>
      <c r="C19" s="55" t="s">
        <v>97</v>
      </c>
      <c r="D19" s="1"/>
      <c r="F19" s="1">
        <v>800000</v>
      </c>
      <c r="G19" s="1">
        <v>1000000</v>
      </c>
      <c r="H19" s="1">
        <v>1000000</v>
      </c>
      <c r="I19" s="1"/>
      <c r="J19" s="1"/>
      <c r="K19" s="1"/>
      <c r="L19" s="182">
        <f t="shared" si="0"/>
        <v>2800000</v>
      </c>
    </row>
    <row r="20" spans="1:12" ht="16.5" customHeight="1">
      <c r="A20" s="286"/>
      <c r="B20" s="55">
        <v>55710</v>
      </c>
      <c r="C20" s="55" t="s">
        <v>98</v>
      </c>
      <c r="D20" s="1"/>
      <c r="E20" s="1"/>
      <c r="F20" s="1"/>
      <c r="G20" s="1"/>
      <c r="H20" s="1"/>
      <c r="I20" s="1"/>
      <c r="J20" s="1"/>
      <c r="K20" s="1"/>
      <c r="L20" s="201">
        <f t="shared" si="0"/>
        <v>0</v>
      </c>
    </row>
    <row r="21" spans="1:12" ht="48" customHeight="1">
      <c r="A21" s="286"/>
      <c r="B21" s="55">
        <v>55730</v>
      </c>
      <c r="C21" s="55" t="s">
        <v>99</v>
      </c>
      <c r="D21" s="1"/>
      <c r="E21" s="1"/>
      <c r="F21" s="1"/>
      <c r="G21" s="1"/>
      <c r="H21" s="1"/>
      <c r="I21" s="1"/>
      <c r="J21" s="1"/>
      <c r="K21" s="1"/>
      <c r="L21" s="201">
        <f t="shared" si="0"/>
        <v>0</v>
      </c>
    </row>
    <row r="22" spans="1:12" ht="16.5" customHeight="1" thickBot="1">
      <c r="A22" s="288"/>
      <c r="B22" s="56" t="s">
        <v>16</v>
      </c>
      <c r="C22" s="56"/>
      <c r="D22" s="57">
        <f t="shared" ref="D22:K22" si="5">SUM(D19:D21)</f>
        <v>0</v>
      </c>
      <c r="E22" s="57">
        <f t="shared" si="5"/>
        <v>0</v>
      </c>
      <c r="F22" s="57">
        <f t="shared" si="5"/>
        <v>800000</v>
      </c>
      <c r="G22" s="57">
        <f t="shared" si="5"/>
        <v>1000000</v>
      </c>
      <c r="H22" s="57">
        <f>SUM(H19:H21)</f>
        <v>1000000</v>
      </c>
      <c r="I22" s="57">
        <f>SUM(I19:I21)</f>
        <v>0</v>
      </c>
      <c r="J22" s="57">
        <f t="shared" ref="J22" si="6">SUM(J19:J21)</f>
        <v>0</v>
      </c>
      <c r="K22" s="57">
        <f t="shared" si="5"/>
        <v>0</v>
      </c>
      <c r="L22" s="58">
        <f>SUM(D22:K22)</f>
        <v>2800000</v>
      </c>
    </row>
    <row r="23" spans="1:12" ht="16.5" customHeight="1" thickTop="1" thickBot="1">
      <c r="A23" s="280" t="s">
        <v>17</v>
      </c>
      <c r="B23" s="281"/>
      <c r="C23" s="282"/>
      <c r="D23" s="29">
        <f t="shared" ref="D23:K23" si="7">D11+D18+D22</f>
        <v>0</v>
      </c>
      <c r="E23" s="29">
        <f t="shared" si="7"/>
        <v>0</v>
      </c>
      <c r="F23" s="29">
        <f t="shared" si="7"/>
        <v>1300000</v>
      </c>
      <c r="G23" s="29">
        <f t="shared" si="7"/>
        <v>5000000</v>
      </c>
      <c r="H23" s="29">
        <f t="shared" si="7"/>
        <v>6800000</v>
      </c>
      <c r="I23" s="29">
        <f t="shared" ref="I23" si="8">I11+I18+I22</f>
        <v>5500000</v>
      </c>
      <c r="J23" s="29">
        <f t="shared" ref="J23" si="9">J11+J18+J22</f>
        <v>1300000</v>
      </c>
      <c r="K23" s="29">
        <f t="shared" si="7"/>
        <v>800000</v>
      </c>
      <c r="L23" s="29">
        <f>SUM(D23:K23)</f>
        <v>20700000</v>
      </c>
    </row>
    <row r="24" spans="1:12" ht="13.5" thickTop="1"/>
    <row r="27" spans="1:12" ht="32.25" customHeight="1">
      <c r="A27" s="204" t="s">
        <v>113</v>
      </c>
      <c r="B27" s="279" t="s">
        <v>118</v>
      </c>
      <c r="C27" s="279"/>
      <c r="D27" s="279"/>
      <c r="E27" s="279"/>
      <c r="F27" s="279"/>
      <c r="G27" s="279"/>
      <c r="H27" s="279"/>
      <c r="I27" s="279"/>
      <c r="J27" s="279"/>
      <c r="K27" s="279"/>
      <c r="L27" s="279"/>
    </row>
    <row r="28" spans="1:12" ht="23.25" customHeight="1">
      <c r="A28" s="204" t="s">
        <v>114</v>
      </c>
      <c r="B28" s="279" t="s">
        <v>119</v>
      </c>
      <c r="C28" s="279"/>
      <c r="D28" s="279"/>
      <c r="E28" s="279"/>
      <c r="F28" s="279"/>
      <c r="G28" s="279"/>
      <c r="H28" s="279"/>
      <c r="I28" s="279"/>
      <c r="J28" s="279"/>
      <c r="K28" s="279"/>
      <c r="L28" s="279"/>
    </row>
    <row r="29" spans="1:12" ht="30" customHeight="1">
      <c r="A29" s="204" t="s">
        <v>115</v>
      </c>
      <c r="B29" s="279" t="s">
        <v>122</v>
      </c>
      <c r="C29" s="279"/>
      <c r="D29" s="279"/>
      <c r="E29" s="279"/>
      <c r="F29" s="279"/>
      <c r="G29" s="279"/>
      <c r="H29" s="279"/>
      <c r="I29" s="279"/>
      <c r="J29" s="279"/>
      <c r="K29" s="279"/>
      <c r="L29" s="279"/>
    </row>
    <row r="30" spans="1:12" ht="27" customHeight="1">
      <c r="A30" s="204" t="s">
        <v>116</v>
      </c>
      <c r="B30" s="279" t="s">
        <v>121</v>
      </c>
      <c r="C30" s="279"/>
      <c r="D30" s="279"/>
      <c r="E30" s="279"/>
      <c r="F30" s="279"/>
      <c r="G30" s="279"/>
      <c r="H30" s="279"/>
      <c r="I30" s="279"/>
      <c r="J30" s="279"/>
      <c r="K30" s="279"/>
      <c r="L30" s="279"/>
    </row>
    <row r="31" spans="1:12" ht="21.75" customHeight="1">
      <c r="A31" s="204" t="s">
        <v>117</v>
      </c>
      <c r="B31" s="279" t="s">
        <v>120</v>
      </c>
      <c r="C31" s="279"/>
      <c r="D31" s="279"/>
      <c r="E31" s="279"/>
      <c r="F31" s="279"/>
      <c r="G31" s="279"/>
      <c r="H31" s="279"/>
      <c r="I31" s="279"/>
      <c r="J31" s="279"/>
      <c r="K31" s="279"/>
      <c r="L31" s="279"/>
    </row>
    <row r="32" spans="1:12" ht="15" customHeight="1">
      <c r="A32" s="204" t="s">
        <v>145</v>
      </c>
      <c r="B32" s="221" t="s">
        <v>144</v>
      </c>
      <c r="C32" s="214"/>
      <c r="D32" s="214"/>
      <c r="E32" s="214"/>
      <c r="F32" s="214"/>
      <c r="G32" s="214"/>
      <c r="H32" s="214"/>
      <c r="I32" s="214"/>
      <c r="J32" s="214"/>
      <c r="K32" s="214"/>
      <c r="L32" s="214"/>
    </row>
    <row r="33" spans="1:12" ht="15" customHeight="1">
      <c r="A33" s="204"/>
      <c r="B33" s="221" t="s">
        <v>147</v>
      </c>
      <c r="C33" s="214"/>
      <c r="D33" s="214"/>
      <c r="E33" s="214"/>
      <c r="F33" s="214"/>
      <c r="G33" s="214"/>
      <c r="H33" s="214"/>
      <c r="I33" s="214"/>
      <c r="J33" s="214"/>
      <c r="K33" s="214"/>
      <c r="L33" s="214"/>
    </row>
    <row r="34" spans="1:12" ht="15" customHeight="1">
      <c r="A34" s="204"/>
      <c r="B34" s="221"/>
      <c r="C34" s="214"/>
      <c r="D34" s="214"/>
      <c r="E34" s="214"/>
      <c r="F34" s="214"/>
      <c r="G34" s="214"/>
      <c r="H34" s="214"/>
      <c r="I34" s="214"/>
      <c r="J34" s="214"/>
      <c r="K34" s="214"/>
      <c r="L34" s="214"/>
    </row>
    <row r="35" spans="1:12" ht="15">
      <c r="A35" s="218" t="s">
        <v>143</v>
      </c>
    </row>
  </sheetData>
  <sheetProtection formatCells="0" formatColumns="0" formatRows="0" selectLockedCells="1"/>
  <mergeCells count="16">
    <mergeCell ref="A2:C2"/>
    <mergeCell ref="A3:C3"/>
    <mergeCell ref="A4:C4"/>
    <mergeCell ref="D2:I2"/>
    <mergeCell ref="D3:I3"/>
    <mergeCell ref="D4:I4"/>
    <mergeCell ref="A23:C23"/>
    <mergeCell ref="A6:L6"/>
    <mergeCell ref="A8:A11"/>
    <mergeCell ref="A12:A18"/>
    <mergeCell ref="A19:A22"/>
    <mergeCell ref="B27:L27"/>
    <mergeCell ref="B28:L28"/>
    <mergeCell ref="B29:L29"/>
    <mergeCell ref="B30:L30"/>
    <mergeCell ref="B31:L31"/>
  </mergeCells>
  <phoneticPr fontId="0" type="noConversion"/>
  <printOptions horizontalCentered="1"/>
  <pageMargins left="0.75" right="0.75" top="1.27" bottom="0.64" header="0.5" footer="0.45"/>
  <pageSetup scale="73"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L36"/>
  <sheetViews>
    <sheetView showGridLines="0" tabSelected="1" zoomScaleNormal="100" workbookViewId="0">
      <pane ySplit="7" topLeftCell="A11" activePane="bottomLeft" state="frozen"/>
      <selection pane="bottomLeft" activeCell="L17" sqref="L17"/>
    </sheetView>
  </sheetViews>
  <sheetFormatPr defaultRowHeight="10.5"/>
  <cols>
    <col min="1" max="2" width="10.7109375" style="9" customWidth="1"/>
    <col min="3" max="3" width="29.7109375" style="9" customWidth="1"/>
    <col min="4" max="11" width="12.7109375" style="9" customWidth="1"/>
    <col min="12" max="12" width="13" style="9" customWidth="1"/>
    <col min="13" max="16384" width="9.140625" style="9"/>
  </cols>
  <sheetData>
    <row r="1" spans="1:12" ht="12" customHeight="1"/>
    <row r="2" spans="1:12" s="62" customFormat="1" ht="16.5" customHeight="1">
      <c r="A2" s="290" t="s">
        <v>25</v>
      </c>
      <c r="B2" s="291"/>
      <c r="C2" s="291"/>
      <c r="D2" s="270" t="str">
        <f>IF(ISBLANK('PROJECT ID|INSTRUCTIONS'!C3)," ",'PROJECT ID|INSTRUCTIONS'!C3)</f>
        <v>2013 DOCM1 416</v>
      </c>
      <c r="E2" s="298"/>
      <c r="F2" s="298"/>
      <c r="G2" s="298"/>
      <c r="H2" s="298"/>
      <c r="I2" s="299"/>
      <c r="J2" s="219"/>
    </row>
    <row r="3" spans="1:12" s="62" customFormat="1" ht="16.5" customHeight="1">
      <c r="A3" s="293" t="s">
        <v>22</v>
      </c>
      <c r="B3" s="294"/>
      <c r="C3" s="294"/>
      <c r="D3" s="273" t="str">
        <f>IF(ISBLANK('PROJECT ID|INSTRUCTIONS'!C4)," ",'PROJECT ID|INSTRUCTIONS'!C4)</f>
        <v>Offender Management Information System (OMIS)</v>
      </c>
      <c r="E3" s="300"/>
      <c r="F3" s="300"/>
      <c r="G3" s="300"/>
      <c r="H3" s="300"/>
      <c r="I3" s="301"/>
      <c r="J3" s="219"/>
    </row>
    <row r="4" spans="1:12" s="62" customFormat="1" ht="16.5" customHeight="1">
      <c r="A4" s="295" t="s">
        <v>26</v>
      </c>
      <c r="B4" s="296"/>
      <c r="C4" s="296"/>
      <c r="D4" s="276">
        <f>IF(ISBLANK('PROJECT ID|INSTRUCTIONS'!C5)," ",'PROJECT ID|INSTRUCTIONS'!C5)</f>
        <v>41298</v>
      </c>
      <c r="E4" s="302"/>
      <c r="F4" s="302"/>
      <c r="G4" s="302"/>
      <c r="H4" s="302"/>
      <c r="I4" s="303"/>
      <c r="J4" s="220"/>
    </row>
    <row r="5" spans="1:12" s="62" customFormat="1" ht="12" customHeight="1">
      <c r="A5" s="63"/>
      <c r="B5" s="63"/>
      <c r="C5" s="63"/>
      <c r="D5" s="63"/>
      <c r="E5" s="64"/>
      <c r="F5" s="64"/>
      <c r="G5" s="64"/>
      <c r="H5" s="64"/>
      <c r="I5" s="64"/>
      <c r="J5" s="64"/>
    </row>
    <row r="6" spans="1:12" ht="18" customHeight="1">
      <c r="A6" s="304" t="s">
        <v>56</v>
      </c>
      <c r="B6" s="305"/>
      <c r="C6" s="305"/>
      <c r="D6" s="305"/>
      <c r="E6" s="305"/>
      <c r="F6" s="305"/>
      <c r="G6" s="305"/>
      <c r="H6" s="305"/>
      <c r="I6" s="305"/>
      <c r="J6" s="305"/>
      <c r="K6" s="305"/>
      <c r="L6" s="306"/>
    </row>
    <row r="7" spans="1:12" ht="26.25" thickBot="1">
      <c r="A7" s="65"/>
      <c r="B7" s="66" t="s">
        <v>14</v>
      </c>
      <c r="C7" s="66" t="s">
        <v>15</v>
      </c>
      <c r="D7" s="67" t="s">
        <v>13</v>
      </c>
      <c r="E7" s="67" t="str">
        <f>CONCATENATE("FY ",Settings!$C$1)</f>
        <v>FY 2013</v>
      </c>
      <c r="F7" s="67" t="str">
        <f>CONCATENATE("FY ",Settings!$C$1+1)</f>
        <v>FY 2014</v>
      </c>
      <c r="G7" s="67" t="str">
        <f>CONCATENATE("FY ",Settings!$C$1+2)</f>
        <v>FY 2015</v>
      </c>
      <c r="H7" s="67" t="str">
        <f>CONCATENATE("FY ",Settings!$C$1+3)</f>
        <v>FY 2016</v>
      </c>
      <c r="I7" s="67" t="str">
        <f>CONCATENATE("FY ",Settings!$C$1+4)</f>
        <v>FY 2017</v>
      </c>
      <c r="J7" s="67" t="str">
        <f>CONCATENATE("FY ",Settings!$C$1+5)</f>
        <v>FY 2018</v>
      </c>
      <c r="K7" s="67" t="str">
        <f>CONCATENATE("Out Years after FY",Settings!$C$1+4)</f>
        <v>Out Years after FY2017</v>
      </c>
      <c r="L7" s="68" t="s">
        <v>0</v>
      </c>
    </row>
    <row r="8" spans="1:12" ht="16.5" customHeight="1">
      <c r="A8" s="286" t="s">
        <v>86</v>
      </c>
      <c r="B8" s="55">
        <v>50110</v>
      </c>
      <c r="C8" s="55" t="s">
        <v>87</v>
      </c>
      <c r="D8" s="3">
        <f>'TOTAL DEVELOPMENT COSTS'!D8*0.25</f>
        <v>0</v>
      </c>
      <c r="E8" s="3">
        <f>'TOTAL DEVELOPMENT COSTS'!E8*0.25</f>
        <v>0</v>
      </c>
      <c r="F8" s="3">
        <f>'TOTAL DEVELOPMENT COSTS'!F8*0.25</f>
        <v>0</v>
      </c>
      <c r="G8" s="3">
        <f>'TOTAL DEVELOPMENT COSTS'!G8*0.25</f>
        <v>0</v>
      </c>
      <c r="H8" s="3">
        <f>'TOTAL DEVELOPMENT COSTS'!H8*0.25</f>
        <v>0</v>
      </c>
      <c r="I8" s="3">
        <f>'TOTAL DEVELOPMENT COSTS'!I8*0.25</f>
        <v>0</v>
      </c>
      <c r="J8" s="3">
        <f>'TOTAL DEVELOPMENT COSTS'!J8*0.25</f>
        <v>0</v>
      </c>
      <c r="K8" s="3">
        <f>'TOTAL DEVELOPMENT COSTS'!K8*0.25</f>
        <v>0</v>
      </c>
      <c r="L8" s="178">
        <f>SUM(D8:K8)</f>
        <v>0</v>
      </c>
    </row>
    <row r="9" spans="1:12" ht="16.5" customHeight="1">
      <c r="A9" s="287"/>
      <c r="B9" s="55">
        <v>50130</v>
      </c>
      <c r="C9" s="55" t="s">
        <v>88</v>
      </c>
      <c r="D9" s="3">
        <f>'TOTAL DEVELOPMENT COSTS'!D9*0.25</f>
        <v>0</v>
      </c>
      <c r="E9" s="3">
        <f>'TOTAL DEVELOPMENT COSTS'!E9*0.25</f>
        <v>0</v>
      </c>
      <c r="F9" s="3">
        <f>'TOTAL DEVELOPMENT COSTS'!F9*0.25</f>
        <v>0</v>
      </c>
      <c r="G9" s="3">
        <f>'TOTAL DEVELOPMENT COSTS'!G9*0.25</f>
        <v>0</v>
      </c>
      <c r="H9" s="3">
        <f>'TOTAL DEVELOPMENT COSTS'!H9*0.25</f>
        <v>0</v>
      </c>
      <c r="I9" s="3">
        <f>'TOTAL DEVELOPMENT COSTS'!I9*0.25</f>
        <v>0</v>
      </c>
      <c r="J9" s="3">
        <f>'TOTAL DEVELOPMENT COSTS'!J9*0.25</f>
        <v>0</v>
      </c>
      <c r="K9" s="3">
        <f>'TOTAL DEVELOPMENT COSTS'!K9*0.25</f>
        <v>0</v>
      </c>
      <c r="L9" s="179">
        <f t="shared" ref="L9:L23" si="0">SUM(D9:K9)</f>
        <v>0</v>
      </c>
    </row>
    <row r="10" spans="1:12" ht="16.5" customHeight="1">
      <c r="A10" s="287"/>
      <c r="B10" s="55">
        <v>50170</v>
      </c>
      <c r="C10" s="55" t="s">
        <v>89</v>
      </c>
      <c r="D10" s="3">
        <f>'TOTAL DEVELOPMENT COSTS'!D10*0.25</f>
        <v>0</v>
      </c>
      <c r="E10" s="3">
        <f>'TOTAL DEVELOPMENT COSTS'!E10*0.25</f>
        <v>0</v>
      </c>
      <c r="F10" s="3">
        <f>'TOTAL DEVELOPMENT COSTS'!F10*0.25</f>
        <v>0</v>
      </c>
      <c r="G10" s="3">
        <f>'TOTAL DEVELOPMENT COSTS'!G10*0.25</f>
        <v>0</v>
      </c>
      <c r="H10" s="3">
        <f>'TOTAL DEVELOPMENT COSTS'!H10*0.25</f>
        <v>0</v>
      </c>
      <c r="I10" s="3">
        <f>'TOTAL DEVELOPMENT COSTS'!I10*0.25</f>
        <v>0</v>
      </c>
      <c r="J10" s="3">
        <f>'TOTAL DEVELOPMENT COSTS'!J10*0.25</f>
        <v>0</v>
      </c>
      <c r="K10" s="3">
        <f>'TOTAL DEVELOPMENT COSTS'!K10*0.25</f>
        <v>0</v>
      </c>
      <c r="L10" s="180">
        <f t="shared" si="0"/>
        <v>0</v>
      </c>
    </row>
    <row r="11" spans="1:12" ht="16.5" customHeight="1" thickBot="1">
      <c r="A11" s="288"/>
      <c r="B11" s="56" t="s">
        <v>16</v>
      </c>
      <c r="C11" s="56"/>
      <c r="D11" s="57">
        <f>SUM(D8:D10)</f>
        <v>0</v>
      </c>
      <c r="E11" s="57">
        <f t="shared" ref="E11:K11" si="1">SUM(E8:E10)</f>
        <v>0</v>
      </c>
      <c r="F11" s="57">
        <f t="shared" si="1"/>
        <v>0</v>
      </c>
      <c r="G11" s="57">
        <f t="shared" si="1"/>
        <v>0</v>
      </c>
      <c r="H11" s="57">
        <f t="shared" si="1"/>
        <v>0</v>
      </c>
      <c r="I11" s="57">
        <f t="shared" si="1"/>
        <v>0</v>
      </c>
      <c r="J11" s="69"/>
      <c r="K11" s="69">
        <f t="shared" si="1"/>
        <v>0</v>
      </c>
      <c r="L11" s="59">
        <f t="shared" si="0"/>
        <v>0</v>
      </c>
    </row>
    <row r="12" spans="1:12" ht="16.5" customHeight="1" thickTop="1">
      <c r="A12" s="289" t="s">
        <v>85</v>
      </c>
      <c r="B12" s="55">
        <v>53715</v>
      </c>
      <c r="C12" s="55" t="s">
        <v>90</v>
      </c>
      <c r="D12" s="3">
        <f>'TOTAL DEVELOPMENT COSTS'!D12*0.25</f>
        <v>0</v>
      </c>
      <c r="E12" s="3">
        <f>'TOTAL DEVELOPMENT COSTS'!E12*0.25</f>
        <v>0</v>
      </c>
      <c r="F12" s="3">
        <f>'TOTAL DEVELOPMENT COSTS'!F12*0.25</f>
        <v>125000</v>
      </c>
      <c r="G12" s="3">
        <f>'TOTAL DEVELOPMENT COSTS'!G12*0.25</f>
        <v>250000</v>
      </c>
      <c r="H12" s="3">
        <f>'TOTAL DEVELOPMENT COSTS'!H12*0.25</f>
        <v>250000</v>
      </c>
      <c r="I12" s="3">
        <f>'TOTAL DEVELOPMENT COSTS'!I12*0.25</f>
        <v>250000</v>
      </c>
      <c r="J12" s="3">
        <f>'TOTAL DEVELOPMENT COSTS'!J12*0.25</f>
        <v>125000</v>
      </c>
      <c r="K12" s="3">
        <f>'TOTAL DEVELOPMENT COSTS'!K12*0.25</f>
        <v>0</v>
      </c>
      <c r="L12" s="181">
        <f t="shared" si="0"/>
        <v>1000000</v>
      </c>
    </row>
    <row r="13" spans="1:12" ht="16.5" customHeight="1">
      <c r="A13" s="287"/>
      <c r="B13" s="55">
        <v>53720</v>
      </c>
      <c r="C13" s="55" t="s">
        <v>91</v>
      </c>
      <c r="D13" s="3">
        <f>'TOTAL DEVELOPMENT COSTS'!D13*0.25</f>
        <v>0</v>
      </c>
      <c r="E13" s="3">
        <f>'TOTAL DEVELOPMENT COSTS'!E13*0.25</f>
        <v>0</v>
      </c>
      <c r="F13" s="3">
        <f>'TOTAL DEVELOPMENT COSTS'!F13*0.25</f>
        <v>0</v>
      </c>
      <c r="G13" s="3">
        <f>'TOTAL DEVELOPMENT COSTS'!G13*0.25</f>
        <v>0</v>
      </c>
      <c r="H13" s="3">
        <f>'TOTAL DEVELOPMENT COSTS'!H13*0.25</f>
        <v>0</v>
      </c>
      <c r="I13" s="3">
        <f>'TOTAL DEVELOPMENT COSTS'!I13*0.25</f>
        <v>0</v>
      </c>
      <c r="J13" s="3">
        <f>'TOTAL DEVELOPMENT COSTS'!J13*0.25</f>
        <v>0</v>
      </c>
      <c r="K13" s="3">
        <f>'TOTAL DEVELOPMENT COSTS'!K13*0.25</f>
        <v>0</v>
      </c>
      <c r="L13" s="179">
        <f t="shared" si="0"/>
        <v>0</v>
      </c>
    </row>
    <row r="14" spans="1:12" ht="16.5" customHeight="1">
      <c r="A14" s="287"/>
      <c r="B14" s="55">
        <v>53735</v>
      </c>
      <c r="C14" s="55" t="s">
        <v>92</v>
      </c>
      <c r="D14" s="3">
        <f>'TOTAL DEVELOPMENT COSTS'!D14*0.25</f>
        <v>0</v>
      </c>
      <c r="E14" s="3">
        <f>'TOTAL DEVELOPMENT COSTS'!E14*0.25</f>
        <v>0</v>
      </c>
      <c r="F14" s="3">
        <f>'TOTAL DEVELOPMENT COSTS'!F14*0.25</f>
        <v>0</v>
      </c>
      <c r="G14" s="3">
        <f>'TOTAL DEVELOPMENT COSTS'!G14*0.25</f>
        <v>0</v>
      </c>
      <c r="H14" s="3">
        <f>'TOTAL DEVELOPMENT COSTS'!H14*0.25</f>
        <v>0</v>
      </c>
      <c r="I14" s="3">
        <f>'TOTAL DEVELOPMENT COSTS'!I14*0.25</f>
        <v>0</v>
      </c>
      <c r="J14" s="3">
        <f>'TOTAL DEVELOPMENT COSTS'!J14*0.25</f>
        <v>0</v>
      </c>
      <c r="K14" s="3">
        <f>'TOTAL DEVELOPMENT COSTS'!K14*0.25</f>
        <v>0</v>
      </c>
      <c r="L14" s="179">
        <f t="shared" si="0"/>
        <v>0</v>
      </c>
    </row>
    <row r="15" spans="1:12" ht="16.5" customHeight="1">
      <c r="A15" s="287"/>
      <c r="B15" s="55">
        <v>53740</v>
      </c>
      <c r="C15" s="55" t="s">
        <v>93</v>
      </c>
      <c r="D15" s="3">
        <f>'TOTAL DEVELOPMENT COSTS'!D15*0.25</f>
        <v>0</v>
      </c>
      <c r="E15" s="3">
        <f>'TOTAL DEVELOPMENT COSTS'!E15*0.25</f>
        <v>0</v>
      </c>
      <c r="F15" s="3">
        <f>'TOTAL DEVELOPMENT COSTS'!F15*0.25</f>
        <v>0</v>
      </c>
      <c r="G15" s="3">
        <f>'TOTAL DEVELOPMENT COSTS'!G15*0.25</f>
        <v>0</v>
      </c>
      <c r="H15" s="3">
        <v>0</v>
      </c>
      <c r="I15" s="3">
        <v>0</v>
      </c>
      <c r="J15" s="3">
        <v>0</v>
      </c>
      <c r="K15" s="210">
        <v>0</v>
      </c>
      <c r="L15" s="179">
        <f t="shared" si="0"/>
        <v>0</v>
      </c>
    </row>
    <row r="16" spans="1:12" ht="16.5" customHeight="1">
      <c r="A16" s="287"/>
      <c r="B16" s="55">
        <v>53755</v>
      </c>
      <c r="C16" s="55" t="s">
        <v>94</v>
      </c>
      <c r="D16" s="3">
        <f>'TOTAL DEVELOPMENT COSTS'!D16*0.25</f>
        <v>0</v>
      </c>
      <c r="E16" s="3">
        <f>'TOTAL DEVELOPMENT COSTS'!E16*0.25</f>
        <v>0</v>
      </c>
      <c r="F16" s="3">
        <f>'TOTAL DEVELOPMENT COSTS'!F16*0.25</f>
        <v>0</v>
      </c>
      <c r="G16" s="3">
        <f>'TOTAL DEVELOPMENT COSTS'!G16*0.25</f>
        <v>750000</v>
      </c>
      <c r="H16" s="3">
        <f>'TOTAL DEVELOPMENT COSTS'!H16*0.25</f>
        <v>1000000</v>
      </c>
      <c r="I16" s="3">
        <f>'TOTAL DEVELOPMENT COSTS'!I16*0.25</f>
        <v>925000</v>
      </c>
      <c r="J16" s="3">
        <f>'TOTAL DEVELOPMENT COSTS'!J16*0.25</f>
        <v>0</v>
      </c>
      <c r="K16" s="3">
        <f>'TOTAL DEVELOPMENT COSTS'!K16*0.25</f>
        <v>0</v>
      </c>
      <c r="L16" s="179">
        <f t="shared" si="0"/>
        <v>2675000</v>
      </c>
    </row>
    <row r="17" spans="1:12" ht="16.5" customHeight="1">
      <c r="A17" s="287"/>
      <c r="B17" s="55">
        <v>53760</v>
      </c>
      <c r="C17" s="55" t="s">
        <v>95</v>
      </c>
      <c r="D17" s="3">
        <f>'TOTAL DEVELOPMENT COSTS'!D17*0.25</f>
        <v>0</v>
      </c>
      <c r="E17" s="3">
        <f>'TOTAL DEVELOPMENT COSTS'!E17*0.25</f>
        <v>0</v>
      </c>
      <c r="F17" s="3">
        <f>'TOTAL DEVELOPMENT COSTS'!F17*0.25</f>
        <v>0</v>
      </c>
      <c r="G17" s="3">
        <f>'TOTAL DEVELOPMENT COSTS'!G17*0.25</f>
        <v>0</v>
      </c>
      <c r="H17" s="3">
        <v>0</v>
      </c>
      <c r="I17" s="3">
        <v>0</v>
      </c>
      <c r="J17" s="3">
        <v>0</v>
      </c>
      <c r="K17" s="3">
        <v>0</v>
      </c>
      <c r="L17" s="180">
        <f t="shared" si="0"/>
        <v>0</v>
      </c>
    </row>
    <row r="18" spans="1:12" ht="16.5" customHeight="1" thickBot="1">
      <c r="A18" s="288"/>
      <c r="B18" s="56" t="s">
        <v>16</v>
      </c>
      <c r="C18" s="56"/>
      <c r="D18" s="57">
        <f>SUM(D12:D17)</f>
        <v>0</v>
      </c>
      <c r="E18" s="57">
        <f t="shared" ref="E18:K18" si="2">SUM(E12:E17)</f>
        <v>0</v>
      </c>
      <c r="F18" s="57">
        <f t="shared" si="2"/>
        <v>125000</v>
      </c>
      <c r="G18" s="57">
        <f t="shared" si="2"/>
        <v>1000000</v>
      </c>
      <c r="H18" s="57">
        <f t="shared" si="2"/>
        <v>1250000</v>
      </c>
      <c r="I18" s="57">
        <f t="shared" si="2"/>
        <v>1175000</v>
      </c>
      <c r="J18" s="57">
        <f t="shared" si="2"/>
        <v>125000</v>
      </c>
      <c r="K18" s="69">
        <f t="shared" si="2"/>
        <v>0</v>
      </c>
      <c r="L18" s="59">
        <f t="shared" si="0"/>
        <v>3675000</v>
      </c>
    </row>
    <row r="19" spans="1:12" ht="16.5" customHeight="1" thickTop="1">
      <c r="A19" s="289" t="s">
        <v>96</v>
      </c>
      <c r="B19" s="55">
        <v>55700</v>
      </c>
      <c r="C19" s="55" t="s">
        <v>97</v>
      </c>
      <c r="D19" s="3">
        <f>'TOTAL DEVELOPMENT COSTS'!D19*0.25</f>
        <v>0</v>
      </c>
      <c r="E19" s="3">
        <f>'TOTAL DEVELOPMENT COSTS'!E19*0.25</f>
        <v>0</v>
      </c>
      <c r="F19" s="3">
        <f>'TOTAL DEVELOPMENT COSTS'!F19*0.25</f>
        <v>200000</v>
      </c>
      <c r="G19" s="3">
        <f>'TOTAL DEVELOPMENT COSTS'!G19*0.25</f>
        <v>250000</v>
      </c>
      <c r="H19" s="3">
        <f>'TOTAL DEVELOPMENT COSTS'!H19*0.25</f>
        <v>250000</v>
      </c>
      <c r="I19" s="3">
        <f>'TOTAL DEVELOPMENT COSTS'!I19*0.25</f>
        <v>0</v>
      </c>
      <c r="J19" s="3">
        <f>'TOTAL DEVELOPMENT COSTS'!J19*0.25</f>
        <v>0</v>
      </c>
      <c r="K19" s="3">
        <f>'TOTAL DEVELOPMENT COSTS'!K19*0.25</f>
        <v>0</v>
      </c>
      <c r="L19" s="181">
        <f t="shared" si="0"/>
        <v>700000</v>
      </c>
    </row>
    <row r="20" spans="1:12" ht="16.5" customHeight="1">
      <c r="A20" s="286"/>
      <c r="B20" s="55">
        <v>55710</v>
      </c>
      <c r="C20" s="55" t="s">
        <v>98</v>
      </c>
      <c r="D20" s="3">
        <f>'TOTAL DEVELOPMENT COSTS'!D20*0.25</f>
        <v>0</v>
      </c>
      <c r="E20" s="3">
        <f>'TOTAL DEVELOPMENT COSTS'!E20*0.25</f>
        <v>0</v>
      </c>
      <c r="F20" s="3">
        <f>'TOTAL DEVELOPMENT COSTS'!F20*0.25</f>
        <v>0</v>
      </c>
      <c r="G20" s="3">
        <f>'TOTAL DEVELOPMENT COSTS'!G20*0.25</f>
        <v>0</v>
      </c>
      <c r="H20" s="3">
        <f>'TOTAL DEVELOPMENT COSTS'!H20*0.25</f>
        <v>0</v>
      </c>
      <c r="I20" s="3">
        <f>'TOTAL DEVELOPMENT COSTS'!I20*0.25</f>
        <v>0</v>
      </c>
      <c r="J20" s="3">
        <f>'TOTAL DEVELOPMENT COSTS'!J20*0.25</f>
        <v>0</v>
      </c>
      <c r="K20" s="3">
        <f>'TOTAL DEVELOPMENT COSTS'!K20*0.25</f>
        <v>0</v>
      </c>
      <c r="L20" s="202"/>
    </row>
    <row r="21" spans="1:12" ht="15.75" customHeight="1">
      <c r="A21" s="286"/>
      <c r="B21" s="55">
        <v>55730</v>
      </c>
      <c r="C21" s="55" t="s">
        <v>99</v>
      </c>
      <c r="D21" s="3">
        <f>'TOTAL DEVELOPMENT COSTS'!D21*0.25</f>
        <v>0</v>
      </c>
      <c r="E21" s="3">
        <f>'TOTAL DEVELOPMENT COSTS'!E21*0.25</f>
        <v>0</v>
      </c>
      <c r="F21" s="3">
        <f>'TOTAL DEVELOPMENT COSTS'!F21*0.25</f>
        <v>0</v>
      </c>
      <c r="G21" s="3">
        <f>'TOTAL DEVELOPMENT COSTS'!G21*0.25</f>
        <v>0</v>
      </c>
      <c r="H21" s="3">
        <f>'TOTAL DEVELOPMENT COSTS'!H21*0.25</f>
        <v>0</v>
      </c>
      <c r="I21" s="3">
        <f>'TOTAL DEVELOPMENT COSTS'!I21*0.25</f>
        <v>0</v>
      </c>
      <c r="J21" s="3">
        <f>'TOTAL DEVELOPMENT COSTS'!J21*0.25</f>
        <v>0</v>
      </c>
      <c r="K21" s="3">
        <f>'TOTAL DEVELOPMENT COSTS'!K21*0.25</f>
        <v>0</v>
      </c>
      <c r="L21" s="180">
        <f t="shared" si="0"/>
        <v>0</v>
      </c>
    </row>
    <row r="22" spans="1:12" ht="16.5" customHeight="1" thickBot="1">
      <c r="A22" s="288"/>
      <c r="B22" s="56" t="s">
        <v>16</v>
      </c>
      <c r="C22" s="56"/>
      <c r="D22" s="57">
        <f>SUM(D19:D21)</f>
        <v>0</v>
      </c>
      <c r="E22" s="57">
        <f t="shared" ref="E22:K22" si="3">SUM(E19:E21)</f>
        <v>0</v>
      </c>
      <c r="F22" s="57">
        <f t="shared" si="3"/>
        <v>200000</v>
      </c>
      <c r="G22" s="57">
        <f t="shared" si="3"/>
        <v>250000</v>
      </c>
      <c r="H22" s="57">
        <f t="shared" ref="H22:J22" si="4">SUM(H19:H21)</f>
        <v>250000</v>
      </c>
      <c r="I22" s="57">
        <f t="shared" si="4"/>
        <v>0</v>
      </c>
      <c r="J22" s="57">
        <f t="shared" si="4"/>
        <v>0</v>
      </c>
      <c r="K22" s="69">
        <f t="shared" si="3"/>
        <v>0</v>
      </c>
      <c r="L22" s="59">
        <f t="shared" si="0"/>
        <v>700000</v>
      </c>
    </row>
    <row r="23" spans="1:12" ht="16.5" customHeight="1" thickTop="1" thickBot="1">
      <c r="A23" s="60" t="s">
        <v>17</v>
      </c>
      <c r="B23" s="61"/>
      <c r="C23" s="70"/>
      <c r="D23" s="29">
        <f t="shared" ref="D23:K23" si="5">D11+D18+D22</f>
        <v>0</v>
      </c>
      <c r="E23" s="29">
        <f t="shared" si="5"/>
        <v>0</v>
      </c>
      <c r="F23" s="29">
        <f t="shared" si="5"/>
        <v>325000</v>
      </c>
      <c r="G23" s="29">
        <f t="shared" si="5"/>
        <v>1250000</v>
      </c>
      <c r="H23" s="29">
        <f t="shared" ref="H23:J23" si="6">H11+H18+H22</f>
        <v>1500000</v>
      </c>
      <c r="I23" s="29">
        <f t="shared" si="6"/>
        <v>1175000</v>
      </c>
      <c r="J23" s="29">
        <f t="shared" si="6"/>
        <v>125000</v>
      </c>
      <c r="K23" s="29">
        <f t="shared" si="5"/>
        <v>0</v>
      </c>
      <c r="L23" s="29">
        <f t="shared" si="0"/>
        <v>4375000</v>
      </c>
    </row>
    <row r="24" spans="1:12" ht="3.95" customHeight="1" thickTop="1">
      <c r="A24" s="20"/>
      <c r="B24" s="20"/>
      <c r="C24" s="20"/>
      <c r="D24" s="71"/>
      <c r="E24" s="71"/>
      <c r="F24" s="71"/>
      <c r="G24" s="71"/>
      <c r="H24" s="71"/>
      <c r="I24" s="71"/>
      <c r="J24" s="71"/>
      <c r="K24" s="71"/>
      <c r="L24" s="71"/>
    </row>
    <row r="28" spans="1:12" ht="30.75" customHeight="1">
      <c r="A28" s="204" t="s">
        <v>113</v>
      </c>
      <c r="B28" s="279" t="s">
        <v>118</v>
      </c>
      <c r="C28" s="279"/>
      <c r="D28" s="279"/>
      <c r="E28" s="279"/>
      <c r="F28" s="279"/>
      <c r="G28" s="279"/>
      <c r="H28" s="279"/>
      <c r="I28" s="279"/>
      <c r="J28" s="279"/>
      <c r="K28" s="279"/>
      <c r="L28" s="279"/>
    </row>
    <row r="29" spans="1:12" ht="27.75" customHeight="1">
      <c r="A29" s="204" t="s">
        <v>114</v>
      </c>
      <c r="B29" s="279" t="s">
        <v>119</v>
      </c>
      <c r="C29" s="279"/>
      <c r="D29" s="279"/>
      <c r="E29" s="279"/>
      <c r="F29" s="279"/>
      <c r="G29" s="279"/>
      <c r="H29" s="279"/>
      <c r="I29" s="279"/>
      <c r="J29" s="279"/>
      <c r="K29" s="279"/>
      <c r="L29" s="279"/>
    </row>
    <row r="30" spans="1:12" ht="28.5" customHeight="1">
      <c r="A30" s="204" t="s">
        <v>115</v>
      </c>
      <c r="B30" s="279" t="s">
        <v>122</v>
      </c>
      <c r="C30" s="279"/>
      <c r="D30" s="279"/>
      <c r="E30" s="279"/>
      <c r="F30" s="279"/>
      <c r="G30" s="279"/>
      <c r="H30" s="279"/>
      <c r="I30" s="279"/>
      <c r="J30" s="279"/>
      <c r="K30" s="279"/>
      <c r="L30" s="279"/>
    </row>
    <row r="31" spans="1:12" ht="28.5" customHeight="1">
      <c r="A31" s="204" t="s">
        <v>116</v>
      </c>
      <c r="B31" s="279" t="s">
        <v>121</v>
      </c>
      <c r="C31" s="279"/>
      <c r="D31" s="279"/>
      <c r="E31" s="279"/>
      <c r="F31" s="279"/>
      <c r="G31" s="279"/>
      <c r="H31" s="279"/>
      <c r="I31" s="279"/>
      <c r="J31" s="279"/>
      <c r="K31" s="279"/>
      <c r="L31" s="279"/>
    </row>
    <row r="32" spans="1:12" ht="20.25" customHeight="1">
      <c r="A32" s="204" t="s">
        <v>117</v>
      </c>
      <c r="B32" s="279" t="s">
        <v>120</v>
      </c>
      <c r="C32" s="279"/>
      <c r="D32" s="279"/>
      <c r="E32" s="279"/>
      <c r="F32" s="279"/>
      <c r="G32" s="279"/>
      <c r="H32" s="279"/>
      <c r="I32" s="279"/>
      <c r="J32" s="279"/>
      <c r="K32" s="279"/>
      <c r="L32" s="279"/>
    </row>
    <row r="33" spans="1:2" ht="12">
      <c r="A33" s="204" t="s">
        <v>145</v>
      </c>
      <c r="B33" s="221" t="s">
        <v>144</v>
      </c>
    </row>
    <row r="34" spans="1:2" ht="12">
      <c r="B34" s="221" t="s">
        <v>147</v>
      </c>
    </row>
    <row r="35" spans="1:2" ht="12">
      <c r="B35" s="221"/>
    </row>
    <row r="36" spans="1:2" ht="15">
      <c r="B36" s="218" t="s">
        <v>143</v>
      </c>
    </row>
  </sheetData>
  <sheetProtection formatCells="0" formatColumns="0" formatRows="0" selectLockedCells="1"/>
  <mergeCells count="15">
    <mergeCell ref="A8:A11"/>
    <mergeCell ref="A12:A18"/>
    <mergeCell ref="A19:A22"/>
    <mergeCell ref="D2:I2"/>
    <mergeCell ref="D3:I3"/>
    <mergeCell ref="D4:I4"/>
    <mergeCell ref="A6:L6"/>
    <mergeCell ref="A2:C2"/>
    <mergeCell ref="A3:C3"/>
    <mergeCell ref="A4:C4"/>
    <mergeCell ref="B28:L28"/>
    <mergeCell ref="B29:L29"/>
    <mergeCell ref="B30:L30"/>
    <mergeCell ref="B31:L31"/>
    <mergeCell ref="B32:L32"/>
  </mergeCells>
  <phoneticPr fontId="0" type="noConversion"/>
  <printOptions horizontalCentered="1"/>
  <pageMargins left="0.75" right="0.75" top="1.26" bottom="0.65" header="0.5" footer="0.45"/>
  <pageSetup scale="76" orientation="landscape" r:id="rId1"/>
  <headerFooter alignWithMargins="0">
    <oddHeader>&amp;L&amp;G&amp;C&amp;"Verdana,Bold"&amp;10State of Connecticut
IT Investment Brief
 CAPITAL DEVELOPMENT COSTS</oddHeader>
    <oddFooter>&amp;L&amp;A&amp;Cv1.0&amp;RPage &amp;P</oddFooter>
  </headerFooter>
  <ignoredErrors>
    <ignoredError sqref="K8:K14 D8:D21 K16 K18:K21 F18:I18 F11:I11 E20:E21 F8 F10 E12 E14 E11 E16 E18 E17 E15 E8:E10 E19 E13 F12:F17 F19:F21 F9 G8:J10 G12:J14 G19:J21 G16:J16 G15 G17" unlockedFormula="1"/>
  </ignoredErrors>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2" customWidth="1"/>
    <col min="2" max="2" width="9.28515625" style="72" customWidth="1"/>
    <col min="3" max="3" width="74.42578125" style="73" customWidth="1"/>
    <col min="4" max="4" width="17.5703125" style="73" customWidth="1"/>
    <col min="5" max="5" width="15.140625" style="73" customWidth="1"/>
    <col min="6" max="16384" width="9.140625" style="73"/>
  </cols>
  <sheetData>
    <row r="1" spans="1:5" ht="12" customHeight="1"/>
    <row r="2" spans="1:5" ht="16.5" customHeight="1">
      <c r="A2" s="327" t="s">
        <v>25</v>
      </c>
      <c r="B2" s="328"/>
      <c r="C2" s="320" t="str">
        <f>IF(ISBLANK('PROJECT ID|INSTRUCTIONS'!C3)," ",'PROJECT ID|INSTRUCTIONS'!C3)</f>
        <v>2013 DOCM1 416</v>
      </c>
      <c r="D2" s="320"/>
      <c r="E2" s="321"/>
    </row>
    <row r="3" spans="1:5" ht="16.5" customHeight="1">
      <c r="A3" s="329" t="s">
        <v>22</v>
      </c>
      <c r="B3" s="330"/>
      <c r="C3" s="322" t="str">
        <f>IF(ISBLANK('PROJECT ID|INSTRUCTIONS'!C4)," ",'PROJECT ID|INSTRUCTIONS'!C4)</f>
        <v>Offender Management Information System (OMIS)</v>
      </c>
      <c r="D3" s="322"/>
      <c r="E3" s="323"/>
    </row>
    <row r="4" spans="1:5" ht="16.5" customHeight="1">
      <c r="A4" s="331" t="s">
        <v>26</v>
      </c>
      <c r="B4" s="332"/>
      <c r="C4" s="324">
        <f>IF(ISBLANK('PROJECT ID|INSTRUCTIONS'!C5)," ",'PROJECT ID|INSTRUCTIONS'!C5)</f>
        <v>41298</v>
      </c>
      <c r="D4" s="324"/>
      <c r="E4" s="325"/>
    </row>
    <row r="5" spans="1:5" ht="12" customHeight="1"/>
    <row r="6" spans="1:5" ht="15.75">
      <c r="A6" s="308" t="s">
        <v>71</v>
      </c>
      <c r="B6" s="309"/>
      <c r="C6" s="309"/>
      <c r="D6" s="309"/>
      <c r="E6" s="310"/>
    </row>
    <row r="7" spans="1:5" ht="15.75" customHeight="1">
      <c r="A7" s="192" t="s">
        <v>44</v>
      </c>
      <c r="B7" s="185" t="s">
        <v>49</v>
      </c>
      <c r="C7" s="186" t="s">
        <v>83</v>
      </c>
      <c r="D7" s="186" t="s">
        <v>51</v>
      </c>
      <c r="E7" s="187" t="s">
        <v>43</v>
      </c>
    </row>
    <row r="8" spans="1:5" ht="3.75" customHeight="1">
      <c r="A8" s="190"/>
      <c r="B8" s="190"/>
      <c r="C8" s="191"/>
      <c r="D8" s="191"/>
      <c r="E8" s="191"/>
    </row>
    <row r="9" spans="1:5" ht="15">
      <c r="A9" s="311" t="str">
        <f>CONCATENATE("FY ",Settings!$C$1-1)</f>
        <v>FY 2012</v>
      </c>
      <c r="B9" s="312"/>
      <c r="C9" s="312"/>
      <c r="D9" s="312"/>
      <c r="E9" s="313"/>
    </row>
    <row r="10" spans="1:5">
      <c r="A10" s="127">
        <v>2011</v>
      </c>
      <c r="B10" s="128">
        <v>1</v>
      </c>
      <c r="C10" s="171"/>
      <c r="D10" s="129"/>
      <c r="E10" s="130" t="s">
        <v>57</v>
      </c>
    </row>
    <row r="11" spans="1:5">
      <c r="A11" s="131">
        <v>2011</v>
      </c>
      <c r="B11" s="132">
        <v>2</v>
      </c>
      <c r="C11" s="172"/>
      <c r="D11" s="134"/>
      <c r="E11" s="135" t="s">
        <v>57</v>
      </c>
    </row>
    <row r="12" spans="1:5">
      <c r="A12" s="131">
        <v>2011</v>
      </c>
      <c r="B12" s="132">
        <v>3</v>
      </c>
      <c r="C12" s="173"/>
      <c r="D12" s="134"/>
      <c r="E12" s="135" t="s">
        <v>57</v>
      </c>
    </row>
    <row r="13" spans="1:5">
      <c r="A13" s="131">
        <v>2011</v>
      </c>
      <c r="B13" s="132">
        <v>4</v>
      </c>
      <c r="C13" s="173"/>
      <c r="D13" s="134"/>
      <c r="E13" s="135" t="s">
        <v>57</v>
      </c>
    </row>
    <row r="14" spans="1:5">
      <c r="A14" s="131">
        <v>2011</v>
      </c>
      <c r="B14" s="132">
        <v>5</v>
      </c>
      <c r="C14" s="173"/>
      <c r="D14" s="134"/>
      <c r="E14" s="135" t="s">
        <v>57</v>
      </c>
    </row>
    <row r="15" spans="1:5">
      <c r="A15" s="131">
        <v>2011</v>
      </c>
      <c r="B15" s="132">
        <v>6</v>
      </c>
      <c r="C15" s="173"/>
      <c r="D15" s="134"/>
      <c r="E15" s="135" t="s">
        <v>57</v>
      </c>
    </row>
    <row r="16" spans="1:5">
      <c r="A16" s="131">
        <v>2011</v>
      </c>
      <c r="B16" s="132">
        <v>7</v>
      </c>
      <c r="C16" s="173"/>
      <c r="D16" s="134"/>
      <c r="E16" s="135" t="s">
        <v>57</v>
      </c>
    </row>
    <row r="17" spans="1:5">
      <c r="A17" s="131">
        <v>2011</v>
      </c>
      <c r="B17" s="132">
        <v>8</v>
      </c>
      <c r="C17" s="173"/>
      <c r="D17" s="134"/>
      <c r="E17" s="135" t="s">
        <v>57</v>
      </c>
    </row>
    <row r="18" spans="1:5">
      <c r="A18" s="131">
        <v>2011</v>
      </c>
      <c r="B18" s="132">
        <v>9</v>
      </c>
      <c r="C18" s="173"/>
      <c r="D18" s="134"/>
      <c r="E18" s="135" t="s">
        <v>57</v>
      </c>
    </row>
    <row r="19" spans="1:5">
      <c r="A19" s="137">
        <v>2011</v>
      </c>
      <c r="B19" s="138">
        <v>10</v>
      </c>
      <c r="C19" s="174"/>
      <c r="D19" s="139"/>
      <c r="E19" s="140" t="s">
        <v>57</v>
      </c>
    </row>
    <row r="20" spans="1:5" ht="15">
      <c r="A20" s="314" t="str">
        <f>CONCATENATE("FY ",Settings!$C$1)</f>
        <v>FY 2013</v>
      </c>
      <c r="B20" s="315"/>
      <c r="C20" s="315"/>
      <c r="D20" s="315"/>
      <c r="E20" s="316"/>
    </row>
    <row r="21" spans="1:5">
      <c r="A21" s="127">
        <v>2012</v>
      </c>
      <c r="B21" s="128">
        <v>1</v>
      </c>
      <c r="C21" s="141"/>
      <c r="D21" s="165"/>
      <c r="E21" s="142" t="s">
        <v>76</v>
      </c>
    </row>
    <row r="22" spans="1:5">
      <c r="A22" s="131">
        <v>2012</v>
      </c>
      <c r="B22" s="132">
        <v>2</v>
      </c>
      <c r="C22" s="133"/>
      <c r="D22" s="166"/>
      <c r="E22" s="143" t="s">
        <v>76</v>
      </c>
    </row>
    <row r="23" spans="1:5">
      <c r="A23" s="131">
        <v>2012</v>
      </c>
      <c r="B23" s="132">
        <v>3</v>
      </c>
      <c r="C23" s="136"/>
      <c r="D23" s="166"/>
      <c r="E23" s="143" t="s">
        <v>76</v>
      </c>
    </row>
    <row r="24" spans="1:5">
      <c r="A24" s="131">
        <v>2012</v>
      </c>
      <c r="B24" s="132">
        <v>4</v>
      </c>
      <c r="C24" s="144"/>
      <c r="D24" s="166"/>
      <c r="E24" s="143" t="s">
        <v>76</v>
      </c>
    </row>
    <row r="25" spans="1:5">
      <c r="A25" s="131">
        <v>2012</v>
      </c>
      <c r="B25" s="132">
        <v>5</v>
      </c>
      <c r="C25" s="136"/>
      <c r="D25" s="166"/>
      <c r="E25" s="143" t="s">
        <v>76</v>
      </c>
    </row>
    <row r="26" spans="1:5">
      <c r="A26" s="131">
        <v>2012</v>
      </c>
      <c r="B26" s="132">
        <v>6</v>
      </c>
      <c r="C26" s="136"/>
      <c r="D26" s="166"/>
      <c r="E26" s="143" t="s">
        <v>76</v>
      </c>
    </row>
    <row r="27" spans="1:5">
      <c r="A27" s="131">
        <v>2012</v>
      </c>
      <c r="B27" s="132">
        <v>7</v>
      </c>
      <c r="C27" s="136"/>
      <c r="D27" s="166"/>
      <c r="E27" s="143" t="s">
        <v>76</v>
      </c>
    </row>
    <row r="28" spans="1:5">
      <c r="A28" s="131">
        <v>2012</v>
      </c>
      <c r="B28" s="132">
        <v>8</v>
      </c>
      <c r="C28" s="136"/>
      <c r="D28" s="166"/>
      <c r="E28" s="143" t="s">
        <v>76</v>
      </c>
    </row>
    <row r="29" spans="1:5">
      <c r="A29" s="131">
        <v>2012</v>
      </c>
      <c r="B29" s="132">
        <v>9</v>
      </c>
      <c r="C29" s="136"/>
      <c r="D29" s="166"/>
      <c r="E29" s="143" t="s">
        <v>76</v>
      </c>
    </row>
    <row r="30" spans="1:5">
      <c r="A30" s="131">
        <v>2012</v>
      </c>
      <c r="B30" s="132">
        <v>10</v>
      </c>
      <c r="C30" s="136"/>
      <c r="D30" s="166"/>
      <c r="E30" s="143" t="s">
        <v>76</v>
      </c>
    </row>
    <row r="31" spans="1:5">
      <c r="A31" s="131">
        <v>2012</v>
      </c>
      <c r="B31" s="132">
        <v>11</v>
      </c>
      <c r="C31" s="144"/>
      <c r="D31" s="166"/>
      <c r="E31" s="143" t="s">
        <v>76</v>
      </c>
    </row>
    <row r="32" spans="1:5">
      <c r="A32" s="131">
        <v>2012</v>
      </c>
      <c r="B32" s="132">
        <v>12</v>
      </c>
      <c r="C32" s="144"/>
      <c r="D32" s="166"/>
      <c r="E32" s="143" t="s">
        <v>76</v>
      </c>
    </row>
    <row r="33" spans="1:5">
      <c r="A33" s="131">
        <v>2012</v>
      </c>
      <c r="B33" s="132">
        <v>13</v>
      </c>
      <c r="C33" s="144"/>
      <c r="D33" s="166"/>
      <c r="E33" s="143" t="s">
        <v>76</v>
      </c>
    </row>
    <row r="34" spans="1:5">
      <c r="A34" s="131">
        <v>2012</v>
      </c>
      <c r="B34" s="132">
        <v>14</v>
      </c>
      <c r="C34" s="144"/>
      <c r="D34" s="166"/>
      <c r="E34" s="143" t="s">
        <v>76</v>
      </c>
    </row>
    <row r="35" spans="1:5" ht="13.5" thickBot="1">
      <c r="A35" s="145">
        <v>2012</v>
      </c>
      <c r="B35" s="146">
        <v>15</v>
      </c>
      <c r="C35" s="147"/>
      <c r="D35" s="167"/>
      <c r="E35" s="148" t="s">
        <v>76</v>
      </c>
    </row>
    <row r="36" spans="1:5" ht="14.25" thickTop="1" thickBot="1">
      <c r="A36" s="326" t="s">
        <v>39</v>
      </c>
      <c r="B36" s="326"/>
      <c r="C36" s="326"/>
      <c r="D36" s="188">
        <f>SUM(D21:D35)</f>
        <v>0</v>
      </c>
      <c r="E36" s="74"/>
    </row>
    <row r="37" spans="1:5" ht="15.75" customHeight="1" thickTop="1">
      <c r="A37" s="307" t="str">
        <f>CONCATENATE("FY ",Settings!$C$1+1, "+")</f>
        <v>FY 2014+</v>
      </c>
      <c r="B37" s="307"/>
      <c r="C37" s="307"/>
      <c r="D37" s="307"/>
      <c r="E37" s="307"/>
    </row>
    <row r="38" spans="1:5">
      <c r="A38" s="149">
        <v>2013</v>
      </c>
      <c r="B38" s="150">
        <v>1</v>
      </c>
      <c r="C38" s="151"/>
      <c r="D38" s="168"/>
      <c r="E38" s="142" t="s">
        <v>76</v>
      </c>
    </row>
    <row r="39" spans="1:5">
      <c r="A39" s="152">
        <v>2013</v>
      </c>
      <c r="B39" s="153">
        <v>2</v>
      </c>
      <c r="C39" s="144"/>
      <c r="D39" s="169"/>
      <c r="E39" s="143" t="s">
        <v>76</v>
      </c>
    </row>
    <row r="40" spans="1:5">
      <c r="A40" s="152">
        <v>2013</v>
      </c>
      <c r="B40" s="153">
        <v>3</v>
      </c>
      <c r="C40" s="136"/>
      <c r="D40" s="169"/>
      <c r="E40" s="143" t="s">
        <v>76</v>
      </c>
    </row>
    <row r="41" spans="1:5">
      <c r="A41" s="152">
        <v>2013</v>
      </c>
      <c r="B41" s="153">
        <v>4</v>
      </c>
      <c r="C41" s="144"/>
      <c r="D41" s="169"/>
      <c r="E41" s="143" t="s">
        <v>76</v>
      </c>
    </row>
    <row r="42" spans="1:5">
      <c r="A42" s="152">
        <v>2013</v>
      </c>
      <c r="B42" s="153">
        <v>5</v>
      </c>
      <c r="C42" s="133"/>
      <c r="D42" s="169"/>
      <c r="E42" s="143" t="s">
        <v>76</v>
      </c>
    </row>
    <row r="43" spans="1:5">
      <c r="A43" s="152">
        <v>2013</v>
      </c>
      <c r="B43" s="153">
        <v>6</v>
      </c>
      <c r="C43" s="136"/>
      <c r="D43" s="169"/>
      <c r="E43" s="143" t="s">
        <v>76</v>
      </c>
    </row>
    <row r="44" spans="1:5">
      <c r="A44" s="152">
        <v>2013</v>
      </c>
      <c r="B44" s="153">
        <v>7</v>
      </c>
      <c r="C44" s="154"/>
      <c r="D44" s="169"/>
      <c r="E44" s="143" t="s">
        <v>76</v>
      </c>
    </row>
    <row r="45" spans="1:5">
      <c r="A45" s="152">
        <v>2014</v>
      </c>
      <c r="B45" s="153">
        <v>1</v>
      </c>
      <c r="C45" s="154"/>
      <c r="D45" s="169"/>
      <c r="E45" s="143" t="s">
        <v>76</v>
      </c>
    </row>
    <row r="46" spans="1:5">
      <c r="A46" s="152">
        <v>2014</v>
      </c>
      <c r="B46" s="153">
        <v>2</v>
      </c>
      <c r="C46" s="154"/>
      <c r="D46" s="169"/>
      <c r="E46" s="143" t="s">
        <v>76</v>
      </c>
    </row>
    <row r="47" spans="1:5">
      <c r="A47" s="152">
        <v>2014</v>
      </c>
      <c r="B47" s="153">
        <v>3</v>
      </c>
      <c r="C47" s="154"/>
      <c r="D47" s="169"/>
      <c r="E47" s="143" t="s">
        <v>76</v>
      </c>
    </row>
    <row r="48" spans="1:5">
      <c r="A48" s="152">
        <v>2014</v>
      </c>
      <c r="B48" s="153">
        <v>4</v>
      </c>
      <c r="C48" s="154"/>
      <c r="D48" s="169"/>
      <c r="E48" s="143" t="s">
        <v>76</v>
      </c>
    </row>
    <row r="49" spans="1:5">
      <c r="A49" s="152">
        <v>2014</v>
      </c>
      <c r="B49" s="153">
        <v>5</v>
      </c>
      <c r="C49" s="154"/>
      <c r="D49" s="169"/>
      <c r="E49" s="143" t="s">
        <v>76</v>
      </c>
    </row>
    <row r="50" spans="1:5">
      <c r="A50" s="152">
        <v>2014</v>
      </c>
      <c r="B50" s="153">
        <v>6</v>
      </c>
      <c r="C50" s="154"/>
      <c r="D50" s="169"/>
      <c r="E50" s="143" t="s">
        <v>76</v>
      </c>
    </row>
    <row r="51" spans="1:5">
      <c r="A51" s="152">
        <v>2014</v>
      </c>
      <c r="B51" s="153">
        <v>7</v>
      </c>
      <c r="C51" s="154"/>
      <c r="D51" s="169"/>
      <c r="E51" s="143" t="s">
        <v>76</v>
      </c>
    </row>
    <row r="52" spans="1:5">
      <c r="A52" s="152">
        <v>2015</v>
      </c>
      <c r="B52" s="153">
        <v>1</v>
      </c>
      <c r="C52" s="154"/>
      <c r="D52" s="169"/>
      <c r="E52" s="143" t="s">
        <v>76</v>
      </c>
    </row>
    <row r="53" spans="1:5">
      <c r="A53" s="152">
        <v>2015</v>
      </c>
      <c r="B53" s="153">
        <v>2</v>
      </c>
      <c r="C53" s="154"/>
      <c r="D53" s="169"/>
      <c r="E53" s="143" t="s">
        <v>76</v>
      </c>
    </row>
    <row r="54" spans="1:5">
      <c r="A54" s="152">
        <v>2015</v>
      </c>
      <c r="B54" s="153">
        <v>3</v>
      </c>
      <c r="C54" s="154"/>
      <c r="D54" s="169"/>
      <c r="E54" s="143" t="s">
        <v>76</v>
      </c>
    </row>
    <row r="55" spans="1:5">
      <c r="A55" s="152">
        <v>2015</v>
      </c>
      <c r="B55" s="153">
        <v>4</v>
      </c>
      <c r="C55" s="154"/>
      <c r="D55" s="169"/>
      <c r="E55" s="143" t="s">
        <v>76</v>
      </c>
    </row>
    <row r="56" spans="1:5">
      <c r="A56" s="152">
        <v>2015</v>
      </c>
      <c r="B56" s="153">
        <v>5</v>
      </c>
      <c r="C56" s="154"/>
      <c r="D56" s="169"/>
      <c r="E56" s="143" t="s">
        <v>76</v>
      </c>
    </row>
    <row r="57" spans="1:5">
      <c r="A57" s="152">
        <v>2015</v>
      </c>
      <c r="B57" s="153">
        <v>6</v>
      </c>
      <c r="C57" s="154"/>
      <c r="D57" s="169"/>
      <c r="E57" s="143" t="s">
        <v>76</v>
      </c>
    </row>
    <row r="58" spans="1:5">
      <c r="A58" s="152">
        <v>2015</v>
      </c>
      <c r="B58" s="153">
        <v>7</v>
      </c>
      <c r="C58" s="154"/>
      <c r="D58" s="169"/>
      <c r="E58" s="143" t="s">
        <v>76</v>
      </c>
    </row>
    <row r="59" spans="1:5">
      <c r="A59" s="152">
        <v>2016</v>
      </c>
      <c r="B59" s="153">
        <v>1</v>
      </c>
      <c r="C59" s="154"/>
      <c r="D59" s="169"/>
      <c r="E59" s="143" t="s">
        <v>76</v>
      </c>
    </row>
    <row r="60" spans="1:5">
      <c r="A60" s="152">
        <v>2016</v>
      </c>
      <c r="B60" s="153">
        <v>2</v>
      </c>
      <c r="C60" s="154"/>
      <c r="D60" s="169"/>
      <c r="E60" s="143" t="s">
        <v>76</v>
      </c>
    </row>
    <row r="61" spans="1:5">
      <c r="A61" s="152">
        <v>2016</v>
      </c>
      <c r="B61" s="153">
        <v>3</v>
      </c>
      <c r="C61" s="154"/>
      <c r="D61" s="169"/>
      <c r="E61" s="143" t="s">
        <v>76</v>
      </c>
    </row>
    <row r="62" spans="1:5">
      <c r="A62" s="152">
        <v>2016</v>
      </c>
      <c r="B62" s="153">
        <v>4</v>
      </c>
      <c r="C62" s="154"/>
      <c r="D62" s="169"/>
      <c r="E62" s="143" t="s">
        <v>76</v>
      </c>
    </row>
    <row r="63" spans="1:5">
      <c r="A63" s="152">
        <v>2016</v>
      </c>
      <c r="B63" s="153">
        <v>5</v>
      </c>
      <c r="C63" s="154"/>
      <c r="D63" s="169"/>
      <c r="E63" s="143" t="s">
        <v>76</v>
      </c>
    </row>
    <row r="64" spans="1:5">
      <c r="A64" s="152">
        <v>2016</v>
      </c>
      <c r="B64" s="153">
        <v>6</v>
      </c>
      <c r="C64" s="154"/>
      <c r="D64" s="169"/>
      <c r="E64" s="143" t="s">
        <v>76</v>
      </c>
    </row>
    <row r="65" spans="1:5" ht="13.5" thickBot="1">
      <c r="A65" s="155">
        <v>2016</v>
      </c>
      <c r="B65" s="156">
        <v>7</v>
      </c>
      <c r="C65" s="157"/>
      <c r="D65" s="170"/>
      <c r="E65" s="148" t="s">
        <v>76</v>
      </c>
    </row>
    <row r="66" spans="1:5" ht="16.5" customHeight="1" thickTop="1" thickBot="1">
      <c r="A66" s="317" t="s">
        <v>39</v>
      </c>
      <c r="B66" s="318"/>
      <c r="C66" s="319"/>
      <c r="D66" s="188">
        <f>SUM(D38:D65)</f>
        <v>0</v>
      </c>
      <c r="E66" s="74"/>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43"/>
  <sheetViews>
    <sheetView showGridLines="0" topLeftCell="A4" zoomScaleNormal="100" workbookViewId="0">
      <selection activeCell="C45" sqref="C45"/>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2" customFormat="1" ht="16.5" customHeight="1">
      <c r="A2" s="263" t="s">
        <v>25</v>
      </c>
      <c r="B2" s="333"/>
      <c r="C2" s="264"/>
      <c r="D2" s="269" t="str">
        <f>IF(ISBLANK('PROJECT ID|INSTRUCTIONS'!C3)," ",'PROJECT ID|INSTRUCTIONS'!C3)</f>
        <v>2013 DOCM1 416</v>
      </c>
      <c r="E2" s="270"/>
      <c r="F2" s="270"/>
      <c r="G2" s="270"/>
      <c r="H2" s="270"/>
      <c r="I2" s="270"/>
      <c r="J2" s="270"/>
      <c r="K2" s="271"/>
    </row>
    <row r="3" spans="1:15" s="62" customFormat="1" ht="16.5" customHeight="1">
      <c r="A3" s="265" t="s">
        <v>22</v>
      </c>
      <c r="B3" s="294"/>
      <c r="C3" s="266"/>
      <c r="D3" s="272" t="str">
        <f>IF(ISBLANK('PROJECT ID|INSTRUCTIONS'!C4)," ",'PROJECT ID|INSTRUCTIONS'!C4)</f>
        <v>Offender Management Information System (OMIS)</v>
      </c>
      <c r="E3" s="273"/>
      <c r="F3" s="273"/>
      <c r="G3" s="273"/>
      <c r="H3" s="273"/>
      <c r="I3" s="273"/>
      <c r="J3" s="273"/>
      <c r="K3" s="274"/>
    </row>
    <row r="4" spans="1:15" s="62" customFormat="1" ht="16.5" customHeight="1">
      <c r="A4" s="267" t="s">
        <v>26</v>
      </c>
      <c r="B4" s="334"/>
      <c r="C4" s="268"/>
      <c r="D4" s="275">
        <f>IF(ISBLANK('PROJECT ID|INSTRUCTIONS'!C5)," ",'PROJECT ID|INSTRUCTIONS'!C5)</f>
        <v>41298</v>
      </c>
      <c r="E4" s="276"/>
      <c r="F4" s="276"/>
      <c r="G4" s="276"/>
      <c r="H4" s="276"/>
      <c r="I4" s="276"/>
      <c r="J4" s="276"/>
      <c r="K4" s="277"/>
    </row>
    <row r="5" spans="1:15" s="48" customFormat="1" ht="12" customHeight="1"/>
    <row r="6" spans="1:15" ht="16.5" customHeight="1">
      <c r="A6" s="338" t="s">
        <v>52</v>
      </c>
      <c r="B6" s="338"/>
      <c r="C6" s="338"/>
      <c r="D6" s="338"/>
      <c r="E6" s="338"/>
      <c r="F6" s="92">
        <v>2015</v>
      </c>
      <c r="G6" s="48"/>
      <c r="H6" s="75"/>
      <c r="I6" s="48"/>
      <c r="J6" s="48"/>
      <c r="K6" s="48"/>
    </row>
    <row r="7" spans="1:15" ht="16.5" customHeight="1">
      <c r="A7" s="338" t="s">
        <v>53</v>
      </c>
      <c r="B7" s="338"/>
      <c r="C7" s="338"/>
      <c r="D7" s="338"/>
      <c r="E7" s="338"/>
      <c r="F7" s="93">
        <v>2016</v>
      </c>
      <c r="G7" s="48"/>
      <c r="H7" s="48"/>
      <c r="I7" s="48"/>
      <c r="J7" s="48"/>
      <c r="K7" s="48"/>
    </row>
    <row r="8" spans="1:15" ht="12" customHeight="1">
      <c r="A8" s="48"/>
      <c r="B8" s="48"/>
      <c r="C8" s="48"/>
      <c r="D8" s="48"/>
      <c r="E8" s="48"/>
      <c r="F8" s="48"/>
      <c r="G8" s="48"/>
      <c r="H8" s="48"/>
      <c r="I8" s="48"/>
      <c r="J8" s="48"/>
      <c r="K8" s="48"/>
    </row>
    <row r="9" spans="1:15" ht="31.5" customHeight="1">
      <c r="A9" s="304" t="s">
        <v>28</v>
      </c>
      <c r="B9" s="305"/>
      <c r="C9" s="305"/>
      <c r="D9" s="305"/>
      <c r="E9" s="305"/>
      <c r="F9" s="305"/>
      <c r="G9" s="305"/>
      <c r="H9" s="305"/>
      <c r="I9" s="305"/>
      <c r="J9" s="305"/>
      <c r="K9" s="306"/>
      <c r="M9" s="335" t="s">
        <v>70</v>
      </c>
      <c r="N9" s="336"/>
      <c r="O9" s="337"/>
    </row>
    <row r="10" spans="1:15" ht="12.75">
      <c r="A10" s="76"/>
      <c r="B10" s="77"/>
      <c r="C10" s="78"/>
      <c r="D10" s="79" t="s">
        <v>18</v>
      </c>
      <c r="E10" s="79" t="s">
        <v>19</v>
      </c>
      <c r="F10" s="80" t="str">
        <f>IF(OR(ISBLANK($F$7),ISBLANK($F$6)),"(c)",IF($F$7-$F$6&gt;1,"(c)",""))</f>
        <v/>
      </c>
      <c r="G10" s="80" t="str">
        <f>IF(OR(ISBLANK($F$7),ISBLANK($F$6)),"(d)",IF($F$7-$F$6&gt;2,"(d)",""))</f>
        <v/>
      </c>
      <c r="H10" s="80" t="str">
        <f>IF(OR(ISBLANK($F$7),ISBLANK($F$6)),"(e)",IF($F$7-$F$6&gt;3,"(e)",""))</f>
        <v/>
      </c>
      <c r="I10" s="80" t="str">
        <f>IF(OR(ISBLANK($F$7),ISBLANK($F$6)),"(f)",IF($F$7-$F$6&gt;4,"(f)",""))</f>
        <v/>
      </c>
      <c r="J10" s="80" t="str">
        <f>IF(OR(ISBLANK($F$7),ISBLANK($F$6)),"(g)",IF($F$7-$F$6&gt;5,"(g)",""))</f>
        <v/>
      </c>
      <c r="K10" s="81" t="str">
        <f>IF(OR(ISBLANK($F$7),ISBLANK($F$6)),"(h)",IF($F$7-$F$6&gt;5,"(h)",IF($F$7-$F$6&lt;1,"(c)",CHOOSE($F$7-$F$6,"(c)","(d)","(e)","(f)","(g)"))))</f>
        <v>(c)</v>
      </c>
      <c r="M10" s="82" t="s">
        <v>63</v>
      </c>
      <c r="N10" s="79" t="s">
        <v>64</v>
      </c>
      <c r="O10" s="83" t="s">
        <v>65</v>
      </c>
    </row>
    <row r="11" spans="1:15" ht="37.5" customHeight="1">
      <c r="A11" s="84"/>
      <c r="B11" s="85" t="s">
        <v>14</v>
      </c>
      <c r="C11" s="85" t="s">
        <v>15</v>
      </c>
      <c r="D11" s="86" t="s">
        <v>58</v>
      </c>
      <c r="E11" s="86" t="str">
        <f>CONCATENATE("Transition FY"&amp;IF(ISBLANK($F$6),1,RIGHT($F$6,2))&amp;" Support Costs")</f>
        <v>Transition FY15 Support Costs</v>
      </c>
      <c r="F11" s="86" t="str">
        <f>IF(ISBLANK($F$7),CONCATENATE("Transition FY"&amp;IF(ISBLANK($F$6),2,RIGHT($F$6,2)+1)&amp;" Support Costs"),IF(ISBLANK($F$6),"Transition FY2 Support Costs",IF($F$7-$F$6&gt;1,CONCATENATE("Transition FY"&amp;RIGHT($F$6,2)+1&amp;" Support Costs"),"")))</f>
        <v/>
      </c>
      <c r="G11" s="86" t="str">
        <f>IF(ISBLANK($F$7),CONCATENATE("Transition FY"&amp;IF(ISBLANK($F$6),3,RIGHT($F$6,2)+2)&amp;" Support Costs"),IF(ISBLANK($F$6),"Transition FY3 Support Costs",IF($F$7-$F$6&gt;2,CONCATENATE("Transition FY"&amp;RIGHT($F$6,2)+2&amp;" Support Costs"),"")))</f>
        <v/>
      </c>
      <c r="H11" s="86" t="str">
        <f>IF(ISBLANK($F$7),CONCATENATE("Transition FY"&amp;IF(ISBLANK($F$6),4,RIGHT($F$6,2)+3)&amp;" Support Costs"),IF(ISBLANK($F$6),"Transition FY4 Support Costs",IF($F$7-$F$6&gt;3,CONCATENATE("Transition FY"&amp;RIGHT($F$6,2)+3&amp;" Support Costs"),"")))</f>
        <v/>
      </c>
      <c r="I11" s="86" t="str">
        <f>IF(ISBLANK($F$7),CONCATENATE("Transition FY"&amp;IF(ISBLANK($F$6),5,RIGHT($F$6,2)+4)&amp;" Support Costs"),IF(ISBLANK($F$6),"Transition FY5 Support Costs",IF($F$7-$F$6&gt;4,CONCATENATE("Transition FY"&amp;RIGHT($F$6,2)+4&amp;" Support Costs"),"")))</f>
        <v/>
      </c>
      <c r="J11" s="86" t="str">
        <f>IF(ISBLANK($F$7),CONCATENATE("Transition FY"&amp;IF(ISBLANK($F$6),6,RIGHT($F$6,2)+5)&amp;" Support Costs"),IF(ISBLANK($F$6),"Transition FY6 Support Costs",IF($F$7-$F$6&gt;5,CONCATENATE("Transition FY"&amp;RIGHT($F$6,2)+5&amp;" Support Costs"),"")))</f>
        <v/>
      </c>
      <c r="K11" s="87" t="str">
        <f>CONCATENATE("Steady State "&amp;IF(ISBLANK($F$7),"","FY" &amp; RIGHT($F$7,2))&amp;" Support Costs")</f>
        <v>Steady State FY16 Support Costs</v>
      </c>
      <c r="L11" s="88"/>
      <c r="M11" s="89" t="s">
        <v>61</v>
      </c>
      <c r="N11" s="80" t="s">
        <v>72</v>
      </c>
      <c r="O11" s="81" t="s">
        <v>62</v>
      </c>
    </row>
    <row r="12" spans="1:15" ht="16.5" customHeight="1">
      <c r="A12" s="286" t="s">
        <v>86</v>
      </c>
      <c r="B12" s="55">
        <v>50110</v>
      </c>
      <c r="C12" s="55" t="s">
        <v>87</v>
      </c>
      <c r="D12" s="3"/>
      <c r="E12" s="3"/>
      <c r="F12" s="3"/>
      <c r="G12" s="3"/>
      <c r="H12" s="3"/>
      <c r="I12" s="3"/>
      <c r="J12" s="3"/>
      <c r="K12" s="42"/>
      <c r="L12" s="90"/>
      <c r="M12" s="43"/>
      <c r="N12" s="39"/>
      <c r="O12" s="175">
        <f>M12*N12</f>
        <v>0</v>
      </c>
    </row>
    <row r="13" spans="1:15" ht="16.5" customHeight="1">
      <c r="A13" s="287"/>
      <c r="B13" s="55">
        <v>50130</v>
      </c>
      <c r="C13" s="55" t="s">
        <v>88</v>
      </c>
      <c r="D13" s="1"/>
      <c r="E13" s="1"/>
      <c r="F13" s="1"/>
      <c r="G13" s="1"/>
      <c r="H13" s="1"/>
      <c r="I13" s="1"/>
      <c r="J13" s="1"/>
      <c r="K13" s="40"/>
      <c r="M13" s="44"/>
      <c r="N13" s="37"/>
      <c r="O13" s="175">
        <f>M13*N13</f>
        <v>0</v>
      </c>
    </row>
    <row r="14" spans="1:15" ht="16.5" customHeight="1">
      <c r="A14" s="287"/>
      <c r="B14" s="55">
        <v>50170</v>
      </c>
      <c r="C14" s="55" t="s">
        <v>89</v>
      </c>
      <c r="D14" s="2"/>
      <c r="E14" s="2"/>
      <c r="F14" s="2"/>
      <c r="G14" s="2"/>
      <c r="H14" s="2"/>
      <c r="I14" s="2"/>
      <c r="J14" s="2"/>
      <c r="K14" s="41"/>
      <c r="M14" s="45"/>
      <c r="N14" s="38"/>
      <c r="O14" s="175">
        <f>M14*N14</f>
        <v>0</v>
      </c>
    </row>
    <row r="15" spans="1:15" ht="16.5" customHeight="1" thickBot="1">
      <c r="A15" s="288"/>
      <c r="B15" s="56" t="s">
        <v>16</v>
      </c>
      <c r="C15" s="56"/>
      <c r="D15" s="57">
        <f t="shared" ref="D15:K15" si="0">SUM(D12:D14)</f>
        <v>0</v>
      </c>
      <c r="E15" s="57">
        <f t="shared" si="0"/>
        <v>0</v>
      </c>
      <c r="F15" s="57">
        <f t="shared" si="0"/>
        <v>0</v>
      </c>
      <c r="G15" s="57">
        <f t="shared" si="0"/>
        <v>0</v>
      </c>
      <c r="H15" s="57">
        <f t="shared" si="0"/>
        <v>0</v>
      </c>
      <c r="I15" s="57">
        <f t="shared" si="0"/>
        <v>0</v>
      </c>
      <c r="J15" s="57">
        <f t="shared" si="0"/>
        <v>0</v>
      </c>
      <c r="K15" s="58">
        <f t="shared" si="0"/>
        <v>0</v>
      </c>
      <c r="M15" s="91">
        <f>SUM(M12:M14)</f>
        <v>0</v>
      </c>
      <c r="N15" s="177" t="s">
        <v>60</v>
      </c>
      <c r="O15" s="58">
        <f>SUM(O12:O14)</f>
        <v>0</v>
      </c>
    </row>
    <row r="16" spans="1:15" ht="16.5" customHeight="1" thickTop="1">
      <c r="A16" s="289" t="s">
        <v>85</v>
      </c>
      <c r="B16" s="55">
        <v>53715</v>
      </c>
      <c r="C16" s="55" t="s">
        <v>90</v>
      </c>
      <c r="D16" s="3"/>
      <c r="E16" s="3"/>
      <c r="F16" s="3"/>
      <c r="G16" s="3"/>
      <c r="H16" s="3"/>
      <c r="I16" s="3"/>
      <c r="J16" s="3"/>
      <c r="K16" s="42"/>
      <c r="M16" s="43"/>
      <c r="N16" s="39"/>
      <c r="O16" s="175">
        <f t="shared" ref="O16:O21" si="1">M16*N16</f>
        <v>0</v>
      </c>
    </row>
    <row r="17" spans="1:15" ht="16.5" customHeight="1">
      <c r="A17" s="287"/>
      <c r="B17" s="55">
        <v>53720</v>
      </c>
      <c r="C17" s="55" t="s">
        <v>91</v>
      </c>
      <c r="D17" s="1"/>
      <c r="E17" s="1"/>
      <c r="F17" s="1"/>
      <c r="G17" s="1"/>
      <c r="H17" s="1"/>
      <c r="I17" s="1"/>
      <c r="J17" s="1"/>
      <c r="K17" s="40"/>
      <c r="M17" s="44"/>
      <c r="N17" s="37"/>
      <c r="O17" s="175">
        <f t="shared" si="1"/>
        <v>0</v>
      </c>
    </row>
    <row r="18" spans="1:15" ht="16.5" customHeight="1">
      <c r="A18" s="287"/>
      <c r="B18" s="55">
        <v>53735</v>
      </c>
      <c r="C18" s="55" t="s">
        <v>92</v>
      </c>
      <c r="D18" s="1"/>
      <c r="E18" s="1"/>
      <c r="F18" s="1"/>
      <c r="G18" s="1"/>
      <c r="H18" s="1"/>
      <c r="I18" s="1"/>
      <c r="J18" s="1"/>
      <c r="K18" s="40"/>
      <c r="M18" s="44"/>
      <c r="N18" s="37"/>
      <c r="O18" s="175">
        <f t="shared" si="1"/>
        <v>0</v>
      </c>
    </row>
    <row r="19" spans="1:15" ht="16.5" customHeight="1">
      <c r="A19" s="287"/>
      <c r="B19" s="55">
        <v>53740</v>
      </c>
      <c r="C19" s="55" t="s">
        <v>93</v>
      </c>
      <c r="D19" s="1"/>
      <c r="E19" s="1"/>
      <c r="F19" s="1"/>
      <c r="G19" s="1"/>
      <c r="H19" s="1"/>
      <c r="I19" s="1"/>
      <c r="J19" s="1"/>
      <c r="K19" s="40"/>
      <c r="M19" s="44"/>
      <c r="N19" s="37"/>
      <c r="O19" s="175">
        <f t="shared" si="1"/>
        <v>0</v>
      </c>
    </row>
    <row r="20" spans="1:15" ht="16.5" customHeight="1">
      <c r="A20" s="287"/>
      <c r="B20" s="55">
        <v>53755</v>
      </c>
      <c r="C20" s="55" t="s">
        <v>94</v>
      </c>
      <c r="D20" s="1"/>
      <c r="E20" s="1"/>
      <c r="F20" s="1"/>
      <c r="G20" s="1"/>
      <c r="H20" s="1"/>
      <c r="I20" s="1"/>
      <c r="J20" s="1"/>
      <c r="K20" s="40">
        <v>250000</v>
      </c>
      <c r="M20" s="44"/>
      <c r="N20" s="37"/>
      <c r="O20" s="175">
        <f t="shared" si="1"/>
        <v>0</v>
      </c>
    </row>
    <row r="21" spans="1:15" ht="16.5" customHeight="1">
      <c r="A21" s="287"/>
      <c r="B21" s="55">
        <v>53760</v>
      </c>
      <c r="C21" s="55" t="s">
        <v>95</v>
      </c>
      <c r="D21" s="1"/>
      <c r="E21" s="1"/>
      <c r="F21" s="1"/>
      <c r="G21" s="1"/>
      <c r="H21" s="1"/>
      <c r="I21" s="1"/>
      <c r="J21" s="1"/>
      <c r="K21" s="40">
        <v>377000</v>
      </c>
      <c r="M21" s="44"/>
      <c r="N21" s="37"/>
      <c r="O21" s="175">
        <f t="shared" si="1"/>
        <v>0</v>
      </c>
    </row>
    <row r="22" spans="1:15" ht="16.5" customHeight="1" thickBot="1">
      <c r="A22" s="288"/>
      <c r="B22" s="56" t="s">
        <v>16</v>
      </c>
      <c r="C22" s="56"/>
      <c r="D22" s="57">
        <f t="shared" ref="D22:K22" si="2">SUM(D16:D21)</f>
        <v>0</v>
      </c>
      <c r="E22" s="57">
        <f t="shared" si="2"/>
        <v>0</v>
      </c>
      <c r="F22" s="57">
        <f t="shared" si="2"/>
        <v>0</v>
      </c>
      <c r="G22" s="57">
        <f t="shared" si="2"/>
        <v>0</v>
      </c>
      <c r="H22" s="57">
        <f t="shared" si="2"/>
        <v>0</v>
      </c>
      <c r="I22" s="57">
        <f t="shared" si="2"/>
        <v>0</v>
      </c>
      <c r="J22" s="57">
        <f t="shared" si="2"/>
        <v>0</v>
      </c>
      <c r="K22" s="58">
        <f t="shared" si="2"/>
        <v>627000</v>
      </c>
      <c r="M22" s="91">
        <f>SUM(M16:M21)</f>
        <v>0</v>
      </c>
      <c r="N22" s="177" t="s">
        <v>60</v>
      </c>
      <c r="O22" s="58">
        <f>SUM(O16:O21)</f>
        <v>0</v>
      </c>
    </row>
    <row r="23" spans="1:15" ht="16.5" customHeight="1" thickTop="1">
      <c r="A23" s="289" t="s">
        <v>96</v>
      </c>
      <c r="B23" s="55">
        <v>55700</v>
      </c>
      <c r="C23" s="55" t="s">
        <v>97</v>
      </c>
      <c r="D23" s="1"/>
      <c r="E23" s="1"/>
      <c r="F23" s="1"/>
      <c r="G23" s="1"/>
      <c r="H23" s="1"/>
      <c r="I23" s="1"/>
      <c r="J23" s="1"/>
      <c r="K23" s="40">
        <v>200000</v>
      </c>
      <c r="M23" s="44"/>
      <c r="N23" s="37"/>
      <c r="O23" s="175">
        <f>M23*N23</f>
        <v>0</v>
      </c>
    </row>
    <row r="24" spans="1:15" ht="16.5" customHeight="1">
      <c r="A24" s="286"/>
      <c r="B24" s="55">
        <v>55710</v>
      </c>
      <c r="C24" s="55" t="s">
        <v>98</v>
      </c>
      <c r="D24" s="1"/>
      <c r="E24" s="1"/>
      <c r="F24" s="1"/>
      <c r="G24" s="1"/>
      <c r="H24" s="1"/>
      <c r="I24" s="1"/>
      <c r="J24" s="1"/>
      <c r="K24" s="40"/>
      <c r="M24" s="44"/>
      <c r="N24" s="37"/>
      <c r="O24" s="175"/>
    </row>
    <row r="25" spans="1:15" ht="16.5" customHeight="1">
      <c r="A25" s="286"/>
      <c r="B25" s="55">
        <v>55730</v>
      </c>
      <c r="C25" s="55" t="s">
        <v>99</v>
      </c>
      <c r="D25" s="1"/>
      <c r="E25" s="1"/>
      <c r="F25" s="1"/>
      <c r="G25" s="1"/>
      <c r="H25" s="1"/>
      <c r="I25" s="1"/>
      <c r="J25" s="1"/>
      <c r="K25" s="40"/>
      <c r="M25" s="44"/>
      <c r="N25" s="37"/>
      <c r="O25" s="175">
        <f>M25*N25</f>
        <v>0</v>
      </c>
    </row>
    <row r="26" spans="1:15" ht="16.5" customHeight="1" thickBot="1">
      <c r="A26" s="288"/>
      <c r="B26" s="56" t="s">
        <v>16</v>
      </c>
      <c r="C26" s="56"/>
      <c r="D26" s="57">
        <f t="shared" ref="D26:K26" si="3">SUM(D23:D25)</f>
        <v>0</v>
      </c>
      <c r="E26" s="57">
        <f t="shared" si="3"/>
        <v>0</v>
      </c>
      <c r="F26" s="57">
        <f t="shared" si="3"/>
        <v>0</v>
      </c>
      <c r="G26" s="57">
        <f t="shared" si="3"/>
        <v>0</v>
      </c>
      <c r="H26" s="57">
        <f t="shared" si="3"/>
        <v>0</v>
      </c>
      <c r="I26" s="57">
        <f t="shared" si="3"/>
        <v>0</v>
      </c>
      <c r="J26" s="57">
        <f t="shared" si="3"/>
        <v>0</v>
      </c>
      <c r="K26" s="58">
        <f t="shared" si="3"/>
        <v>200000</v>
      </c>
      <c r="M26" s="91">
        <f>SUM(M23:M25)</f>
        <v>0</v>
      </c>
      <c r="N26" s="177" t="s">
        <v>60</v>
      </c>
      <c r="O26" s="58">
        <f>SUM(O23:O25)</f>
        <v>0</v>
      </c>
    </row>
    <row r="27" spans="1:15" ht="16.5" customHeight="1" thickTop="1" thickBot="1">
      <c r="A27" s="70" t="s">
        <v>17</v>
      </c>
      <c r="B27" s="70"/>
      <c r="C27" s="70"/>
      <c r="D27" s="29">
        <f t="shared" ref="D27:K27" si="4">D15+D22+D26</f>
        <v>0</v>
      </c>
      <c r="E27" s="29">
        <f t="shared" si="4"/>
        <v>0</v>
      </c>
      <c r="F27" s="29">
        <f t="shared" si="4"/>
        <v>0</v>
      </c>
      <c r="G27" s="29">
        <f t="shared" si="4"/>
        <v>0</v>
      </c>
      <c r="H27" s="29">
        <f t="shared" si="4"/>
        <v>0</v>
      </c>
      <c r="I27" s="29">
        <f t="shared" si="4"/>
        <v>0</v>
      </c>
      <c r="J27" s="29">
        <f t="shared" si="4"/>
        <v>0</v>
      </c>
      <c r="K27" s="29">
        <f t="shared" si="4"/>
        <v>827000</v>
      </c>
      <c r="M27" s="29">
        <f>M15+M22+M26</f>
        <v>0</v>
      </c>
      <c r="N27" s="176"/>
      <c r="O27" s="29">
        <f>O15+O22+O26</f>
        <v>0</v>
      </c>
    </row>
    <row r="28" spans="1:15" ht="3.95" customHeight="1" thickTop="1">
      <c r="A28" s="20"/>
      <c r="B28" s="20"/>
      <c r="C28" s="20"/>
      <c r="D28" s="71"/>
      <c r="E28" s="71"/>
      <c r="F28" s="71"/>
      <c r="G28" s="71"/>
      <c r="H28" s="71"/>
      <c r="I28" s="71"/>
      <c r="J28" s="71"/>
      <c r="K28" s="71"/>
    </row>
    <row r="31" spans="1:15">
      <c r="A31" s="206" t="s">
        <v>123</v>
      </c>
      <c r="B31" s="205"/>
      <c r="C31" s="205"/>
      <c r="D31" s="205"/>
      <c r="E31" s="205"/>
      <c r="F31" s="205"/>
      <c r="G31" s="205"/>
      <c r="H31" s="205"/>
      <c r="I31" s="205"/>
      <c r="J31" s="205"/>
      <c r="K31" s="205"/>
    </row>
    <row r="32" spans="1:15" ht="28.5" customHeight="1">
      <c r="A32" s="257" t="s">
        <v>133</v>
      </c>
      <c r="B32" s="257"/>
      <c r="C32" s="257"/>
      <c r="D32" s="257"/>
      <c r="E32" s="257"/>
      <c r="F32" s="257"/>
      <c r="G32" s="257"/>
      <c r="H32" s="257"/>
      <c r="I32" s="257"/>
      <c r="J32" s="257"/>
      <c r="K32" s="257"/>
    </row>
    <row r="33" spans="1:11">
      <c r="A33" s="205"/>
      <c r="B33" s="205"/>
      <c r="C33" s="205"/>
      <c r="D33" s="205"/>
      <c r="E33" s="205"/>
      <c r="F33" s="205"/>
      <c r="G33" s="205"/>
      <c r="H33" s="205"/>
      <c r="I33" s="205"/>
      <c r="J33" s="205"/>
      <c r="K33" s="205"/>
    </row>
    <row r="34" spans="1:11">
      <c r="A34" s="257" t="s">
        <v>124</v>
      </c>
      <c r="B34" s="257"/>
      <c r="C34" s="257"/>
      <c r="D34" s="257"/>
      <c r="E34" s="257"/>
      <c r="F34" s="257"/>
      <c r="G34" s="257"/>
      <c r="H34" s="257"/>
      <c r="I34" s="257"/>
      <c r="J34" s="257"/>
      <c r="K34" s="257"/>
    </row>
    <row r="35" spans="1:11">
      <c r="A35" s="205"/>
      <c r="B35" s="205"/>
      <c r="C35" s="205"/>
      <c r="D35" s="205"/>
      <c r="E35" s="205"/>
      <c r="F35" s="205"/>
      <c r="G35" s="205"/>
      <c r="H35" s="205"/>
      <c r="I35" s="205"/>
      <c r="J35" s="205"/>
      <c r="K35" s="205"/>
    </row>
    <row r="36" spans="1:11">
      <c r="A36" s="257" t="s">
        <v>125</v>
      </c>
      <c r="B36" s="257"/>
      <c r="C36" s="257"/>
      <c r="D36" s="257"/>
      <c r="E36" s="257"/>
      <c r="F36" s="257"/>
      <c r="G36" s="257"/>
      <c r="H36" s="257"/>
      <c r="I36" s="257"/>
      <c r="J36" s="257"/>
      <c r="K36" s="257"/>
    </row>
    <row r="37" spans="1:11">
      <c r="A37" s="205"/>
      <c r="B37" s="205"/>
      <c r="C37" s="205"/>
      <c r="D37" s="205"/>
      <c r="E37" s="205"/>
      <c r="F37" s="205"/>
      <c r="G37" s="205"/>
      <c r="H37" s="205"/>
      <c r="I37" s="205"/>
      <c r="J37" s="205"/>
      <c r="K37" s="205"/>
    </row>
    <row r="38" spans="1:11">
      <c r="A38" s="257" t="s">
        <v>126</v>
      </c>
      <c r="B38" s="257"/>
      <c r="C38" s="257"/>
      <c r="D38" s="257"/>
      <c r="E38" s="257"/>
      <c r="F38" s="257"/>
      <c r="G38" s="257"/>
      <c r="H38" s="257"/>
      <c r="I38" s="257"/>
      <c r="J38" s="257"/>
      <c r="K38" s="257"/>
    </row>
    <row r="39" spans="1:11">
      <c r="A39" s="213"/>
      <c r="B39" s="213"/>
      <c r="C39" s="213"/>
      <c r="D39" s="213"/>
      <c r="E39" s="213"/>
      <c r="F39" s="213"/>
      <c r="G39" s="213"/>
      <c r="H39" s="213"/>
      <c r="I39" s="213"/>
      <c r="J39" s="213"/>
      <c r="K39" s="213"/>
    </row>
    <row r="40" spans="1:11">
      <c r="A40" s="222" t="s">
        <v>146</v>
      </c>
      <c r="B40" s="222" t="s">
        <v>144</v>
      </c>
      <c r="C40" s="222"/>
    </row>
    <row r="41" spans="1:11">
      <c r="B41" s="221" t="s">
        <v>147</v>
      </c>
      <c r="C41" s="221"/>
    </row>
    <row r="42" spans="1:11">
      <c r="A42" s="204"/>
      <c r="B42" s="221"/>
    </row>
    <row r="43" spans="1:11" ht="15">
      <c r="A43" s="218" t="s">
        <v>143</v>
      </c>
    </row>
  </sheetData>
  <sheetProtection formatCells="0" formatColumns="0" formatRows="0" selectLockedCells="1"/>
  <mergeCells count="17">
    <mergeCell ref="M9:O9"/>
    <mergeCell ref="A6:E6"/>
    <mergeCell ref="A7:E7"/>
    <mergeCell ref="A9:K9"/>
    <mergeCell ref="A12:A15"/>
    <mergeCell ref="D2:K2"/>
    <mergeCell ref="D3:K3"/>
    <mergeCell ref="D4:K4"/>
    <mergeCell ref="A2:C2"/>
    <mergeCell ref="A3:C3"/>
    <mergeCell ref="A4:C4"/>
    <mergeCell ref="A34:K34"/>
    <mergeCell ref="A36:K36"/>
    <mergeCell ref="A38:K38"/>
    <mergeCell ref="A32:K32"/>
    <mergeCell ref="A16:A22"/>
    <mergeCell ref="A23:A26"/>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7"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M27"/>
  <sheetViews>
    <sheetView showGridLines="0" zoomScaleNormal="100" workbookViewId="0">
      <selection activeCell="G33" sqref="G33"/>
    </sheetView>
  </sheetViews>
  <sheetFormatPr defaultRowHeight="12.75"/>
  <cols>
    <col min="1" max="1" width="1.5703125" style="19" customWidth="1"/>
    <col min="2" max="2" width="27.42578125" style="19" customWidth="1"/>
    <col min="3" max="10" width="12.7109375" style="19" customWidth="1"/>
    <col min="11" max="11" width="14.140625" style="19" customWidth="1"/>
    <col min="12" max="12" width="14" style="19" customWidth="1"/>
    <col min="13" max="13" width="14.140625" style="19" customWidth="1"/>
    <col min="14" max="16384" width="9.140625" style="19"/>
  </cols>
  <sheetData>
    <row r="1" spans="1:13" ht="12" customHeight="1"/>
    <row r="2" spans="1:13" s="62" customFormat="1" ht="16.5" customHeight="1">
      <c r="A2" s="327" t="s">
        <v>25</v>
      </c>
      <c r="B2" s="328"/>
      <c r="C2" s="339" t="str">
        <f>IF(ISBLANK('PROJECT ID|INSTRUCTIONS'!C3)," ",'PROJECT ID|INSTRUCTIONS'!C3)</f>
        <v>2013 DOCM1 416</v>
      </c>
      <c r="D2" s="339"/>
      <c r="E2" s="339"/>
      <c r="F2" s="339"/>
      <c r="G2" s="339"/>
      <c r="H2" s="339"/>
      <c r="I2" s="339"/>
      <c r="J2" s="340"/>
    </row>
    <row r="3" spans="1:13" s="62" customFormat="1" ht="16.5" customHeight="1">
      <c r="A3" s="329" t="s">
        <v>22</v>
      </c>
      <c r="B3" s="330"/>
      <c r="C3" s="341" t="str">
        <f>IF(ISBLANK('PROJECT ID|INSTRUCTIONS'!C4)," ",'PROJECT ID|INSTRUCTIONS'!C4)</f>
        <v>Offender Management Information System (OMIS)</v>
      </c>
      <c r="D3" s="341"/>
      <c r="E3" s="341"/>
      <c r="F3" s="341"/>
      <c r="G3" s="341"/>
      <c r="H3" s="341"/>
      <c r="I3" s="341"/>
      <c r="J3" s="342"/>
    </row>
    <row r="4" spans="1:13" s="62" customFormat="1" ht="16.5" customHeight="1">
      <c r="A4" s="331" t="s">
        <v>26</v>
      </c>
      <c r="B4" s="332"/>
      <c r="C4" s="276">
        <f>IF(ISBLANK('PROJECT ID|INSTRUCTIONS'!C5)," ",'PROJECT ID|INSTRUCTIONS'!C5)</f>
        <v>41298</v>
      </c>
      <c r="D4" s="276"/>
      <c r="E4" s="276"/>
      <c r="F4" s="276"/>
      <c r="G4" s="276"/>
      <c r="H4" s="276"/>
      <c r="I4" s="276"/>
      <c r="J4" s="277"/>
    </row>
    <row r="5" spans="1:13" s="103" customFormat="1" ht="12" customHeight="1">
      <c r="A5" s="99"/>
      <c r="B5" s="99"/>
      <c r="C5" s="343"/>
      <c r="D5" s="343"/>
      <c r="E5" s="343"/>
      <c r="F5" s="343"/>
      <c r="G5" s="343"/>
      <c r="H5" s="343"/>
      <c r="I5" s="215"/>
      <c r="J5" s="100"/>
      <c r="K5" s="101"/>
      <c r="L5" s="102"/>
    </row>
    <row r="6" spans="1:13" s="103" customFormat="1" ht="15" customHeight="1">
      <c r="A6" s="344" t="s">
        <v>21</v>
      </c>
      <c r="B6" s="345"/>
      <c r="C6" s="345"/>
      <c r="D6" s="345"/>
      <c r="E6" s="345"/>
      <c r="F6" s="345"/>
      <c r="G6" s="345"/>
      <c r="H6" s="345"/>
      <c r="I6" s="345"/>
      <c r="J6" s="345"/>
      <c r="K6" s="345"/>
      <c r="L6" s="345"/>
      <c r="M6" s="346"/>
    </row>
    <row r="7" spans="1:13" ht="39" customHeight="1">
      <c r="A7" s="160"/>
      <c r="B7" s="161" t="s">
        <v>21</v>
      </c>
      <c r="C7" s="162" t="s">
        <v>30</v>
      </c>
      <c r="D7" s="163" t="str">
        <f>CONCATENATE("FY ",Settings!$C$1)</f>
        <v>FY 2013</v>
      </c>
      <c r="E7" s="163" t="str">
        <f>CONCATENATE("FY ",Settings!$C$1+1)</f>
        <v>FY 2014</v>
      </c>
      <c r="F7" s="163" t="str">
        <f>CONCATENATE("FY ",Settings!$C$1+2)</f>
        <v>FY 2015</v>
      </c>
      <c r="G7" s="163" t="str">
        <f>CONCATENATE("FY ",Settings!$C$1+3)</f>
        <v>FY 2016</v>
      </c>
      <c r="H7" s="163" t="str">
        <f>CONCATENATE("FY ",Settings!$C$1+4)</f>
        <v>FY 2017</v>
      </c>
      <c r="I7" s="163" t="str">
        <f>CONCATENATE("FY ",Settings!$C$1+5)</f>
        <v>FY 2018</v>
      </c>
      <c r="J7" s="163" t="str">
        <f>CONCATENATE("Out Years after FY",Settings!$C$1+5)</f>
        <v>Out Years after FY2018</v>
      </c>
      <c r="K7" s="163" t="str">
        <f>CONCATENATE("Total FY",Settings!$C$1," - FY",Settings!$C$1+4)</f>
        <v>Total FY2013 - FY2017</v>
      </c>
      <c r="L7" s="163" t="str">
        <f>CONCATENATE("Total FY",Settings!$C$1," - Out Years")</f>
        <v>Total FY2013 - Out Years</v>
      </c>
      <c r="M7" s="164" t="s">
        <v>29</v>
      </c>
    </row>
    <row r="8" spans="1:13" ht="16.5" customHeight="1">
      <c r="A8" s="104"/>
      <c r="B8" s="203" t="s">
        <v>105</v>
      </c>
      <c r="C8" s="6"/>
      <c r="D8" s="6">
        <f>'TOTAL DEVELOPMENT COSTS'!E23-'CAPITAL DEV. COSTS-THIS REQUEST'!E23</f>
        <v>0</v>
      </c>
      <c r="E8" s="6">
        <f>'TOTAL DEVELOPMENT COSTS'!F23-'CAPITAL DEV. COSTS-THIS REQUEST'!F23</f>
        <v>975000</v>
      </c>
      <c r="F8" s="6">
        <f>'TOTAL DEVELOPMENT COSTS'!G23-'CAPITAL DEV. COSTS-THIS REQUEST'!G23</f>
        <v>3750000</v>
      </c>
      <c r="G8" s="6">
        <f>'TOTAL DEVELOPMENT COSTS'!H23-'CAPITAL DEV. COSTS-THIS REQUEST'!H23</f>
        <v>5300000</v>
      </c>
      <c r="H8" s="6">
        <f>'TOTAL DEVELOPMENT COSTS'!I23-'CAPITAL DEV. COSTS-THIS REQUEST'!I23</f>
        <v>4325000</v>
      </c>
      <c r="I8" s="6">
        <f>'TOTAL DEVELOPMENT COSTS'!J23-'CAPITAL DEV. COSTS-THIS REQUEST'!J23</f>
        <v>1175000</v>
      </c>
      <c r="J8" s="6">
        <f>'TOTAL DEVELOPMENT COSTS'!K23-'CAPITAL DEV. COSTS-THIS REQUEST'!K23</f>
        <v>800000</v>
      </c>
      <c r="K8" s="118">
        <f>SUM(D8:I8)</f>
        <v>15525000</v>
      </c>
      <c r="L8" s="112">
        <f>SUM(D8:J8)</f>
        <v>16325000</v>
      </c>
      <c r="M8" s="113">
        <f>SUM(C8:J8)</f>
        <v>16325000</v>
      </c>
    </row>
    <row r="9" spans="1:13" ht="16.5" customHeight="1">
      <c r="A9" s="104"/>
      <c r="B9" s="203" t="s">
        <v>106</v>
      </c>
      <c r="C9" s="4"/>
      <c r="D9" s="4"/>
      <c r="E9" s="4"/>
      <c r="F9" s="4"/>
      <c r="G9" s="4"/>
      <c r="H9" s="4"/>
      <c r="I9" s="4"/>
      <c r="J9" s="4"/>
      <c r="K9" s="119">
        <f t="shared" ref="K9:K18" si="0">SUM(D9:I9)</f>
        <v>0</v>
      </c>
      <c r="L9" s="114">
        <f t="shared" ref="L9:L17" si="1">SUM(D9:J9)</f>
        <v>0</v>
      </c>
      <c r="M9" s="115">
        <f t="shared" ref="M9:M18" si="2">SUM(C9:J9)</f>
        <v>0</v>
      </c>
    </row>
    <row r="10" spans="1:13" ht="16.5" customHeight="1">
      <c r="A10" s="104"/>
      <c r="B10" s="203" t="s">
        <v>107</v>
      </c>
      <c r="C10" s="4"/>
      <c r="D10" s="4"/>
      <c r="E10" s="4"/>
      <c r="F10" s="4"/>
      <c r="G10" s="4"/>
      <c r="H10" s="4"/>
      <c r="I10" s="4"/>
      <c r="J10" s="4"/>
      <c r="K10" s="119">
        <f t="shared" si="0"/>
        <v>0</v>
      </c>
      <c r="L10" s="114">
        <f t="shared" si="1"/>
        <v>0</v>
      </c>
      <c r="M10" s="115">
        <f t="shared" si="2"/>
        <v>0</v>
      </c>
    </row>
    <row r="11" spans="1:13" ht="16.5" customHeight="1">
      <c r="A11" s="104"/>
      <c r="B11" s="105" t="s">
        <v>7</v>
      </c>
      <c r="C11" s="4"/>
      <c r="D11" s="4"/>
      <c r="E11" s="4"/>
      <c r="F11" s="4"/>
      <c r="G11" s="4"/>
      <c r="H11" s="4"/>
      <c r="I11" s="4"/>
      <c r="J11" s="4"/>
      <c r="K11" s="119">
        <f t="shared" si="0"/>
        <v>0</v>
      </c>
      <c r="L11" s="114">
        <f t="shared" si="1"/>
        <v>0</v>
      </c>
      <c r="M11" s="115">
        <f t="shared" si="2"/>
        <v>0</v>
      </c>
    </row>
    <row r="12" spans="1:13" ht="16.5" customHeight="1">
      <c r="A12" s="104"/>
      <c r="B12" s="105" t="s">
        <v>8</v>
      </c>
      <c r="C12" s="5"/>
      <c r="D12" s="5"/>
      <c r="E12" s="5"/>
      <c r="F12" s="5"/>
      <c r="G12" s="5"/>
      <c r="H12" s="5"/>
      <c r="I12" s="5"/>
      <c r="J12" s="5"/>
      <c r="K12" s="119">
        <f t="shared" si="0"/>
        <v>0</v>
      </c>
      <c r="L12" s="114">
        <f t="shared" si="1"/>
        <v>0</v>
      </c>
      <c r="M12" s="115">
        <f t="shared" si="2"/>
        <v>0</v>
      </c>
    </row>
    <row r="13" spans="1:13" ht="16.5" customHeight="1">
      <c r="A13" s="106"/>
      <c r="B13" s="122" t="s">
        <v>9</v>
      </c>
      <c r="C13" s="123">
        <f>'CAPITAL DEV. COSTS-THIS REQUEST'!D23</f>
        <v>0</v>
      </c>
      <c r="D13" s="123">
        <f>'CAPITAL DEV. COSTS-THIS REQUEST'!E23</f>
        <v>0</v>
      </c>
      <c r="E13" s="123">
        <f>'CAPITAL DEV. COSTS-THIS REQUEST'!F23</f>
        <v>325000</v>
      </c>
      <c r="F13" s="123">
        <f>'CAPITAL DEV. COSTS-THIS REQUEST'!G23</f>
        <v>1250000</v>
      </c>
      <c r="G13" s="123">
        <f>'CAPITAL DEV. COSTS-THIS REQUEST'!H23</f>
        <v>1500000</v>
      </c>
      <c r="H13" s="123">
        <f>'CAPITAL DEV. COSTS-THIS REQUEST'!I23</f>
        <v>1175000</v>
      </c>
      <c r="I13" s="123">
        <f>'CAPITAL DEV. COSTS-THIS REQUEST'!J23</f>
        <v>125000</v>
      </c>
      <c r="J13" s="123">
        <f>'CAPITAL DEV. COSTS-THIS REQUEST'!K23</f>
        <v>0</v>
      </c>
      <c r="K13" s="119">
        <f t="shared" si="0"/>
        <v>4375000</v>
      </c>
      <c r="L13" s="114">
        <f t="shared" si="1"/>
        <v>4375000</v>
      </c>
      <c r="M13" s="115">
        <f t="shared" si="2"/>
        <v>4375000</v>
      </c>
    </row>
    <row r="14" spans="1:13" ht="16.5" customHeight="1">
      <c r="A14" s="355" t="s">
        <v>77</v>
      </c>
      <c r="B14" s="356"/>
      <c r="C14" s="6"/>
      <c r="D14" s="6"/>
      <c r="E14" s="6"/>
      <c r="F14" s="6"/>
      <c r="G14" s="6"/>
      <c r="H14" s="6"/>
      <c r="I14" s="6"/>
      <c r="J14" s="6"/>
      <c r="K14" s="119">
        <f t="shared" si="0"/>
        <v>0</v>
      </c>
      <c r="L14" s="114">
        <f t="shared" si="1"/>
        <v>0</v>
      </c>
      <c r="M14" s="115">
        <f t="shared" si="2"/>
        <v>0</v>
      </c>
    </row>
    <row r="15" spans="1:13" ht="16.5" customHeight="1">
      <c r="A15" s="104"/>
      <c r="B15" s="8"/>
      <c r="C15" s="4"/>
      <c r="D15" s="4"/>
      <c r="E15" s="4"/>
      <c r="F15" s="4"/>
      <c r="G15" s="4"/>
      <c r="H15" s="4"/>
      <c r="I15" s="4"/>
      <c r="J15" s="4"/>
      <c r="K15" s="119">
        <f t="shared" si="0"/>
        <v>0</v>
      </c>
      <c r="L15" s="114">
        <f t="shared" si="1"/>
        <v>0</v>
      </c>
      <c r="M15" s="115">
        <f t="shared" si="2"/>
        <v>0</v>
      </c>
    </row>
    <row r="16" spans="1:13" ht="16.5" customHeight="1">
      <c r="A16" s="104"/>
      <c r="B16" s="8"/>
      <c r="C16" s="4"/>
      <c r="D16" s="4"/>
      <c r="E16" s="4"/>
      <c r="F16" s="4"/>
      <c r="G16" s="4"/>
      <c r="H16" s="4"/>
      <c r="I16" s="4"/>
      <c r="J16" s="4"/>
      <c r="K16" s="119">
        <f t="shared" si="0"/>
        <v>0</v>
      </c>
      <c r="L16" s="114">
        <f>SUM(D16:J16)</f>
        <v>0</v>
      </c>
      <c r="M16" s="115">
        <f>SUM(C16:J16)</f>
        <v>0</v>
      </c>
    </row>
    <row r="17" spans="1:13" ht="16.5" customHeight="1">
      <c r="A17" s="104"/>
      <c r="B17" s="8"/>
      <c r="C17" s="4"/>
      <c r="D17" s="4"/>
      <c r="E17" s="4"/>
      <c r="F17" s="4"/>
      <c r="G17" s="4"/>
      <c r="H17" s="4"/>
      <c r="I17" s="4"/>
      <c r="J17" s="4"/>
      <c r="K17" s="119">
        <f t="shared" si="0"/>
        <v>0</v>
      </c>
      <c r="L17" s="114">
        <f t="shared" si="1"/>
        <v>0</v>
      </c>
      <c r="M17" s="115">
        <f t="shared" si="2"/>
        <v>0</v>
      </c>
    </row>
    <row r="18" spans="1:13" ht="16.5" customHeight="1" thickBot="1">
      <c r="A18" s="104"/>
      <c r="B18" s="10"/>
      <c r="C18" s="5"/>
      <c r="D18" s="5"/>
      <c r="E18" s="5"/>
      <c r="F18" s="5"/>
      <c r="G18" s="5"/>
      <c r="H18" s="5"/>
      <c r="I18" s="5"/>
      <c r="J18" s="121"/>
      <c r="K18" s="120">
        <f t="shared" si="0"/>
        <v>0</v>
      </c>
      <c r="L18" s="116">
        <f>SUM(D18:J18)</f>
        <v>0</v>
      </c>
      <c r="M18" s="117">
        <f t="shared" si="2"/>
        <v>0</v>
      </c>
    </row>
    <row r="19" spans="1:13" ht="16.5" customHeight="1" thickTop="1" thickBot="1">
      <c r="A19" s="354" t="s">
        <v>41</v>
      </c>
      <c r="B19" s="354"/>
      <c r="C19" s="11">
        <f t="shared" ref="C19:M19" si="3">SUM(C8:C18)</f>
        <v>0</v>
      </c>
      <c r="D19" s="11">
        <f t="shared" si="3"/>
        <v>0</v>
      </c>
      <c r="E19" s="11">
        <f t="shared" si="3"/>
        <v>1300000</v>
      </c>
      <c r="F19" s="11">
        <f t="shared" si="3"/>
        <v>5000000</v>
      </c>
      <c r="G19" s="11">
        <f t="shared" si="3"/>
        <v>6800000</v>
      </c>
      <c r="H19" s="11">
        <f t="shared" si="3"/>
        <v>5500000</v>
      </c>
      <c r="I19" s="11">
        <f t="shared" ref="I19" si="4">SUM(I8:I18)</f>
        <v>1300000</v>
      </c>
      <c r="J19" s="11">
        <f t="shared" si="3"/>
        <v>800000</v>
      </c>
      <c r="K19" s="11">
        <f>SUM(K8:K18)</f>
        <v>19900000</v>
      </c>
      <c r="L19" s="11">
        <f t="shared" si="3"/>
        <v>20700000</v>
      </c>
      <c r="M19" s="11">
        <f t="shared" si="3"/>
        <v>20700000</v>
      </c>
    </row>
    <row r="20" spans="1:13" ht="12.6" customHeight="1" thickTop="1">
      <c r="A20" s="107"/>
      <c r="B20" s="108"/>
      <c r="C20" s="109"/>
      <c r="D20" s="109"/>
      <c r="E20" s="109"/>
      <c r="F20" s="109"/>
      <c r="G20" s="109"/>
      <c r="H20" s="109"/>
      <c r="I20" s="109"/>
      <c r="J20" s="109"/>
    </row>
    <row r="21" spans="1:13" ht="26.25" customHeight="1">
      <c r="A21" s="347" t="s">
        <v>40</v>
      </c>
      <c r="B21" s="348"/>
      <c r="C21" s="7">
        <f>'TOTAL DEVELOPMENT COSTS'!D23</f>
        <v>0</v>
      </c>
      <c r="D21" s="7">
        <f>'TOTAL DEVELOPMENT COSTS'!E23</f>
        <v>0</v>
      </c>
      <c r="E21" s="7">
        <f>'TOTAL DEVELOPMENT COSTS'!F23</f>
        <v>1300000</v>
      </c>
      <c r="F21" s="7">
        <f>'TOTAL DEVELOPMENT COSTS'!G23</f>
        <v>5000000</v>
      </c>
      <c r="G21" s="7">
        <f>'TOTAL DEVELOPMENT COSTS'!H23</f>
        <v>6800000</v>
      </c>
      <c r="H21" s="7">
        <f>'TOTAL DEVELOPMENT COSTS'!I23</f>
        <v>5500000</v>
      </c>
      <c r="I21" s="7">
        <f>'TOTAL DEVELOPMENT COSTS'!J23</f>
        <v>1300000</v>
      </c>
      <c r="J21" s="7">
        <f>'TOTAL DEVELOPMENT COSTS'!K23</f>
        <v>800000</v>
      </c>
    </row>
    <row r="22" spans="1:13" s="110" customFormat="1" ht="8.25" customHeight="1">
      <c r="A22" s="107"/>
      <c r="B22" s="108"/>
      <c r="C22" s="109"/>
      <c r="D22" s="109"/>
      <c r="E22" s="109"/>
      <c r="F22" s="109"/>
      <c r="G22" s="109"/>
      <c r="H22" s="109"/>
      <c r="I22" s="109"/>
      <c r="J22" s="109"/>
      <c r="M22" s="111"/>
    </row>
    <row r="23" spans="1:13" ht="37.5" customHeight="1" thickBot="1">
      <c r="A23" s="349" t="s">
        <v>78</v>
      </c>
      <c r="B23" s="350"/>
      <c r="C23" s="177"/>
      <c r="D23" s="7">
        <f t="shared" ref="D23:J23" si="5">D21-D19</f>
        <v>0</v>
      </c>
      <c r="E23" s="7">
        <f t="shared" si="5"/>
        <v>0</v>
      </c>
      <c r="F23" s="7">
        <f t="shared" si="5"/>
        <v>0</v>
      </c>
      <c r="G23" s="7">
        <f t="shared" si="5"/>
        <v>0</v>
      </c>
      <c r="H23" s="7">
        <f t="shared" si="5"/>
        <v>0</v>
      </c>
      <c r="I23" s="7">
        <f t="shared" si="5"/>
        <v>0</v>
      </c>
      <c r="J23" s="7">
        <f t="shared" si="5"/>
        <v>0</v>
      </c>
    </row>
    <row r="24" spans="1:13" ht="14.25" thickTop="1" thickBot="1"/>
    <row r="25" spans="1:13" ht="13.5" thickBot="1">
      <c r="C25" s="351" t="str">
        <f>IF(AND(D23=0,E23=0,F23=0,G23=0,H23=0,J23=0),"","Total Funding Source Must Equal Total Development Cost")</f>
        <v/>
      </c>
      <c r="D25" s="352"/>
      <c r="E25" s="352"/>
      <c r="F25" s="352"/>
      <c r="G25" s="352"/>
      <c r="H25" s="352"/>
      <c r="I25" s="352"/>
      <c r="J25" s="353"/>
    </row>
    <row r="27" spans="1:13" ht="15">
      <c r="A27" s="218" t="s">
        <v>143</v>
      </c>
    </row>
  </sheetData>
  <sheetProtection formatCells="0" formatColumns="0" formatRows="0" selectLockedCells="1"/>
  <mergeCells count="13">
    <mergeCell ref="C5:H5"/>
    <mergeCell ref="A6:M6"/>
    <mergeCell ref="A21:B21"/>
    <mergeCell ref="A23:B23"/>
    <mergeCell ref="C25:J25"/>
    <mergeCell ref="A19:B19"/>
    <mergeCell ref="A14:B14"/>
    <mergeCell ref="A2:B2"/>
    <mergeCell ref="A3:B3"/>
    <mergeCell ref="A4:B4"/>
    <mergeCell ref="C2:J2"/>
    <mergeCell ref="C3:J3"/>
    <mergeCell ref="C4:J4"/>
  </mergeCells>
  <phoneticPr fontId="1" type="noConversion"/>
  <conditionalFormatting sqref="C25:J25">
    <cfRule type="cellIs" dxfId="1" priority="1" stopIfTrue="1" operator="notEqual">
      <formula>""</formula>
    </cfRule>
  </conditionalFormatting>
  <conditionalFormatting sqref="C23:J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L11" formulaRange="1"/>
    <ignoredError sqref="J8 D8:H8" unlockedFormula="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ReganM1</cp:lastModifiedBy>
  <cp:lastPrinted>2013-03-01T18:26:33Z</cp:lastPrinted>
  <dcterms:created xsi:type="dcterms:W3CDTF">2009-11-16T15:45:40Z</dcterms:created>
  <dcterms:modified xsi:type="dcterms:W3CDTF">2013-03-27T19:17:50Z</dcterms:modified>
</cp:coreProperties>
</file>