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5460" windowWidth="19440" windowHeight="7455" tabRatio="888" firstSheet="1" activeTab="7"/>
  </bookViews>
  <sheets>
    <sheet name="PROJECT ID|INSTRUCTIONS" sheetId="12" r:id="rId1"/>
    <sheet name="FINANCIAL BENEFITS" sheetId="4" r:id="rId2"/>
    <sheet name="TOTAL DEVELOPMENT COSTS" sheetId="1" r:id="rId3"/>
    <sheet name="CAPITAL DEV. COSTS-THIS REQUEST" sheetId="6" r:id="rId4"/>
    <sheet name=" OBJECTIVES" sheetId="10" state="hidden" r:id="rId5"/>
    <sheet name="SUPPORT COSTS" sheetId="2" r:id="rId6"/>
    <sheet name="FUNDING SOURCES" sheetId="5" r:id="rId7"/>
    <sheet name="Actuals" sheetId="14" r:id="rId8"/>
    <sheet name="Settings" sheetId="11" state="hidden" r:id="rId9"/>
  </sheets>
  <definedNames>
    <definedName name="OLE_LINK2" localSheetId="0">'PROJECT ID|INSTRUCTIONS'!$C$60</definedName>
    <definedName name="_xlnm.Print_Area" localSheetId="4">' OBJECTIVES'!$A$2:$E$66</definedName>
    <definedName name="_xlnm.Print_Area" localSheetId="0">'PROJECT ID|INSTRUCTIONS'!$A$2:$C$43</definedName>
    <definedName name="_xlnm.Print_Titles" localSheetId="4">' OBJECTIVES'!$6:$7</definedName>
    <definedName name="_xlnm.Print_Titles" localSheetId="3">'CAPITAL DEV. COSTS-THIS REQUEST'!$6:$7</definedName>
    <definedName name="_xlnm.Print_Titles" localSheetId="1">'FINANCIAL BENEFITS'!$6:$8</definedName>
    <definedName name="_xlnm.Print_Titles" localSheetId="5">'SUPPORT COSTS'!$9:$11</definedName>
    <definedName name="_xlnm.Print_Titles" localSheetId="2">'TOTAL DEVELOPMENT COSTS'!$6:$7</definedName>
  </definedNames>
  <calcPr calcId="125725"/>
</workbook>
</file>

<file path=xl/calcChain.xml><?xml version="1.0" encoding="utf-8"?>
<calcChain xmlns="http://schemas.openxmlformats.org/spreadsheetml/2006/main">
  <c r="I19" i="14"/>
  <c r="I15"/>
  <c r="J21"/>
  <c r="J20"/>
  <c r="J19" l="1"/>
  <c r="AE21" l="1"/>
  <c r="AE20"/>
  <c r="AE19"/>
  <c r="AE17"/>
  <c r="AE16"/>
  <c r="AE15"/>
  <c r="AE14"/>
  <c r="AE13"/>
  <c r="AE12"/>
  <c r="AE10"/>
  <c r="AE9"/>
  <c r="AE8"/>
  <c r="Y21"/>
  <c r="Y20"/>
  <c r="Y19"/>
  <c r="Y17"/>
  <c r="Y16"/>
  <c r="Y15"/>
  <c r="Y13"/>
  <c r="Y12"/>
  <c r="Y10"/>
  <c r="Y9"/>
  <c r="Y8"/>
  <c r="S21"/>
  <c r="S20"/>
  <c r="S19"/>
  <c r="S17"/>
  <c r="S16"/>
  <c r="S15"/>
  <c r="S14"/>
  <c r="S13"/>
  <c r="S12"/>
  <c r="S10"/>
  <c r="S9"/>
  <c r="S8"/>
  <c r="M21"/>
  <c r="M20"/>
  <c r="M19"/>
  <c r="M17"/>
  <c r="M16"/>
  <c r="M15"/>
  <c r="M14"/>
  <c r="M13"/>
  <c r="M12"/>
  <c r="M10"/>
  <c r="M9"/>
  <c r="M8"/>
  <c r="G21"/>
  <c r="G20"/>
  <c r="G19"/>
  <c r="G17"/>
  <c r="G16"/>
  <c r="G15"/>
  <c r="G14"/>
  <c r="G13"/>
  <c r="G12"/>
  <c r="G10"/>
  <c r="G9"/>
  <c r="G8"/>
  <c r="AC21"/>
  <c r="AC20"/>
  <c r="AC19"/>
  <c r="AC17"/>
  <c r="AC16"/>
  <c r="AC15"/>
  <c r="AC14"/>
  <c r="AC13"/>
  <c r="AC12"/>
  <c r="AC10"/>
  <c r="AC9"/>
  <c r="AC8"/>
  <c r="W21"/>
  <c r="W20"/>
  <c r="W19"/>
  <c r="W17"/>
  <c r="W16"/>
  <c r="W15"/>
  <c r="W13"/>
  <c r="W12"/>
  <c r="W10"/>
  <c r="W9"/>
  <c r="W8"/>
  <c r="Q21"/>
  <c r="Q20"/>
  <c r="Q19"/>
  <c r="Q17"/>
  <c r="Q16"/>
  <c r="Q15"/>
  <c r="Q14"/>
  <c r="Q13"/>
  <c r="Q12"/>
  <c r="Q10"/>
  <c r="Q9"/>
  <c r="Q8"/>
  <c r="K21"/>
  <c r="K20"/>
  <c r="K19"/>
  <c r="K17"/>
  <c r="K16"/>
  <c r="K15"/>
  <c r="K14"/>
  <c r="K13"/>
  <c r="K12"/>
  <c r="K10"/>
  <c r="K9"/>
  <c r="K8"/>
  <c r="E21"/>
  <c r="D21"/>
  <c r="E20"/>
  <c r="D20"/>
  <c r="E19"/>
  <c r="D19"/>
  <c r="E17"/>
  <c r="D17"/>
  <c r="E16"/>
  <c r="D16"/>
  <c r="E15"/>
  <c r="D15"/>
  <c r="E14"/>
  <c r="D14"/>
  <c r="E13"/>
  <c r="D13"/>
  <c r="E12"/>
  <c r="D12"/>
  <c r="E10"/>
  <c r="D10"/>
  <c r="E9"/>
  <c r="D9"/>
  <c r="E8"/>
  <c r="D8"/>
  <c r="D2"/>
  <c r="AH22"/>
  <c r="AG22"/>
  <c r="AF22"/>
  <c r="AB22"/>
  <c r="AA22"/>
  <c r="Z22"/>
  <c r="V22"/>
  <c r="U22"/>
  <c r="T22"/>
  <c r="P22"/>
  <c r="O22"/>
  <c r="N22"/>
  <c r="J22"/>
  <c r="I22"/>
  <c r="AK21"/>
  <c r="AD21"/>
  <c r="X21"/>
  <c r="R21"/>
  <c r="L21"/>
  <c r="H21"/>
  <c r="AJ21" s="1"/>
  <c r="AI21"/>
  <c r="F21"/>
  <c r="AN21"/>
  <c r="AK20"/>
  <c r="AD20"/>
  <c r="X20"/>
  <c r="R20"/>
  <c r="L20"/>
  <c r="H20"/>
  <c r="AJ20" s="1"/>
  <c r="AI20"/>
  <c r="F20"/>
  <c r="AN20"/>
  <c r="AK19"/>
  <c r="AE22"/>
  <c r="AC22"/>
  <c r="Y22"/>
  <c r="X19"/>
  <c r="W22"/>
  <c r="S22"/>
  <c r="Q22"/>
  <c r="M22"/>
  <c r="L19"/>
  <c r="L22" s="1"/>
  <c r="K22"/>
  <c r="H19"/>
  <c r="H22" s="1"/>
  <c r="G22"/>
  <c r="F19"/>
  <c r="F22" s="1"/>
  <c r="E22"/>
  <c r="D22"/>
  <c r="AH18"/>
  <c r="AG18"/>
  <c r="AF18"/>
  <c r="AB18"/>
  <c r="AA18"/>
  <c r="Z18"/>
  <c r="V18"/>
  <c r="U18"/>
  <c r="T18"/>
  <c r="P18"/>
  <c r="O18"/>
  <c r="N18"/>
  <c r="J18"/>
  <c r="I18"/>
  <c r="AK17"/>
  <c r="AD17"/>
  <c r="X17"/>
  <c r="R17"/>
  <c r="L17"/>
  <c r="H17"/>
  <c r="AJ17" s="1"/>
  <c r="AL17" s="1"/>
  <c r="AI17"/>
  <c r="F17"/>
  <c r="AN17"/>
  <c r="AK16"/>
  <c r="AD16"/>
  <c r="X16"/>
  <c r="R16"/>
  <c r="L16"/>
  <c r="H16"/>
  <c r="AJ16" s="1"/>
  <c r="AI16"/>
  <c r="F16"/>
  <c r="AN16"/>
  <c r="AK15"/>
  <c r="AD15"/>
  <c r="X15"/>
  <c r="R15"/>
  <c r="L15"/>
  <c r="H15"/>
  <c r="AJ15" s="1"/>
  <c r="AL15" s="1"/>
  <c r="AI15"/>
  <c r="F15"/>
  <c r="AN15"/>
  <c r="AK14"/>
  <c r="AD14"/>
  <c r="X14"/>
  <c r="R14"/>
  <c r="L14"/>
  <c r="H14"/>
  <c r="AJ14" s="1"/>
  <c r="F14"/>
  <c r="AN14"/>
  <c r="AK13"/>
  <c r="AD13"/>
  <c r="X13"/>
  <c r="R13"/>
  <c r="L13"/>
  <c r="H13"/>
  <c r="AJ13" s="1"/>
  <c r="F13"/>
  <c r="AN13"/>
  <c r="AK12"/>
  <c r="AK18" s="1"/>
  <c r="AE18"/>
  <c r="AD12"/>
  <c r="AD18" s="1"/>
  <c r="AC18"/>
  <c r="Y18"/>
  <c r="X12"/>
  <c r="S18"/>
  <c r="R12"/>
  <c r="Q18"/>
  <c r="M18"/>
  <c r="L12"/>
  <c r="L18" s="1"/>
  <c r="H12"/>
  <c r="F12"/>
  <c r="F18" s="1"/>
  <c r="D18"/>
  <c r="AH11"/>
  <c r="AH23" s="1"/>
  <c r="AG11"/>
  <c r="AF11"/>
  <c r="AF23" s="1"/>
  <c r="AB11"/>
  <c r="AA11"/>
  <c r="AA23" s="1"/>
  <c r="Z11"/>
  <c r="V11"/>
  <c r="V23" s="1"/>
  <c r="U11"/>
  <c r="T11"/>
  <c r="T23" s="1"/>
  <c r="P11"/>
  <c r="O11"/>
  <c r="O23" s="1"/>
  <c r="N11"/>
  <c r="J11"/>
  <c r="I11"/>
  <c r="AM10"/>
  <c r="AK10"/>
  <c r="AD10"/>
  <c r="X10"/>
  <c r="R10"/>
  <c r="L10"/>
  <c r="H10"/>
  <c r="AJ10" s="1"/>
  <c r="AL10" s="1"/>
  <c r="F10"/>
  <c r="AN10"/>
  <c r="AO10" s="1"/>
  <c r="AM9"/>
  <c r="AK9"/>
  <c r="AD9"/>
  <c r="X9"/>
  <c r="R9"/>
  <c r="L9"/>
  <c r="H9"/>
  <c r="AJ9" s="1"/>
  <c r="F9"/>
  <c r="AN9"/>
  <c r="AM8"/>
  <c r="AK8"/>
  <c r="AE11"/>
  <c r="AD8"/>
  <c r="AC11"/>
  <c r="Y11"/>
  <c r="X8"/>
  <c r="S11"/>
  <c r="R8"/>
  <c r="R11" s="1"/>
  <c r="Q11"/>
  <c r="M11"/>
  <c r="L8"/>
  <c r="H8"/>
  <c r="F8"/>
  <c r="D11"/>
  <c r="D23" s="1"/>
  <c r="AK11" l="1"/>
  <c r="AL9"/>
  <c r="N23"/>
  <c r="P23"/>
  <c r="U23"/>
  <c r="Z23"/>
  <c r="AB23"/>
  <c r="AG23"/>
  <c r="AL13"/>
  <c r="AL14"/>
  <c r="AL16"/>
  <c r="AL20"/>
  <c r="AK22"/>
  <c r="AK23" s="1"/>
  <c r="F11"/>
  <c r="F23" s="1"/>
  <c r="L11"/>
  <c r="L23" s="1"/>
  <c r="Q23"/>
  <c r="S23"/>
  <c r="Y23"/>
  <c r="AD11"/>
  <c r="R18"/>
  <c r="X18"/>
  <c r="X22"/>
  <c r="AL21"/>
  <c r="J23"/>
  <c r="I23"/>
  <c r="AO9"/>
  <c r="AM11"/>
  <c r="H11"/>
  <c r="AJ8"/>
  <c r="M23"/>
  <c r="X11"/>
  <c r="X23" s="1"/>
  <c r="AC23"/>
  <c r="AE23"/>
  <c r="H18"/>
  <c r="AJ12"/>
  <c r="AI8"/>
  <c r="AI9"/>
  <c r="AI10"/>
  <c r="E11"/>
  <c r="G11"/>
  <c r="K11"/>
  <c r="W11"/>
  <c r="AI12"/>
  <c r="AM12"/>
  <c r="AI13"/>
  <c r="AM13"/>
  <c r="AO13" s="1"/>
  <c r="AI14"/>
  <c r="AM14"/>
  <c r="AO14" s="1"/>
  <c r="AM15"/>
  <c r="AO15" s="1"/>
  <c r="AM16"/>
  <c r="AO16" s="1"/>
  <c r="AM17"/>
  <c r="AO17" s="1"/>
  <c r="E18"/>
  <c r="G18"/>
  <c r="K18"/>
  <c r="W18"/>
  <c r="R19"/>
  <c r="R22" s="1"/>
  <c r="R23" s="1"/>
  <c r="AD19"/>
  <c r="AD22" s="1"/>
  <c r="AD23" s="1"/>
  <c r="AI19"/>
  <c r="AI22" s="1"/>
  <c r="AM19"/>
  <c r="AM20"/>
  <c r="AO20" s="1"/>
  <c r="AM21"/>
  <c r="AO21" s="1"/>
  <c r="AN8"/>
  <c r="AN12"/>
  <c r="AJ19"/>
  <c r="AN19"/>
  <c r="AJ22" l="1"/>
  <c r="AL22" s="1"/>
  <c r="AL19"/>
  <c r="AN11"/>
  <c r="AO8"/>
  <c r="AM18"/>
  <c r="W23"/>
  <c r="G23"/>
  <c r="AI11"/>
  <c r="H23"/>
  <c r="AN22"/>
  <c r="AO19"/>
  <c r="AN18"/>
  <c r="AO12"/>
  <c r="AJ18"/>
  <c r="AL18" s="1"/>
  <c r="AL12"/>
  <c r="AJ11"/>
  <c r="AL8"/>
  <c r="AL11" s="1"/>
  <c r="AM22"/>
  <c r="AI18"/>
  <c r="K23"/>
  <c r="E23"/>
  <c r="AJ23" l="1"/>
  <c r="AL23" s="1"/>
  <c r="AO18"/>
  <c r="AN23"/>
  <c r="AO11"/>
  <c r="AM23"/>
  <c r="AO22"/>
  <c r="AI23"/>
  <c r="AO23" l="1"/>
  <c r="D21" i="5" l="1"/>
  <c r="D19"/>
  <c r="E20" i="1"/>
  <c r="E12" i="2" l="1"/>
  <c r="F18" i="1" l="1"/>
  <c r="E18"/>
  <c r="D18"/>
  <c r="D3" i="6"/>
  <c r="O27" i="2"/>
  <c r="M27"/>
  <c r="J27"/>
  <c r="I27"/>
  <c r="H27"/>
  <c r="J23" i="6"/>
  <c r="I23"/>
  <c r="H23"/>
  <c r="G23"/>
  <c r="D22" i="2"/>
  <c r="D15"/>
  <c r="D27" s="1"/>
  <c r="E15"/>
  <c r="E27" s="1"/>
  <c r="F15"/>
  <c r="F27" s="1"/>
  <c r="O12"/>
  <c r="O14"/>
  <c r="O13"/>
  <c r="O16"/>
  <c r="O17"/>
  <c r="O18"/>
  <c r="O19"/>
  <c r="O20"/>
  <c r="O21"/>
  <c r="O23"/>
  <c r="O25"/>
  <c r="O26" s="1"/>
  <c r="M15"/>
  <c r="M22"/>
  <c r="M26"/>
  <c r="K11"/>
  <c r="J11"/>
  <c r="I11"/>
  <c r="H11"/>
  <c r="G11"/>
  <c r="F11"/>
  <c r="E11"/>
  <c r="D36" i="10"/>
  <c r="K10" i="2"/>
  <c r="J10"/>
  <c r="I10"/>
  <c r="H10"/>
  <c r="G10"/>
  <c r="F10"/>
  <c r="H15"/>
  <c r="J26"/>
  <c r="I26"/>
  <c r="H26"/>
  <c r="J22"/>
  <c r="I22"/>
  <c r="H22"/>
  <c r="J15"/>
  <c r="I15"/>
  <c r="D66" i="10"/>
  <c r="C4" i="5"/>
  <c r="C3"/>
  <c r="C2"/>
  <c r="D4" i="2"/>
  <c r="D3"/>
  <c r="D2"/>
  <c r="C2" i="10"/>
  <c r="C4"/>
  <c r="C3"/>
  <c r="D4" i="6"/>
  <c r="D2"/>
  <c r="D2" i="1"/>
  <c r="D4"/>
  <c r="D3"/>
  <c r="C2" i="4"/>
  <c r="C4"/>
  <c r="C3"/>
  <c r="A37" i="10"/>
  <c r="D7" i="5"/>
  <c r="E7"/>
  <c r="F7"/>
  <c r="G7"/>
  <c r="H7"/>
  <c r="I7"/>
  <c r="J7"/>
  <c r="K7"/>
  <c r="J8"/>
  <c r="K8"/>
  <c r="L8"/>
  <c r="J9"/>
  <c r="K9"/>
  <c r="L9"/>
  <c r="J10"/>
  <c r="K10"/>
  <c r="L10"/>
  <c r="J11"/>
  <c r="K11"/>
  <c r="L11"/>
  <c r="J12"/>
  <c r="K12"/>
  <c r="L12"/>
  <c r="D11" i="6"/>
  <c r="D18"/>
  <c r="E18"/>
  <c r="D22"/>
  <c r="D23" s="1"/>
  <c r="C13" i="5" s="1"/>
  <c r="E11" i="6"/>
  <c r="E22"/>
  <c r="E23" s="1"/>
  <c r="F11"/>
  <c r="F18"/>
  <c r="F23" s="1"/>
  <c r="F22"/>
  <c r="G11"/>
  <c r="G18"/>
  <c r="G22"/>
  <c r="H11"/>
  <c r="H18"/>
  <c r="H22"/>
  <c r="I11"/>
  <c r="I18"/>
  <c r="I22"/>
  <c r="J11"/>
  <c r="J18"/>
  <c r="J22"/>
  <c r="J14" i="5"/>
  <c r="K14"/>
  <c r="L14"/>
  <c r="J15"/>
  <c r="K15"/>
  <c r="L15"/>
  <c r="J16"/>
  <c r="K16"/>
  <c r="L16"/>
  <c r="J17"/>
  <c r="K17"/>
  <c r="L17"/>
  <c r="J18"/>
  <c r="K18"/>
  <c r="L18"/>
  <c r="G15" i="2"/>
  <c r="G27" s="1"/>
  <c r="K15"/>
  <c r="K27" s="1"/>
  <c r="E22"/>
  <c r="F22"/>
  <c r="G22"/>
  <c r="K22"/>
  <c r="D26"/>
  <c r="E26"/>
  <c r="F26"/>
  <c r="G26"/>
  <c r="K26"/>
  <c r="A20" i="10"/>
  <c r="A9"/>
  <c r="E7" i="6"/>
  <c r="F7"/>
  <c r="G7"/>
  <c r="H7"/>
  <c r="I7"/>
  <c r="J7"/>
  <c r="K8"/>
  <c r="K9"/>
  <c r="K10"/>
  <c r="K12"/>
  <c r="K13"/>
  <c r="K14"/>
  <c r="K15"/>
  <c r="K16"/>
  <c r="K17"/>
  <c r="K19"/>
  <c r="K21"/>
  <c r="E7" i="1"/>
  <c r="F7"/>
  <c r="G7"/>
  <c r="H7"/>
  <c r="I7"/>
  <c r="J7"/>
  <c r="K8"/>
  <c r="K9"/>
  <c r="K10"/>
  <c r="D11"/>
  <c r="E11"/>
  <c r="F11"/>
  <c r="G11"/>
  <c r="H11"/>
  <c r="I11"/>
  <c r="J11"/>
  <c r="J18"/>
  <c r="K12"/>
  <c r="K13"/>
  <c r="K14"/>
  <c r="K15"/>
  <c r="K16"/>
  <c r="K17"/>
  <c r="G18"/>
  <c r="H18"/>
  <c r="I18"/>
  <c r="K19"/>
  <c r="D22"/>
  <c r="E22"/>
  <c r="F22"/>
  <c r="G22"/>
  <c r="H22"/>
  <c r="I22"/>
  <c r="J22"/>
  <c r="D27" i="4"/>
  <c r="F27"/>
  <c r="K11" i="6"/>
  <c r="K18" i="1"/>
  <c r="K11" l="1"/>
  <c r="K22"/>
  <c r="O22" i="2"/>
  <c r="O15"/>
  <c r="I13" i="5"/>
  <c r="I19" s="1"/>
  <c r="G13"/>
  <c r="G19" s="1"/>
  <c r="H13"/>
  <c r="H19" s="1"/>
  <c r="F13"/>
  <c r="F19" s="1"/>
  <c r="K18" i="6"/>
  <c r="K22"/>
  <c r="J23" i="1"/>
  <c r="I21" i="5" s="1"/>
  <c r="H23" i="1"/>
  <c r="G21" i="5" s="1"/>
  <c r="F23" i="1"/>
  <c r="E21" i="5" s="1"/>
  <c r="E23" i="1"/>
  <c r="D23" i="5" s="1"/>
  <c r="I23" i="1"/>
  <c r="G23"/>
  <c r="D23"/>
  <c r="C21" i="5" s="1"/>
  <c r="H21"/>
  <c r="C19"/>
  <c r="E13"/>
  <c r="K23" i="6"/>
  <c r="G23" i="5" l="1"/>
  <c r="K23" i="1"/>
  <c r="I23" i="5"/>
  <c r="H23"/>
  <c r="F21"/>
  <c r="F23" s="1"/>
  <c r="K13"/>
  <c r="K19" s="1"/>
  <c r="J13"/>
  <c r="J19" s="1"/>
  <c r="E19"/>
  <c r="E23" s="1"/>
  <c r="L13"/>
  <c r="L19" s="1"/>
  <c r="C25" l="1"/>
</calcChain>
</file>

<file path=xl/sharedStrings.xml><?xml version="1.0" encoding="utf-8"?>
<sst xmlns="http://schemas.openxmlformats.org/spreadsheetml/2006/main" count="317" uniqueCount="149">
  <si>
    <t>Total</t>
  </si>
  <si>
    <t>Starts in What FY?</t>
  </si>
  <si>
    <t>Annual Amount</t>
  </si>
  <si>
    <t>One Time Benefit</t>
  </si>
  <si>
    <t>Recurring Benefit</t>
  </si>
  <si>
    <t>One Time Amount</t>
  </si>
  <si>
    <t>Occurs in What FY?</t>
  </si>
  <si>
    <t>Federal Funds</t>
  </si>
  <si>
    <t>Capital Funds--Non IT</t>
  </si>
  <si>
    <t>Capital Funds--IT Bond Funds</t>
  </si>
  <si>
    <t>1) New or Additional Revenue</t>
  </si>
  <si>
    <t>2) Streamlining/Efficiency Gains</t>
  </si>
  <si>
    <t>3) Cost Avoidance</t>
  </si>
  <si>
    <t>Prior Fiscal Years</t>
  </si>
  <si>
    <t>Code</t>
  </si>
  <si>
    <t>Description</t>
  </si>
  <si>
    <t>Subtotal</t>
  </si>
  <si>
    <t>Grand Total</t>
  </si>
  <si>
    <t>(a)</t>
  </si>
  <si>
    <t>(b)</t>
  </si>
  <si>
    <t>FINANCIAL BENEFITS</t>
  </si>
  <si>
    <t>FUNDING SOURCES</t>
  </si>
  <si>
    <t>Project Title</t>
  </si>
  <si>
    <t>Phone</t>
  </si>
  <si>
    <t>Email</t>
  </si>
  <si>
    <t>Project Number</t>
  </si>
  <si>
    <t>Date Submitted</t>
  </si>
  <si>
    <t>Your Name</t>
  </si>
  <si>
    <t>TRANSITION AND ANNUAL OPERATING COSTS</t>
  </si>
  <si>
    <t>Total
All Years</t>
  </si>
  <si>
    <t>Prior Fiscal Years
Actual</t>
  </si>
  <si>
    <t>Financial Benefits</t>
  </si>
  <si>
    <t>Total Development Costs</t>
  </si>
  <si>
    <t>Funding Sources</t>
  </si>
  <si>
    <t>Summarize the anticipated financial benefits to be realized by this project in each of the categories listed.</t>
  </si>
  <si>
    <t>Estimate project costs for relevant expenditure categories by project year, using as many columns as needed to cover the total project duration.</t>
  </si>
  <si>
    <t>Space is provided in the "other" section of the spreadsheet for additional expenditure categories not listed.</t>
  </si>
  <si>
    <t xml:space="preserve">Enter the amount from each funding source to be used for project development/implementation.  Do NOT include funding for ongoing operating costs.  </t>
  </si>
  <si>
    <t xml:space="preserve">Total funding amounts at the bottom of the worksheet should tie out to the Grand Total line in the TOTAL DEVELOPMENT COSTS worksheet.  </t>
  </si>
  <si>
    <t>TOTAL</t>
  </si>
  <si>
    <t>Grand Totals from 
"Total Development Costs" tab</t>
  </si>
  <si>
    <t>Total - All Funding Sources</t>
  </si>
  <si>
    <t>Capital Planning Fiscal Year</t>
  </si>
  <si>
    <t>Status</t>
  </si>
  <si>
    <t>FY</t>
  </si>
  <si>
    <t>TOTAL DEVELOPMENT COSTS</t>
  </si>
  <si>
    <t>GENERAL INSTRUCTIONS</t>
  </si>
  <si>
    <t>A financial benefit may either be one-time or ongoing.  Examples:
  New or Additional Revenue--one time: Grant for which agency becomes eligible by implementing a new process.
  New or Additional Revenue--ongoing: Improved enforcement of tax code; implementation of new licensing fee.
  Streamlining/Efficiency Gains--one time: Consolidation of process allows liquidation of certain assets.
  Streamlining/Efficiency Gains--ongoing: Improved process allows operation with fewer contractors.
  Cost Avoidance--one-time: Implementation of system to achieve compliance avoids penalty.
  Cost Avoidance--ongoing: System to address new mandate eliminates need to hire new staff.</t>
  </si>
  <si>
    <r>
      <t xml:space="preserve">Use this sheet to identify the </t>
    </r>
    <r>
      <rPr>
        <b/>
        <i/>
        <sz val="10"/>
        <color indexed="10"/>
        <rFont val="Arial"/>
        <family val="2"/>
      </rPr>
      <t>TOTAL</t>
    </r>
    <r>
      <rPr>
        <i/>
        <sz val="10"/>
        <rFont val="Arial"/>
        <family val="2"/>
      </rPr>
      <t xml:space="preserve"> project development and implementation costs.</t>
    </r>
  </si>
  <si>
    <t>Obj#</t>
  </si>
  <si>
    <t>CAPITAL DEVELOPMENT COSTS</t>
  </si>
  <si>
    <t>Estimated Costs</t>
  </si>
  <si>
    <t>FIRST FISCAL YEAR OF TRANSITION (YYYY)</t>
  </si>
  <si>
    <t>FIRST FISCAL YEAR OF STEADY STATE OPERATION (YYYY)</t>
  </si>
  <si>
    <t>TRANSITION AND OPERATING COSTS</t>
  </si>
  <si>
    <t>TOTAL DEVELOPMENT &amp; IMPLEMENTATION COSTS</t>
  </si>
  <si>
    <t>CAPITAL DEVELOPMENT &amp; IMPLEMENTATION COSTS</t>
  </si>
  <si>
    <t>Select…</t>
  </si>
  <si>
    <t>Current System Support Costs</t>
  </si>
  <si>
    <r>
      <t xml:space="preserve">In the last column, estimate the costs for all expenses associated with supporting the new application / environment in a steady state operation </t>
    </r>
    <r>
      <rPr>
        <b/>
        <sz val="10"/>
        <rFont val="Arial"/>
        <family val="2"/>
      </rPr>
      <t xml:space="preserve">AFTER </t>
    </r>
    <r>
      <rPr>
        <sz val="10"/>
        <rFont val="Arial"/>
        <family val="2"/>
      </rPr>
      <t>ALL project components have been transitioned to production and the old system, if any, has been decommissioned.</t>
    </r>
  </si>
  <si>
    <t xml:space="preserve"> </t>
  </si>
  <si>
    <t>High Level Operating Pool</t>
  </si>
  <si>
    <t>Environment Operating Costs</t>
  </si>
  <si>
    <t>(i)</t>
  </si>
  <si>
    <t>(j)</t>
  </si>
  <si>
    <t>(k)</t>
  </si>
  <si>
    <t>Capital Development Costs</t>
  </si>
  <si>
    <t>Support Costs (Transition and Annual Operating Costs)</t>
  </si>
  <si>
    <t>Project ID | Instructions (this worksheet)</t>
  </si>
  <si>
    <t>Total Steady State Support Costs should correspond to entry in part II.K of the IB form.</t>
  </si>
  <si>
    <t>OPERATING COSTS Work sheet                        (Current System Cost)</t>
  </si>
  <si>
    <t>PROJECT OBJECTIVES</t>
  </si>
  <si>
    <t>% Allocated to this Environment</t>
  </si>
  <si>
    <t>PROJECT IDENTIFICATION</t>
  </si>
  <si>
    <t>TABLE OF CONTENTS</t>
  </si>
  <si>
    <t>Amounts entered in the Capital Funds--IT Bond Funds row (highlighted) represent your IT capital bond funding request.  These amounts should tie out to the Grand Total line in the CAPITAL DEVELOPMENT COSTS worksheet.</t>
  </si>
  <si>
    <t>Not Started</t>
  </si>
  <si>
    <t xml:space="preserve">   Other</t>
  </si>
  <si>
    <r>
      <t xml:space="preserve">Variance                                         </t>
    </r>
    <r>
      <rPr>
        <b/>
        <i/>
        <sz val="10"/>
        <rFont val="Arial"/>
        <family val="2"/>
      </rPr>
      <t>(Development Cost Totals -
Funding Source Totals)</t>
    </r>
  </si>
  <si>
    <r>
      <t>PLEASE BE ADVISED</t>
    </r>
    <r>
      <rPr>
        <sz val="10"/>
        <rFont val="Arial"/>
        <family val="2"/>
      </rPr>
      <t>: If the user is presented with an error message on this tab, it is because the "Total - All Funding Sources" amount (row 20) for any fiscal year does not equal the "Grand Total" amount for the same fiscal year from the "Total Development Costs" tab.  In order to resolve the error, the user must make sure these numbers are in agreement.</t>
    </r>
  </si>
  <si>
    <t>ENTER INFORMATION HERE TO PRE POPULATE IN ALL TABS</t>
  </si>
  <si>
    <t xml:space="preserve">Enter the first fiscal year of transition.  The transition period begins in the first year that any part of the new system will begin live operation.  Please note that some or all parts of the old system may continue to operate during the transition period.  Implementation of certain large systems may be staged over multiple transition years. 
Enter the first fiscal year of steady state operation.  The transition period ends when the new system is fully implemented and the old system, if any, is decommissioned.  </t>
  </si>
  <si>
    <r>
      <t xml:space="preserve">In each Transition Year column, estimate the costs for all expenses associated with supporting the current </t>
    </r>
    <r>
      <rPr>
        <b/>
        <sz val="10"/>
        <rFont val="Arial"/>
        <family val="2"/>
      </rPr>
      <t>and</t>
    </r>
    <r>
      <rPr>
        <sz val="10"/>
        <rFont val="Arial"/>
        <family val="2"/>
      </rPr>
      <t xml:space="preserve"> new application(s) / environment(s) for each year during which any project component is transitioning to production.  
The spreadsheet allows for up to six transition years.  If the transition period is less than six years, the column labels for unnecessary years will be blanked out.</t>
    </r>
  </si>
  <si>
    <t xml:space="preserve">          OBJECTIVE</t>
  </si>
  <si>
    <t>Enter information in white areas only.  Shaded areas are pre-filled, will be calculated for you, or are for OPM use only.</t>
  </si>
  <si>
    <t>Info. Technology (53700)</t>
  </si>
  <si>
    <t>Salaries and Wages (50010)</t>
  </si>
  <si>
    <t>Salaries &amp; Wages Full Time</t>
  </si>
  <si>
    <t>Salaries &amp; Wages - Contractual</t>
  </si>
  <si>
    <t>Overtime</t>
  </si>
  <si>
    <t>IT Consultant Services</t>
  </si>
  <si>
    <t>IT Data Services</t>
  </si>
  <si>
    <t>IT Hardware Lease/Rental</t>
  </si>
  <si>
    <t>IT Hardware Maint &amp; Support</t>
  </si>
  <si>
    <t>IT Software Licenses/Rental</t>
  </si>
  <si>
    <t>IT Software Maint &amp; Support</t>
  </si>
  <si>
    <t>Capital Outlays - Equipment (55600)</t>
  </si>
  <si>
    <t>Capital-IT Hardware Purch/Inst</t>
  </si>
  <si>
    <t>Capital-Telecomm Equip/Syst</t>
  </si>
  <si>
    <t>Data Processing Equipment</t>
  </si>
  <si>
    <r>
      <t>Instructions for column (i) - (k)</t>
    </r>
    <r>
      <rPr>
        <sz val="10"/>
        <rFont val="Arial"/>
        <family val="2"/>
      </rPr>
      <t xml:space="preserve"> : To be used in the event that financial data is not available for the specific application and/or environment covered in this Investment Brief.  This tool will assist in breaking down costs within this larger more encompassing cost pool.
</t>
    </r>
    <r>
      <rPr>
        <u/>
        <sz val="10"/>
        <rFont val="Arial"/>
        <family val="2"/>
      </rPr>
      <t>Column (i)</t>
    </r>
    <r>
      <rPr>
        <sz val="10"/>
        <rFont val="Arial"/>
        <family val="2"/>
      </rPr>
      <t xml:space="preserve">: High Level Operating Pool – In many cases operating costs are not budgeted to specific application and/or environments.  In these cases you’ll need to use the closest available budget.  Enter amount for each object class/code of the higher level cost pool.
</t>
    </r>
    <r>
      <rPr>
        <u/>
        <sz val="10"/>
        <rFont val="Arial"/>
        <family val="2"/>
      </rPr>
      <t xml:space="preserve">Column (j) </t>
    </r>
    <r>
      <rPr>
        <sz val="10"/>
        <rFont val="Arial"/>
        <family val="2"/>
      </rPr>
      <t xml:space="preserve">: Enter the percentage that represents the portion of operating costs that are to be apportioned to the application and/or environment covered in this Investment Brief.
</t>
    </r>
    <r>
      <rPr>
        <u/>
        <sz val="10"/>
        <rFont val="Arial"/>
        <family val="2"/>
      </rPr>
      <t xml:space="preserve">Column (k) </t>
    </r>
    <r>
      <rPr>
        <sz val="10"/>
        <rFont val="Arial"/>
        <family val="2"/>
      </rPr>
      <t>: Calculates the cost by applicable object class/code to be entered in ‘column (a)'.</t>
    </r>
  </si>
  <si>
    <t>Grand totals should correspond to entries in the online Investment Brief</t>
  </si>
  <si>
    <t>When you are done entering financial benefit amounts, please explain each line item in the space provided in the online Investment Brief.</t>
  </si>
  <si>
    <r>
      <t xml:space="preserve">In column (a), please provide the actual costs for all expenses associated with supporting the current application and/or environment </t>
    </r>
    <r>
      <rPr>
        <b/>
        <sz val="10"/>
        <rFont val="Arial"/>
        <family val="2"/>
      </rPr>
      <t xml:space="preserve">PRIOR </t>
    </r>
    <r>
      <rPr>
        <sz val="10"/>
        <rFont val="Arial"/>
        <family val="2"/>
      </rPr>
      <t xml:space="preserve">to the start of this project.
The major expense categories (Object Codes) that need to be included in this estimate have been listed in each row.  Additional spaces have been provided at the end of the list to include other expenses that are specific to this application/environment.
Your agency finance group should be contacted to provide this cost information.  If your Finance group does not provide application-level cost accounting, then it will be necessary to estimate these costs as a percentage of the whole IT budget for your Agency. Please refer to columns (i) - (k) and provide the necessary details </t>
    </r>
    <r>
      <rPr>
        <b/>
        <sz val="10"/>
        <rFont val="Arial"/>
        <family val="2"/>
      </rPr>
      <t>(See Below for Additional Instructions).</t>
    </r>
  </si>
  <si>
    <t xml:space="preserve">The following worksheets are meant to be used in conjunction with the online Investment Brief (IB) Form.  The IB form will refer you to the appropriate worksheet depending on the context within the IB form. </t>
  </si>
  <si>
    <t>VOIP (Voice over IP telephony) implementation at DEEP</t>
  </si>
  <si>
    <t>2014</t>
  </si>
  <si>
    <t>Special Revenue Funds</t>
  </si>
  <si>
    <t>Restricted Revenue Funds</t>
  </si>
  <si>
    <t>Appropriated Funds</t>
  </si>
  <si>
    <t>Reduce for current trunk lines @ specified facilities &amp; long distance</t>
  </si>
  <si>
    <t>Dennis Thibodeau</t>
  </si>
  <si>
    <t>dennis.thibodeau@ct.gov</t>
  </si>
  <si>
    <r>
      <t xml:space="preserve">Use this sheet to identify the </t>
    </r>
    <r>
      <rPr>
        <i/>
        <sz val="10"/>
        <color rgb="FFFF0000"/>
        <rFont val="Arial"/>
        <family val="2"/>
      </rPr>
      <t xml:space="preserve">ACTUAL </t>
    </r>
    <r>
      <rPr>
        <b/>
        <i/>
        <sz val="10"/>
        <color rgb="FFFF0000"/>
        <rFont val="Arial"/>
        <family val="2"/>
      </rPr>
      <t>TOTAL</t>
    </r>
    <r>
      <rPr>
        <i/>
        <sz val="10"/>
        <rFont val="Arial"/>
        <family val="2"/>
      </rPr>
      <t xml:space="preserve"> project development and implementation costs.</t>
    </r>
  </si>
  <si>
    <t>ACTUAL TOTAL DEVELOPMENT &amp; IMPLEMENTATION COSTS</t>
  </si>
  <si>
    <t xml:space="preserve">FY013 </t>
  </si>
  <si>
    <t>FY014</t>
  </si>
  <si>
    <t>FY015</t>
  </si>
  <si>
    <t>FY016</t>
  </si>
  <si>
    <t>FY017</t>
  </si>
  <si>
    <t>IT Capital Fund</t>
  </si>
  <si>
    <t>(All Funds)</t>
  </si>
  <si>
    <t>Total FY013              Budget</t>
  </si>
  <si>
    <t>Total                NON IT Capital Fund Budget</t>
  </si>
  <si>
    <t>Total                IT Capital Fund Budget</t>
  </si>
  <si>
    <t>Allotment</t>
  </si>
  <si>
    <t>Actual             NON IT Capital Fund</t>
  </si>
  <si>
    <t>Actual              IT Capital Fund</t>
  </si>
  <si>
    <t>PROPOSED FY014 Budget</t>
  </si>
  <si>
    <t>PROPOSED Total NON IT Capital Fund Budget</t>
  </si>
  <si>
    <t>PROPOSED Total IT Capital Fund Budget</t>
  </si>
  <si>
    <t>PROPOSED FY015 Budget</t>
  </si>
  <si>
    <t>PROPOSED FY016 Budget</t>
  </si>
  <si>
    <t>PROPOSED FY017 Budget</t>
  </si>
  <si>
    <t>Total IT Capital Fund Budget</t>
  </si>
  <si>
    <t>Total IT Capital Fund Budget Allotments</t>
  </si>
  <si>
    <t>Total IT Capital Fund (Actual)</t>
  </si>
  <si>
    <t>Allotment Balance</t>
  </si>
  <si>
    <t>Total Budget</t>
  </si>
  <si>
    <t>Budget Balance</t>
  </si>
  <si>
    <t xml:space="preserve">Prior Fiscal years </t>
  </si>
  <si>
    <t>Total Actuals (includes prior fiscal years)</t>
  </si>
  <si>
    <t>DEPA000305001xx</t>
  </si>
  <si>
    <r>
      <rPr>
        <b/>
        <vertAlign val="superscript"/>
        <sz val="10"/>
        <color rgb="FFFF0000"/>
        <rFont val="Arial"/>
        <family val="2"/>
      </rPr>
      <t>*A</t>
    </r>
    <r>
      <rPr>
        <b/>
        <sz val="10"/>
        <rFont val="Arial"/>
        <family val="2"/>
      </rPr>
      <t xml:space="preserve"> 55700</t>
    </r>
  </si>
  <si>
    <r>
      <rPr>
        <b/>
        <vertAlign val="superscript"/>
        <sz val="10"/>
        <color rgb="FFFF0000"/>
        <rFont val="Arial"/>
        <family val="2"/>
      </rPr>
      <t>*B</t>
    </r>
    <r>
      <rPr>
        <b/>
        <sz val="10"/>
        <rFont val="Arial"/>
        <family val="2"/>
      </rPr>
      <t xml:space="preserve"> 55710</t>
    </r>
  </si>
  <si>
    <r>
      <rPr>
        <b/>
        <vertAlign val="superscript"/>
        <sz val="10"/>
        <color rgb="FFFF0000"/>
        <rFont val="Arial"/>
        <family val="2"/>
      </rPr>
      <t>*C</t>
    </r>
    <r>
      <rPr>
        <b/>
        <sz val="10"/>
        <rFont val="Arial"/>
        <family val="2"/>
      </rPr>
      <t xml:space="preserve"> 55730</t>
    </r>
  </si>
  <si>
    <r>
      <rPr>
        <vertAlign val="superscript"/>
        <sz val="10"/>
        <color rgb="FFFF0000"/>
        <rFont val="Arial"/>
        <family val="2"/>
      </rPr>
      <t>*A</t>
    </r>
    <r>
      <rPr>
        <sz val="10"/>
        <rFont val="Arial"/>
        <family val="2"/>
      </rPr>
      <t xml:space="preserve"> - $685,893 currently committed to vendor on PO for goods/services related to infrastructure(VOIP) utilizing a combination of IT Investment bonds, federal funds and other state resources.</t>
    </r>
  </si>
  <si>
    <r>
      <rPr>
        <vertAlign val="superscript"/>
        <sz val="10"/>
        <color rgb="FFFF0000"/>
        <rFont val="Arial"/>
        <family val="2"/>
      </rPr>
      <t>*B</t>
    </r>
    <r>
      <rPr>
        <sz val="10"/>
        <rFont val="Arial"/>
        <family val="2"/>
      </rPr>
      <t xml:space="preserve"> - $863,512 currently committed to vendor on PO for goods/services related to infrastructure(VOIP) utilizing a combination of IT Investment bonds, federal funds and other state resources.</t>
    </r>
  </si>
  <si>
    <r>
      <rPr>
        <vertAlign val="superscript"/>
        <sz val="10"/>
        <color rgb="FFFF0000"/>
        <rFont val="Arial"/>
        <family val="2"/>
      </rPr>
      <t>*C</t>
    </r>
    <r>
      <rPr>
        <sz val="10"/>
        <rFont val="Arial"/>
        <family val="2"/>
      </rPr>
      <t xml:space="preserve"> - $17,830 currently committed to vendor on PO for goods/services related to infrastructure(VOIP) utilizing a combination of IT Investment bonds, federal funds and other state resources.</t>
    </r>
  </si>
</sst>
</file>

<file path=xl/styles.xml><?xml version="1.0" encoding="utf-8"?>
<styleSheet xmlns="http://schemas.openxmlformats.org/spreadsheetml/2006/main">
  <numFmts count="3">
    <numFmt numFmtId="44" formatCode="_(&quot;$&quot;* #,##0.00_);_(&quot;$&quot;* \(#,##0.00\);_(&quot;$&quot;* &quot;-&quot;??_);_(@_)"/>
    <numFmt numFmtId="164" formatCode="&quot;$&quot;#,##0"/>
    <numFmt numFmtId="165" formatCode="[$-409]mmmm\ d\,\ yyyy;@"/>
  </numFmts>
  <fonts count="52">
    <font>
      <sz val="8"/>
      <name val="Verdana"/>
    </font>
    <font>
      <sz val="8"/>
      <name val="Verdana"/>
      <family val="2"/>
    </font>
    <font>
      <b/>
      <sz val="8"/>
      <color indexed="9"/>
      <name val="Arial"/>
      <family val="2"/>
    </font>
    <font>
      <b/>
      <sz val="9"/>
      <color indexed="9"/>
      <name val="Arial"/>
      <family val="2"/>
    </font>
    <font>
      <sz val="9"/>
      <name val="Arial"/>
      <family val="2"/>
    </font>
    <font>
      <b/>
      <sz val="9"/>
      <name val="Arial"/>
      <family val="2"/>
    </font>
    <font>
      <sz val="9"/>
      <color indexed="9"/>
      <name val="Arial"/>
      <family val="2"/>
    </font>
    <font>
      <b/>
      <sz val="10"/>
      <color indexed="9"/>
      <name val="Arial"/>
      <family val="2"/>
    </font>
    <font>
      <sz val="10"/>
      <name val="Arial"/>
      <family val="2"/>
    </font>
    <font>
      <b/>
      <sz val="10"/>
      <name val="Arial"/>
      <family val="2"/>
    </font>
    <font>
      <u/>
      <sz val="10"/>
      <color indexed="12"/>
      <name val="Arial"/>
      <family val="2"/>
    </font>
    <font>
      <b/>
      <u/>
      <sz val="10"/>
      <name val="Arial"/>
      <family val="2"/>
    </font>
    <font>
      <b/>
      <u/>
      <sz val="9"/>
      <color indexed="9"/>
      <name val="Arial"/>
      <family val="2"/>
    </font>
    <font>
      <i/>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b/>
      <sz val="12"/>
      <color indexed="9"/>
      <name val="Arial"/>
      <family val="2"/>
    </font>
    <font>
      <b/>
      <sz val="14"/>
      <color indexed="9"/>
      <name val="Arial"/>
      <family val="2"/>
    </font>
    <font>
      <sz val="9"/>
      <name val="Arial"/>
      <family val="2"/>
    </font>
    <font>
      <b/>
      <i/>
      <sz val="10"/>
      <color indexed="10"/>
      <name val="Arial"/>
      <family val="2"/>
    </font>
    <font>
      <sz val="10"/>
      <color indexed="9"/>
      <name val="Arial"/>
      <family val="2"/>
    </font>
    <font>
      <u/>
      <sz val="10"/>
      <name val="Arial"/>
      <family val="2"/>
    </font>
    <font>
      <b/>
      <i/>
      <sz val="10"/>
      <name val="Arial"/>
      <family val="2"/>
    </font>
    <font>
      <b/>
      <sz val="11"/>
      <color indexed="9"/>
      <name val="Arial"/>
      <family val="2"/>
    </font>
    <font>
      <b/>
      <sz val="13"/>
      <color indexed="9"/>
      <name val="Arial"/>
      <family val="2"/>
    </font>
    <font>
      <b/>
      <sz val="9"/>
      <name val="Arial"/>
      <family val="2"/>
    </font>
    <font>
      <b/>
      <u/>
      <sz val="10"/>
      <color indexed="12"/>
      <name val="Arial"/>
      <family val="2"/>
    </font>
    <font>
      <b/>
      <sz val="8"/>
      <name val="Verdana"/>
      <family val="2"/>
    </font>
    <font>
      <sz val="10"/>
      <color rgb="FF000000"/>
      <name val="Arial"/>
      <family val="2"/>
    </font>
    <font>
      <sz val="8"/>
      <name val="Verdana"/>
      <family val="2"/>
    </font>
    <font>
      <sz val="10"/>
      <name val="Arial Unicode MS"/>
      <family val="2"/>
    </font>
    <font>
      <i/>
      <sz val="10"/>
      <color rgb="FFFF0000"/>
      <name val="Arial"/>
      <family val="2"/>
    </font>
    <font>
      <b/>
      <i/>
      <sz val="10"/>
      <color rgb="FFFF0000"/>
      <name val="Arial"/>
      <family val="2"/>
    </font>
    <font>
      <b/>
      <vertAlign val="superscript"/>
      <sz val="10"/>
      <color rgb="FFFF0000"/>
      <name val="Arial"/>
      <family val="2"/>
    </font>
    <font>
      <vertAlign val="superscript"/>
      <sz val="10"/>
      <color rgb="FFFF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31"/>
        <bgColor indexed="64"/>
      </patternFill>
    </fill>
    <fill>
      <patternFill patternType="solid">
        <fgColor indexed="18"/>
        <bgColor indexed="64"/>
      </patternFill>
    </fill>
    <fill>
      <patternFill patternType="gray0625">
        <bgColor indexed="31"/>
      </patternFill>
    </fill>
    <fill>
      <patternFill patternType="solid">
        <fgColor indexed="43"/>
        <bgColor indexed="64"/>
      </patternFill>
    </fill>
    <fill>
      <patternFill patternType="solid">
        <fgColor indexed="18"/>
        <bgColor indexed="24"/>
      </patternFill>
    </fill>
    <fill>
      <patternFill patternType="solid">
        <fgColor indexed="44"/>
        <bgColor indexed="64"/>
      </patternFill>
    </fill>
    <fill>
      <patternFill patternType="solid">
        <fgColor rgb="FFFFFF00"/>
        <bgColor indexed="64"/>
      </patternFill>
    </fill>
  </fills>
  <borders count="1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9"/>
      </left>
      <right style="thin">
        <color indexed="9"/>
      </right>
      <top style="thin">
        <color indexed="9"/>
      </top>
      <bottom style="thin">
        <color indexed="9"/>
      </bottom>
      <diagonal/>
    </border>
    <border>
      <left/>
      <right/>
      <top/>
      <bottom style="thick">
        <color indexed="18"/>
      </bottom>
      <diagonal/>
    </border>
    <border>
      <left style="thin">
        <color indexed="9"/>
      </left>
      <right style="thin">
        <color indexed="9"/>
      </right>
      <top style="thin">
        <color indexed="9"/>
      </top>
      <bottom style="thick">
        <color indexed="18"/>
      </bottom>
      <diagonal/>
    </border>
    <border>
      <left style="thin">
        <color indexed="64"/>
      </left>
      <right/>
      <top style="thick">
        <color indexed="18"/>
      </top>
      <bottom/>
      <diagonal/>
    </border>
    <border>
      <left/>
      <right style="thin">
        <color indexed="64"/>
      </right>
      <top style="thick">
        <color indexed="18"/>
      </top>
      <bottom/>
      <diagonal/>
    </border>
    <border>
      <left style="thin">
        <color indexed="64"/>
      </left>
      <right/>
      <top/>
      <bottom/>
      <diagonal/>
    </border>
    <border>
      <left style="thin">
        <color indexed="9"/>
      </left>
      <right style="thin">
        <color indexed="64"/>
      </right>
      <top style="thin">
        <color indexed="9"/>
      </top>
      <bottom style="thin">
        <color indexed="9"/>
      </bottom>
      <diagonal/>
    </border>
    <border>
      <left style="thin">
        <color indexed="64"/>
      </left>
      <right/>
      <top/>
      <bottom style="thick">
        <color indexed="18"/>
      </bottom>
      <diagonal/>
    </border>
    <border>
      <left style="thin">
        <color indexed="9"/>
      </left>
      <right style="thin">
        <color indexed="64"/>
      </right>
      <top style="thin">
        <color indexed="9"/>
      </top>
      <bottom style="thick">
        <color indexed="18"/>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9"/>
      </top>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64"/>
      </right>
      <top style="thin">
        <color indexed="9"/>
      </top>
      <bottom/>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9"/>
      </right>
      <top style="thin">
        <color indexed="9"/>
      </top>
      <bottom style="medium">
        <color indexed="9"/>
      </bottom>
      <diagonal/>
    </border>
    <border>
      <left style="thin">
        <color indexed="9"/>
      </left>
      <right style="thin">
        <color indexed="9"/>
      </right>
      <top style="thin">
        <color indexed="9"/>
      </top>
      <bottom style="medium">
        <color indexed="9"/>
      </bottom>
      <diagonal/>
    </border>
    <border>
      <left style="thin">
        <color indexed="9"/>
      </left>
      <right style="thin">
        <color indexed="64"/>
      </right>
      <top style="thin">
        <color indexed="9"/>
      </top>
      <bottom style="medium">
        <color indexed="9"/>
      </bottom>
      <diagonal/>
    </border>
    <border>
      <left style="thin">
        <color indexed="64"/>
      </left>
      <right style="thin">
        <color indexed="64"/>
      </right>
      <top style="thin">
        <color indexed="64"/>
      </top>
      <bottom/>
      <diagonal/>
    </border>
    <border>
      <left style="hair">
        <color indexed="64"/>
      </left>
      <right/>
      <top style="thin">
        <color indexed="64"/>
      </top>
      <bottom style="double">
        <color indexed="64"/>
      </bottom>
      <diagonal/>
    </border>
    <border>
      <left style="thin">
        <color indexed="64"/>
      </left>
      <right style="thin">
        <color indexed="9"/>
      </right>
      <top style="thin">
        <color indexed="9"/>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thin">
        <color indexed="64"/>
      </top>
      <bottom style="hair">
        <color indexed="64"/>
      </bottom>
      <diagonal/>
    </border>
    <border>
      <left/>
      <right style="hair">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9"/>
      </left>
      <right style="hair">
        <color indexed="9"/>
      </right>
      <top/>
      <bottom style="thin">
        <color indexed="64"/>
      </bottom>
      <diagonal/>
    </border>
    <border>
      <left style="hair">
        <color indexed="9"/>
      </left>
      <right style="hair">
        <color indexed="9"/>
      </right>
      <top/>
      <bottom style="thin">
        <color indexed="64"/>
      </bottom>
      <diagonal/>
    </border>
    <border>
      <left style="hair">
        <color indexed="9"/>
      </left>
      <right style="thin">
        <color indexed="64"/>
      </right>
      <top/>
      <bottom style="thin">
        <color indexed="64"/>
      </bottom>
      <diagonal/>
    </border>
    <border>
      <left style="thin">
        <color indexed="64"/>
      </left>
      <right style="thin">
        <color indexed="64"/>
      </right>
      <top style="medium">
        <color indexed="9"/>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9"/>
      </left>
      <right/>
      <top style="thin">
        <color indexed="9"/>
      </top>
      <bottom/>
      <diagonal/>
    </border>
    <border>
      <left style="thin">
        <color indexed="64"/>
      </left>
      <right style="thin">
        <color indexed="64"/>
      </right>
      <top/>
      <bottom style="hair">
        <color indexed="64"/>
      </bottom>
      <diagonal/>
    </border>
    <border>
      <left/>
      <right style="thin">
        <color indexed="9"/>
      </right>
      <top style="thin">
        <color indexed="9"/>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9"/>
      </top>
      <bottom style="hair">
        <color indexed="9"/>
      </bottom>
      <diagonal/>
    </border>
    <border>
      <left/>
      <right style="thin">
        <color indexed="64"/>
      </right>
      <top style="hair">
        <color indexed="9"/>
      </top>
      <bottom style="hair">
        <color indexed="9"/>
      </bottom>
      <diagonal/>
    </border>
    <border>
      <left/>
      <right/>
      <top style="hair">
        <color indexed="9"/>
      </top>
      <bottom style="thin">
        <color indexed="8"/>
      </bottom>
      <diagonal/>
    </border>
    <border>
      <left/>
      <right style="thin">
        <color indexed="64"/>
      </right>
      <top style="hair">
        <color indexed="9"/>
      </top>
      <bottom style="thin">
        <color indexed="8"/>
      </bottom>
      <diagonal/>
    </border>
    <border>
      <left/>
      <right/>
      <top style="thin">
        <color indexed="64"/>
      </top>
      <bottom style="thin">
        <color indexed="64"/>
      </bottom>
      <diagonal/>
    </border>
    <border>
      <left/>
      <right style="thin">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
      <left style="thin">
        <color indexed="64"/>
      </left>
      <right/>
      <top style="thin">
        <color indexed="9"/>
      </top>
      <bottom style="thin">
        <color indexed="9"/>
      </bottom>
      <diagonal/>
    </border>
    <border>
      <left/>
      <right style="thin">
        <color indexed="64"/>
      </right>
      <top style="thin">
        <color indexed="9"/>
      </top>
      <bottom style="thin">
        <color indexed="9"/>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double">
        <color indexed="64"/>
      </top>
      <bottom style="double">
        <color indexed="64"/>
      </bottom>
      <diagonal/>
    </border>
    <border>
      <left style="thin">
        <color indexed="64"/>
      </left>
      <right/>
      <top style="double">
        <color indexed="64"/>
      </top>
      <bottom/>
      <diagonal/>
    </border>
    <border>
      <left style="thick">
        <color indexed="18"/>
      </left>
      <right/>
      <top/>
      <bottom style="thin">
        <color indexed="9"/>
      </bottom>
      <diagonal/>
    </border>
    <border>
      <left/>
      <right/>
      <top/>
      <bottom style="thin">
        <color indexed="9"/>
      </bottom>
      <diagonal/>
    </border>
    <border>
      <left/>
      <right style="thin">
        <color indexed="64"/>
      </right>
      <top/>
      <bottom style="thin">
        <color indexed="9"/>
      </bottom>
      <diagonal/>
    </border>
    <border>
      <left style="thick">
        <color indexed="18"/>
      </left>
      <right/>
      <top style="thin">
        <color indexed="9"/>
      </top>
      <bottom style="thin">
        <color indexed="9"/>
      </bottom>
      <diagonal/>
    </border>
    <border>
      <left/>
      <right/>
      <top style="thin">
        <color indexed="9"/>
      </top>
      <bottom style="thin">
        <color indexed="9"/>
      </bottom>
      <diagonal/>
    </border>
    <border>
      <left style="thick">
        <color indexed="18"/>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64"/>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thin">
        <color indexed="9"/>
      </left>
      <right style="thin">
        <color indexed="64"/>
      </right>
      <top style="thin">
        <color indexed="64"/>
      </top>
      <bottom style="thin">
        <color indexed="9"/>
      </bottom>
      <diagonal/>
    </border>
    <border>
      <left/>
      <right/>
      <top style="thin">
        <color indexed="9"/>
      </top>
      <bottom style="thin">
        <color indexed="64"/>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bottom/>
      <diagonal/>
    </border>
    <border>
      <left style="thin">
        <color indexed="9"/>
      </left>
      <right style="thin">
        <color indexed="9"/>
      </right>
      <top style="thin">
        <color indexed="9"/>
      </top>
      <bottom style="double">
        <color indexed="64"/>
      </bottom>
      <diagonal/>
    </border>
    <border>
      <left/>
      <right style="thin">
        <color indexed="9"/>
      </right>
      <top style="thin">
        <color indexed="9"/>
      </top>
      <bottom style="double">
        <color indexed="64"/>
      </bottom>
      <diagonal/>
    </border>
  </borders>
  <cellStyleXfs count="48">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5" borderId="0" applyNumberFormat="0" applyBorder="0" applyAlignment="0" applyProtection="0"/>
    <xf numFmtId="0" fontId="14" fillId="8" borderId="0" applyNumberFormat="0" applyBorder="0" applyAlignment="0" applyProtection="0"/>
    <xf numFmtId="0" fontId="14" fillId="11" borderId="0" applyNumberFormat="0" applyBorder="0" applyAlignment="0" applyProtection="0"/>
    <xf numFmtId="0" fontId="15" fillId="12"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9" borderId="0" applyNumberFormat="0" applyBorder="0" applyAlignment="0" applyProtection="0"/>
    <xf numFmtId="0" fontId="16" fillId="3" borderId="0" applyNumberFormat="0" applyBorder="0" applyAlignment="0" applyProtection="0"/>
    <xf numFmtId="0" fontId="17" fillId="20" borderId="1" applyNumberFormat="0" applyAlignment="0" applyProtection="0"/>
    <xf numFmtId="0" fontId="18" fillId="21" borderId="2" applyNumberFormat="0" applyAlignment="0" applyProtection="0"/>
    <xf numFmtId="0" fontId="20" fillId="0" borderId="0" applyNumberFormat="0" applyFill="0" applyBorder="0" applyAlignment="0" applyProtection="0"/>
    <xf numFmtId="0" fontId="21" fillId="4" borderId="0" applyNumberFormat="0" applyBorder="0" applyAlignment="0" applyProtection="0"/>
    <xf numFmtId="0" fontId="22" fillId="0" borderId="3" applyNumberFormat="0" applyFill="0" applyAlignment="0" applyProtection="0"/>
    <xf numFmtId="0" fontId="23" fillId="0" borderId="4" applyNumberFormat="0" applyFill="0" applyAlignment="0" applyProtection="0"/>
    <xf numFmtId="0" fontId="24" fillId="0" borderId="5" applyNumberFormat="0" applyFill="0" applyAlignment="0" applyProtection="0"/>
    <xf numFmtId="0" fontId="24" fillId="0" borderId="0" applyNumberFormat="0" applyFill="0" applyBorder="0" applyAlignment="0" applyProtection="0"/>
    <xf numFmtId="0" fontId="10" fillId="0" borderId="0" applyNumberFormat="0" applyFill="0" applyBorder="0" applyAlignment="0" applyProtection="0">
      <alignment vertical="top"/>
      <protection locked="0"/>
    </xf>
    <xf numFmtId="0" fontId="25" fillId="7" borderId="1" applyNumberFormat="0" applyAlignment="0" applyProtection="0"/>
    <xf numFmtId="0" fontId="26" fillId="0" borderId="6" applyNumberFormat="0" applyFill="0" applyAlignment="0" applyProtection="0"/>
    <xf numFmtId="0" fontId="27" fillId="22" borderId="0" applyNumberFormat="0" applyBorder="0" applyAlignment="0" applyProtection="0"/>
    <xf numFmtId="0" fontId="19" fillId="0" borderId="0"/>
    <xf numFmtId="0" fontId="19" fillId="23" borderId="7" applyNumberFormat="0" applyFont="0" applyAlignment="0" applyProtection="0"/>
    <xf numFmtId="0" fontId="28" fillId="20" borderId="8" applyNumberFormat="0" applyAlignment="0" applyProtection="0"/>
    <xf numFmtId="0" fontId="29" fillId="0" borderId="0" applyNumberFormat="0" applyFill="0" applyBorder="0" applyAlignment="0" applyProtection="0"/>
    <xf numFmtId="0" fontId="30" fillId="0" borderId="9" applyNumberFormat="0" applyFill="0" applyAlignment="0" applyProtection="0"/>
    <xf numFmtId="0" fontId="31" fillId="0" borderId="0" applyNumberFormat="0" applyFill="0" applyBorder="0" applyAlignment="0" applyProtection="0"/>
    <xf numFmtId="0" fontId="46" fillId="0" borderId="0"/>
    <xf numFmtId="0" fontId="47" fillId="0" borderId="0"/>
    <xf numFmtId="44" fontId="46" fillId="0" borderId="0" applyFont="0" applyFill="0" applyBorder="0" applyAlignment="0" applyProtection="0"/>
    <xf numFmtId="0" fontId="1" fillId="0" borderId="0"/>
  </cellStyleXfs>
  <cellXfs count="399">
    <xf numFmtId="0" fontId="0" fillId="0" borderId="0" xfId="0"/>
    <xf numFmtId="3" fontId="9" fillId="25" borderId="13" xfId="0" applyNumberFormat="1" applyFont="1" applyFill="1" applyBorder="1" applyAlignment="1" applyProtection="1">
      <alignment horizontal="right" vertical="center" indent="1"/>
    </xf>
    <xf numFmtId="0" fontId="0" fillId="0" borderId="0" xfId="0" applyProtection="1"/>
    <xf numFmtId="3" fontId="9" fillId="25" borderId="14" xfId="0" applyNumberFormat="1" applyFont="1" applyFill="1" applyBorder="1" applyAlignment="1" applyProtection="1">
      <alignment horizontal="right" vertical="center" indent="1"/>
    </xf>
    <xf numFmtId="0" fontId="4" fillId="0" borderId="0" xfId="0" applyFont="1" applyProtection="1"/>
    <xf numFmtId="0" fontId="9" fillId="0" borderId="0" xfId="0" applyFont="1" applyProtection="1"/>
    <xf numFmtId="0" fontId="8" fillId="0" borderId="0" xfId="0" applyFont="1" applyProtection="1"/>
    <xf numFmtId="0" fontId="3" fillId="26" borderId="0" xfId="0" applyFont="1" applyFill="1" applyBorder="1" applyAlignment="1" applyProtection="1">
      <alignment horizontal="right"/>
    </xf>
    <xf numFmtId="0" fontId="3" fillId="26" borderId="21" xfId="0" applyFont="1" applyFill="1" applyBorder="1" applyAlignment="1" applyProtection="1">
      <alignment horizontal="centerContinuous" wrapText="1"/>
    </xf>
    <xf numFmtId="0" fontId="2" fillId="26" borderId="22" xfId="0" applyFont="1" applyFill="1" applyBorder="1" applyAlignment="1" applyProtection="1">
      <alignment horizontal="right"/>
    </xf>
    <xf numFmtId="0" fontId="3" fillId="26" borderId="23" xfId="0" applyFont="1" applyFill="1" applyBorder="1" applyAlignment="1" applyProtection="1">
      <alignment horizontal="center" wrapText="1"/>
    </xf>
    <xf numFmtId="49" fontId="5" fillId="25" borderId="24" xfId="0" applyNumberFormat="1" applyFont="1" applyFill="1" applyBorder="1" applyAlignment="1" applyProtection="1">
      <alignment horizontal="center" vertical="center"/>
    </xf>
    <xf numFmtId="3" fontId="5" fillId="25" borderId="25" xfId="0" applyNumberFormat="1" applyFont="1" applyFill="1" applyBorder="1" applyAlignment="1" applyProtection="1">
      <alignment horizontal="right" vertical="center" indent="1"/>
    </xf>
    <xf numFmtId="0" fontId="4" fillId="0" borderId="0" xfId="0" applyFont="1" applyAlignment="1" applyProtection="1">
      <alignment wrapText="1"/>
    </xf>
    <xf numFmtId="49" fontId="5" fillId="25" borderId="14" xfId="0" applyNumberFormat="1" applyFont="1" applyFill="1" applyBorder="1" applyAlignment="1" applyProtection="1">
      <alignment horizontal="center" vertical="center"/>
    </xf>
    <xf numFmtId="3" fontId="5" fillId="25" borderId="14" xfId="0" applyNumberFormat="1" applyFont="1" applyFill="1" applyBorder="1" applyAlignment="1" applyProtection="1">
      <alignment horizontal="right" vertical="center" indent="1"/>
    </xf>
    <xf numFmtId="0" fontId="12" fillId="26" borderId="26" xfId="0" applyFont="1" applyFill="1" applyBorder="1" applyAlignment="1" applyProtection="1">
      <alignment vertical="top"/>
    </xf>
    <xf numFmtId="0" fontId="3" fillId="26" borderId="27" xfId="0" applyFont="1" applyFill="1" applyBorder="1" applyAlignment="1" applyProtection="1">
      <alignment horizontal="centerContinuous" wrapText="1"/>
    </xf>
    <xf numFmtId="0" fontId="3" fillId="26" borderId="28" xfId="0" applyFont="1" applyFill="1" applyBorder="1" applyAlignment="1" applyProtection="1">
      <alignment horizontal="right"/>
    </xf>
    <xf numFmtId="0" fontId="3" fillId="26" borderId="29" xfId="0" applyFont="1" applyFill="1" applyBorder="1" applyAlignment="1" applyProtection="1">
      <alignment horizontal="center" wrapText="1"/>
    </xf>
    <xf numFmtId="0" fontId="5" fillId="25" borderId="26" xfId="0" applyFont="1" applyFill="1" applyBorder="1" applyAlignment="1" applyProtection="1">
      <alignment vertical="center"/>
    </xf>
    <xf numFmtId="0" fontId="5" fillId="25" borderId="0" xfId="0" applyFont="1" applyFill="1" applyBorder="1" applyAlignment="1" applyProtection="1">
      <alignment vertical="center"/>
    </xf>
    <xf numFmtId="0" fontId="5" fillId="25" borderId="26" xfId="0" applyFont="1" applyFill="1" applyBorder="1" applyAlignment="1" applyProtection="1">
      <alignment vertical="center" wrapText="1"/>
    </xf>
    <xf numFmtId="49" fontId="13" fillId="0" borderId="0" xfId="0" applyNumberFormat="1" applyFont="1" applyAlignment="1" applyProtection="1">
      <alignment vertical="center"/>
    </xf>
    <xf numFmtId="49" fontId="8" fillId="0" borderId="0" xfId="0" applyNumberFormat="1" applyFont="1" applyAlignment="1" applyProtection="1">
      <alignment vertical="center"/>
    </xf>
    <xf numFmtId="0" fontId="8" fillId="0" borderId="0" xfId="0" applyFont="1" applyAlignment="1" applyProtection="1">
      <alignment wrapText="1"/>
    </xf>
    <xf numFmtId="0" fontId="7" fillId="26" borderId="37" xfId="0" applyFont="1" applyFill="1" applyBorder="1" applyAlignment="1" applyProtection="1">
      <alignment horizontal="center"/>
    </xf>
    <xf numFmtId="0" fontId="7" fillId="26" borderId="38" xfId="0" applyFont="1" applyFill="1" applyBorder="1" applyAlignment="1" applyProtection="1">
      <alignment horizontal="center"/>
    </xf>
    <xf numFmtId="0" fontId="7" fillId="26" borderId="39" xfId="0" applyFont="1" applyFill="1" applyBorder="1" applyAlignment="1" applyProtection="1">
      <alignment horizontal="center"/>
    </xf>
    <xf numFmtId="0" fontId="7" fillId="26" borderId="39" xfId="0" applyFont="1" applyFill="1" applyBorder="1" applyAlignment="1" applyProtection="1">
      <alignment horizontal="center" wrapText="1"/>
    </xf>
    <xf numFmtId="0" fontId="7" fillId="26" borderId="40" xfId="0" applyFont="1" applyFill="1" applyBorder="1" applyAlignment="1" applyProtection="1">
      <alignment horizontal="center" wrapText="1"/>
    </xf>
    <xf numFmtId="0" fontId="9" fillId="25" borderId="0" xfId="0" applyFont="1" applyFill="1" applyBorder="1" applyAlignment="1" applyProtection="1">
      <alignment vertical="center"/>
    </xf>
    <xf numFmtId="0" fontId="9" fillId="25" borderId="41" xfId="0" applyFont="1" applyFill="1" applyBorder="1" applyAlignment="1" applyProtection="1">
      <alignment vertical="center"/>
    </xf>
    <xf numFmtId="3" fontId="5" fillId="25" borderId="42" xfId="0" applyNumberFormat="1" applyFont="1" applyFill="1" applyBorder="1" applyAlignment="1" applyProtection="1">
      <alignment horizontal="right" vertical="center" indent="1"/>
    </xf>
    <xf numFmtId="3" fontId="5" fillId="25" borderId="43" xfId="0" applyNumberFormat="1" applyFont="1" applyFill="1" applyBorder="1" applyAlignment="1" applyProtection="1">
      <alignment horizontal="right" vertical="center" indent="1"/>
    </xf>
    <xf numFmtId="3" fontId="5" fillId="25" borderId="44" xfId="0" applyNumberFormat="1" applyFont="1" applyFill="1" applyBorder="1" applyAlignment="1" applyProtection="1">
      <alignment horizontal="right" vertical="center" indent="1"/>
    </xf>
    <xf numFmtId="49" fontId="9" fillId="0" borderId="0" xfId="0" applyNumberFormat="1" applyFont="1" applyAlignment="1" applyProtection="1">
      <alignment vertical="center"/>
    </xf>
    <xf numFmtId="0" fontId="9" fillId="0" borderId="0" xfId="0" applyNumberFormat="1" applyFont="1" applyBorder="1" applyAlignment="1" applyProtection="1">
      <alignment vertical="center" wrapText="1"/>
    </xf>
    <xf numFmtId="0" fontId="0" fillId="0" borderId="0" xfId="0" applyNumberFormat="1" applyBorder="1" applyAlignment="1" applyProtection="1">
      <alignment vertical="center" wrapText="1"/>
    </xf>
    <xf numFmtId="0" fontId="7" fillId="26" borderId="47" xfId="0" applyFont="1" applyFill="1" applyBorder="1" applyAlignment="1" applyProtection="1">
      <alignment horizontal="center"/>
    </xf>
    <xf numFmtId="0" fontId="7" fillId="26" borderId="48" xfId="0" applyFont="1" applyFill="1" applyBorder="1" applyAlignment="1" applyProtection="1">
      <alignment horizontal="center"/>
    </xf>
    <xf numFmtId="0" fontId="7" fillId="26" borderId="48" xfId="0" applyFont="1" applyFill="1" applyBorder="1" applyAlignment="1" applyProtection="1">
      <alignment horizontal="center" wrapText="1"/>
    </xf>
    <xf numFmtId="0" fontId="7" fillId="26" borderId="49" xfId="0" applyFont="1" applyFill="1" applyBorder="1" applyAlignment="1" applyProtection="1">
      <alignment horizontal="center" wrapText="1"/>
    </xf>
    <xf numFmtId="3" fontId="5" fillId="25" borderId="51" xfId="0" applyNumberFormat="1" applyFont="1" applyFill="1" applyBorder="1" applyAlignment="1" applyProtection="1">
      <alignment horizontal="right" vertical="center" indent="1"/>
    </xf>
    <xf numFmtId="0" fontId="9" fillId="25" borderId="14" xfId="0" applyFont="1" applyFill="1" applyBorder="1" applyAlignment="1" applyProtection="1">
      <alignment vertical="center"/>
    </xf>
    <xf numFmtId="3" fontId="8" fillId="0" borderId="0" xfId="0" applyNumberFormat="1" applyFont="1" applyAlignment="1" applyProtection="1">
      <alignment horizontal="right" vertical="center" indent="1"/>
    </xf>
    <xf numFmtId="0" fontId="19" fillId="0" borderId="0" xfId="38" applyAlignment="1" applyProtection="1">
      <alignment horizontal="center"/>
    </xf>
    <xf numFmtId="0" fontId="19" fillId="0" borderId="0" xfId="38" applyProtection="1"/>
    <xf numFmtId="164" fontId="35" fillId="27" borderId="14" xfId="38" applyNumberFormat="1" applyFont="1" applyFill="1" applyBorder="1" applyProtection="1"/>
    <xf numFmtId="0" fontId="8" fillId="0" borderId="0" xfId="0" applyNumberFormat="1" applyFont="1" applyAlignment="1" applyProtection="1">
      <alignment vertical="center"/>
    </xf>
    <xf numFmtId="0" fontId="7" fillId="26" borderId="52" xfId="0" applyFont="1" applyFill="1" applyBorder="1" applyAlignment="1" applyProtection="1">
      <alignment horizontal="left"/>
    </xf>
    <xf numFmtId="0" fontId="7" fillId="26" borderId="21" xfId="0" applyFont="1" applyFill="1" applyBorder="1" applyAlignment="1" applyProtection="1">
      <alignment horizontal="left" vertical="center"/>
    </xf>
    <xf numFmtId="0" fontId="7" fillId="26" borderId="21" xfId="0" applyFont="1" applyFill="1" applyBorder="1" applyAlignment="1" applyProtection="1">
      <alignment horizontal="right"/>
    </xf>
    <xf numFmtId="0" fontId="7" fillId="26" borderId="21" xfId="0" applyFont="1" applyFill="1" applyBorder="1" applyAlignment="1" applyProtection="1">
      <alignment horizontal="center" wrapText="1"/>
    </xf>
    <xf numFmtId="0" fontId="3" fillId="26" borderId="21" xfId="0" applyFont="1" applyFill="1" applyBorder="1" applyAlignment="1" applyProtection="1">
      <alignment horizontal="center" wrapText="1"/>
    </xf>
    <xf numFmtId="0" fontId="3" fillId="26" borderId="27" xfId="0" applyFont="1" applyFill="1" applyBorder="1" applyAlignment="1" applyProtection="1">
      <alignment horizontal="center" wrapText="1"/>
    </xf>
    <xf numFmtId="0" fontId="7" fillId="26" borderId="52" xfId="0" applyFont="1" applyFill="1" applyBorder="1" applyAlignment="1" applyProtection="1">
      <alignment horizontal="center" wrapText="1"/>
    </xf>
    <xf numFmtId="0" fontId="7" fillId="26" borderId="27" xfId="0" applyFont="1" applyFill="1" applyBorder="1" applyAlignment="1" applyProtection="1">
      <alignment horizontal="center" wrapText="1"/>
    </xf>
    <xf numFmtId="0" fontId="7" fillId="26" borderId="53" xfId="0" applyFont="1" applyFill="1" applyBorder="1" applyAlignment="1" applyProtection="1">
      <alignment horizontal="center"/>
    </xf>
    <xf numFmtId="0" fontId="7" fillId="26" borderId="54" xfId="0" applyFont="1" applyFill="1" applyBorder="1" applyAlignment="1" applyProtection="1">
      <alignment horizontal="center"/>
    </xf>
    <xf numFmtId="0" fontId="3" fillId="26" borderId="54" xfId="0" applyFont="1" applyFill="1" applyBorder="1" applyAlignment="1" applyProtection="1">
      <alignment horizontal="center" wrapText="1"/>
    </xf>
    <xf numFmtId="0" fontId="3" fillId="26" borderId="55" xfId="0" applyFont="1" applyFill="1" applyBorder="1" applyAlignment="1" applyProtection="1">
      <alignment horizontal="center" wrapText="1"/>
    </xf>
    <xf numFmtId="0" fontId="4" fillId="0" borderId="0" xfId="0" applyNumberFormat="1" applyFont="1" applyProtection="1"/>
    <xf numFmtId="0" fontId="3" fillId="26" borderId="52" xfId="0" applyFont="1" applyFill="1" applyBorder="1" applyAlignment="1" applyProtection="1">
      <alignment horizontal="center" wrapText="1"/>
    </xf>
    <xf numFmtId="0" fontId="6" fillId="0" borderId="0" xfId="0" applyFont="1" applyProtection="1"/>
    <xf numFmtId="3" fontId="5" fillId="25" borderId="56" xfId="0" applyNumberFormat="1" applyFont="1" applyFill="1" applyBorder="1" applyAlignment="1" applyProtection="1">
      <alignment horizontal="right" vertical="center" indent="1"/>
    </xf>
    <xf numFmtId="0" fontId="5" fillId="25" borderId="59" xfId="0" applyFont="1" applyFill="1" applyBorder="1" applyAlignment="1" applyProtection="1">
      <alignment vertical="center" wrapText="1"/>
    </xf>
    <xf numFmtId="49" fontId="5" fillId="25" borderId="15" xfId="0" applyNumberFormat="1" applyFont="1" applyFill="1" applyBorder="1" applyAlignment="1" applyProtection="1">
      <alignment horizontal="center" vertical="center"/>
    </xf>
    <xf numFmtId="3" fontId="5" fillId="25" borderId="18" xfId="0" applyNumberFormat="1" applyFont="1" applyFill="1" applyBorder="1" applyAlignment="1" applyProtection="1">
      <alignment horizontal="right" vertical="center" indent="1"/>
    </xf>
    <xf numFmtId="49" fontId="5" fillId="25" borderId="60" xfId="0" applyNumberFormat="1" applyFont="1" applyFill="1" applyBorder="1" applyAlignment="1" applyProtection="1">
      <alignment horizontal="center" vertical="center"/>
    </xf>
    <xf numFmtId="3" fontId="5" fillId="25" borderId="61" xfId="0" applyNumberFormat="1" applyFont="1" applyFill="1" applyBorder="1" applyAlignment="1" applyProtection="1">
      <alignment horizontal="right" vertical="center" indent="1"/>
    </xf>
    <xf numFmtId="0" fontId="7" fillId="0" borderId="0" xfId="0" applyFont="1" applyFill="1" applyBorder="1" applyAlignment="1" applyProtection="1">
      <alignment vertical="center"/>
    </xf>
    <xf numFmtId="49" fontId="7" fillId="24" borderId="0" xfId="0" applyNumberFormat="1" applyFont="1" applyFill="1" applyBorder="1" applyAlignment="1" applyProtection="1">
      <alignment vertical="center"/>
    </xf>
    <xf numFmtId="49" fontId="7" fillId="0" borderId="0" xfId="0" applyNumberFormat="1" applyFont="1" applyFill="1" applyBorder="1" applyAlignment="1" applyProtection="1">
      <alignment vertical="center"/>
    </xf>
    <xf numFmtId="49" fontId="7" fillId="0" borderId="0" xfId="0" applyNumberFormat="1" applyFont="1" applyBorder="1" applyAlignment="1" applyProtection="1">
      <alignment vertical="center"/>
    </xf>
    <xf numFmtId="49" fontId="9" fillId="0" borderId="0" xfId="0" applyNumberFormat="1" applyFont="1" applyBorder="1" applyAlignment="1" applyProtection="1">
      <alignment vertical="center"/>
    </xf>
    <xf numFmtId="0" fontId="11" fillId="25" borderId="26" xfId="0" applyFont="1" applyFill="1" applyBorder="1" applyAlignment="1" applyProtection="1">
      <alignment vertical="center" wrapText="1"/>
    </xf>
    <xf numFmtId="0" fontId="9" fillId="24" borderId="26" xfId="0" applyNumberFormat="1" applyFont="1" applyFill="1" applyBorder="1" applyAlignment="1" applyProtection="1">
      <alignment horizontal="left" vertical="center" wrapText="1"/>
    </xf>
    <xf numFmtId="0" fontId="9" fillId="24" borderId="0" xfId="0" applyNumberFormat="1" applyFont="1" applyFill="1" applyBorder="1" applyAlignment="1" applyProtection="1">
      <alignment horizontal="left" vertical="center" wrapText="1"/>
    </xf>
    <xf numFmtId="3" fontId="9" fillId="24" borderId="0" xfId="0" applyNumberFormat="1" applyFont="1" applyFill="1" applyBorder="1" applyAlignment="1" applyProtection="1">
      <alignment horizontal="right" vertical="center" indent="1"/>
    </xf>
    <xf numFmtId="0" fontId="9" fillId="24" borderId="0" xfId="0" applyFont="1" applyFill="1" applyProtection="1"/>
    <xf numFmtId="3" fontId="9" fillId="24" borderId="0" xfId="0" applyNumberFormat="1" applyFont="1" applyFill="1" applyProtection="1"/>
    <xf numFmtId="3" fontId="9" fillId="25" borderId="63" xfId="0" applyNumberFormat="1" applyFont="1" applyFill="1" applyBorder="1" applyAlignment="1" applyProtection="1">
      <alignment horizontal="right" vertical="center" indent="1"/>
    </xf>
    <xf numFmtId="3" fontId="9" fillId="25" borderId="64" xfId="0" applyNumberFormat="1" applyFont="1" applyFill="1" applyBorder="1" applyAlignment="1" applyProtection="1">
      <alignment horizontal="right" vertical="center" indent="1"/>
    </xf>
    <xf numFmtId="3" fontId="9" fillId="25" borderId="10" xfId="0" applyNumberFormat="1" applyFont="1" applyFill="1" applyBorder="1" applyAlignment="1" applyProtection="1">
      <alignment horizontal="right" vertical="center" indent="1"/>
    </xf>
    <xf numFmtId="3" fontId="9" fillId="25" borderId="18" xfId="0" applyNumberFormat="1" applyFont="1" applyFill="1" applyBorder="1" applyAlignment="1" applyProtection="1">
      <alignment horizontal="right" vertical="center" indent="1"/>
    </xf>
    <xf numFmtId="3" fontId="9" fillId="25" borderId="65" xfId="0" applyNumberFormat="1" applyFont="1" applyFill="1" applyBorder="1" applyAlignment="1" applyProtection="1">
      <alignment horizontal="right" vertical="center" indent="1"/>
    </xf>
    <xf numFmtId="3" fontId="9" fillId="25" borderId="66" xfId="0" applyNumberFormat="1" applyFont="1" applyFill="1" applyBorder="1" applyAlignment="1" applyProtection="1">
      <alignment horizontal="right" vertical="center" indent="1"/>
    </xf>
    <xf numFmtId="3" fontId="9" fillId="25" borderId="67" xfId="0" applyNumberFormat="1" applyFont="1" applyFill="1" applyBorder="1" applyAlignment="1" applyProtection="1">
      <alignment horizontal="right" vertical="center" indent="1"/>
    </xf>
    <xf numFmtId="3" fontId="9" fillId="25" borderId="30" xfId="0" applyNumberFormat="1" applyFont="1" applyFill="1" applyBorder="1" applyAlignment="1" applyProtection="1">
      <alignment horizontal="right" vertical="center" indent="1"/>
    </xf>
    <xf numFmtId="3" fontId="9" fillId="25" borderId="68" xfId="0" applyNumberFormat="1" applyFont="1" applyFill="1" applyBorder="1" applyAlignment="1" applyProtection="1">
      <alignment horizontal="right" vertical="center" indent="1"/>
    </xf>
    <xf numFmtId="0" fontId="11" fillId="25" borderId="0" xfId="0" applyFont="1" applyFill="1" applyBorder="1" applyAlignment="1" applyProtection="1">
      <alignment vertical="center" wrapText="1"/>
    </xf>
    <xf numFmtId="3" fontId="9" fillId="28" borderId="10" xfId="0" applyNumberFormat="1" applyFont="1" applyFill="1" applyBorder="1" applyAlignment="1" applyProtection="1">
      <alignment horizontal="right" vertical="center" indent="1"/>
    </xf>
    <xf numFmtId="0" fontId="19" fillId="25" borderId="69" xfId="38" applyFill="1" applyBorder="1" applyAlignment="1" applyProtection="1">
      <alignment horizontal="center" wrapText="1"/>
    </xf>
    <xf numFmtId="0" fontId="19" fillId="25" borderId="63" xfId="38" applyFill="1" applyBorder="1" applyAlignment="1" applyProtection="1">
      <alignment horizontal="center" wrapText="1"/>
    </xf>
    <xf numFmtId="164" fontId="19" fillId="27" borderId="63" xfId="38" applyNumberFormat="1" applyFill="1" applyBorder="1" applyAlignment="1" applyProtection="1">
      <alignment wrapText="1"/>
    </xf>
    <xf numFmtId="164" fontId="19" fillId="0" borderId="64" xfId="38" applyNumberFormat="1" applyFill="1" applyBorder="1" applyAlignment="1" applyProtection="1">
      <alignment horizontal="center" wrapText="1"/>
      <protection locked="0"/>
    </xf>
    <xf numFmtId="0" fontId="19" fillId="25" borderId="15" xfId="38" applyFill="1" applyBorder="1" applyAlignment="1" applyProtection="1">
      <alignment horizontal="center" wrapText="1"/>
    </xf>
    <xf numFmtId="0" fontId="19" fillId="25" borderId="10" xfId="38" applyFill="1" applyBorder="1" applyAlignment="1" applyProtection="1">
      <alignment horizontal="center" wrapText="1"/>
    </xf>
    <xf numFmtId="164" fontId="19" fillId="0" borderId="10" xfId="38" applyNumberFormat="1" applyFont="1" applyFill="1" applyBorder="1" applyAlignment="1" applyProtection="1">
      <alignment horizontal="left" wrapText="1"/>
      <protection locked="0"/>
    </xf>
    <xf numFmtId="164" fontId="19" fillId="27" borderId="10" xfId="38" applyNumberFormat="1" applyFill="1" applyBorder="1" applyAlignment="1" applyProtection="1">
      <alignment wrapText="1"/>
    </xf>
    <xf numFmtId="164" fontId="19" fillId="0" borderId="18" xfId="38" applyNumberFormat="1" applyFont="1" applyFill="1" applyBorder="1" applyAlignment="1" applyProtection="1">
      <alignment horizontal="center" wrapText="1"/>
      <protection locked="0"/>
    </xf>
    <xf numFmtId="164" fontId="19" fillId="0" borderId="10" xfId="38" applyNumberFormat="1" applyFont="1" applyFill="1" applyBorder="1" applyAlignment="1" applyProtection="1">
      <alignment wrapText="1"/>
      <protection locked="0"/>
    </xf>
    <xf numFmtId="0" fontId="19" fillId="25" borderId="34" xfId="38" applyFill="1" applyBorder="1" applyAlignment="1" applyProtection="1">
      <alignment horizontal="center" wrapText="1"/>
    </xf>
    <xf numFmtId="0" fontId="19" fillId="25" borderId="35" xfId="38" applyFill="1" applyBorder="1" applyAlignment="1" applyProtection="1">
      <alignment horizontal="center" wrapText="1"/>
    </xf>
    <xf numFmtId="164" fontId="19" fillId="27" borderId="35" xfId="38" applyNumberFormat="1" applyFill="1" applyBorder="1" applyAlignment="1" applyProtection="1">
      <alignment wrapText="1"/>
    </xf>
    <xf numFmtId="164" fontId="19" fillId="0" borderId="70" xfId="38" applyNumberFormat="1" applyFont="1" applyFill="1" applyBorder="1" applyAlignment="1" applyProtection="1">
      <alignment horizontal="center" wrapText="1"/>
      <protection locked="0"/>
    </xf>
    <xf numFmtId="164" fontId="19" fillId="0" borderId="63" xfId="38" applyNumberFormat="1" applyFont="1" applyBorder="1" applyAlignment="1" applyProtection="1">
      <alignment wrapText="1"/>
      <protection locked="0"/>
    </xf>
    <xf numFmtId="164" fontId="19" fillId="0" borderId="64" xfId="38" applyNumberFormat="1" applyBorder="1" applyAlignment="1" applyProtection="1">
      <alignment horizontal="center" wrapText="1"/>
      <protection locked="0"/>
    </xf>
    <xf numFmtId="164" fontId="19" fillId="0" borderId="18" xfId="38" applyNumberFormat="1" applyBorder="1" applyAlignment="1" applyProtection="1">
      <alignment horizontal="center" wrapText="1"/>
      <protection locked="0"/>
    </xf>
    <xf numFmtId="164" fontId="19" fillId="0" borderId="10" xfId="38" applyNumberFormat="1" applyFont="1" applyBorder="1" applyAlignment="1" applyProtection="1">
      <alignment wrapText="1"/>
      <protection locked="0"/>
    </xf>
    <xf numFmtId="0" fontId="19" fillId="25" borderId="71" xfId="38" applyFill="1" applyBorder="1" applyAlignment="1" applyProtection="1">
      <alignment horizontal="center" wrapText="1"/>
    </xf>
    <xf numFmtId="0" fontId="19" fillId="25" borderId="65" xfId="38" applyFill="1" applyBorder="1" applyAlignment="1" applyProtection="1">
      <alignment horizontal="center" wrapText="1"/>
    </xf>
    <xf numFmtId="164" fontId="19" fillId="0" borderId="65" xfId="38" applyNumberFormat="1" applyFont="1" applyBorder="1" applyAlignment="1" applyProtection="1">
      <alignment wrapText="1"/>
      <protection locked="0"/>
    </xf>
    <xf numFmtId="164" fontId="19" fillId="0" borderId="66" xfId="38" applyNumberFormat="1" applyBorder="1" applyAlignment="1" applyProtection="1">
      <alignment horizontal="center" wrapText="1"/>
      <protection locked="0"/>
    </xf>
    <xf numFmtId="0" fontId="19" fillId="0" borderId="69" xfId="38" applyBorder="1" applyAlignment="1" applyProtection="1">
      <alignment horizontal="center" wrapText="1"/>
      <protection locked="0"/>
    </xf>
    <xf numFmtId="0" fontId="19" fillId="0" borderId="63" xfId="38" applyBorder="1" applyAlignment="1" applyProtection="1">
      <alignment horizontal="center" wrapText="1"/>
      <protection locked="0"/>
    </xf>
    <xf numFmtId="164" fontId="19" fillId="0" borderId="63" xfId="38" applyNumberFormat="1" applyFont="1" applyFill="1" applyBorder="1" applyAlignment="1" applyProtection="1">
      <alignment horizontal="left" wrapText="1"/>
      <protection locked="0"/>
    </xf>
    <xf numFmtId="0" fontId="19" fillId="0" borderId="15" xfId="38" applyBorder="1" applyAlignment="1" applyProtection="1">
      <alignment horizontal="center" wrapText="1"/>
      <protection locked="0"/>
    </xf>
    <xf numFmtId="0" fontId="19" fillId="0" borderId="10" xfId="38" applyBorder="1" applyAlignment="1" applyProtection="1">
      <alignment horizontal="center" wrapText="1"/>
      <protection locked="0"/>
    </xf>
    <xf numFmtId="164" fontId="19" fillId="0" borderId="10" xfId="38" applyNumberFormat="1" applyBorder="1" applyAlignment="1" applyProtection="1">
      <alignment wrapText="1"/>
      <protection locked="0"/>
    </xf>
    <xf numFmtId="0" fontId="19" fillId="0" borderId="71" xfId="38" applyBorder="1" applyAlignment="1" applyProtection="1">
      <alignment horizontal="center" wrapText="1"/>
      <protection locked="0"/>
    </xf>
    <xf numFmtId="0" fontId="19" fillId="0" borderId="65" xfId="38" applyBorder="1" applyAlignment="1" applyProtection="1">
      <alignment horizontal="center" wrapText="1"/>
      <protection locked="0"/>
    </xf>
    <xf numFmtId="164" fontId="19" fillId="0" borderId="65" xfId="38" applyNumberFormat="1" applyBorder="1" applyAlignment="1" applyProtection="1">
      <alignment wrapText="1"/>
      <protection locked="0"/>
    </xf>
    <xf numFmtId="0" fontId="8" fillId="0" borderId="0" xfId="0" applyFont="1" applyAlignment="1" applyProtection="1">
      <alignment vertical="center"/>
    </xf>
    <xf numFmtId="0" fontId="9" fillId="0" borderId="0" xfId="0" applyFont="1" applyAlignment="1" applyProtection="1">
      <alignment vertical="center"/>
    </xf>
    <xf numFmtId="0" fontId="7" fillId="26" borderId="73" xfId="0" applyFont="1" applyFill="1" applyBorder="1" applyAlignment="1" applyProtection="1">
      <alignment vertical="top"/>
    </xf>
    <xf numFmtId="0" fontId="7" fillId="26" borderId="74" xfId="0" applyFont="1" applyFill="1" applyBorder="1" applyAlignment="1" applyProtection="1">
      <alignment horizontal="left"/>
    </xf>
    <xf numFmtId="0" fontId="7" fillId="26" borderId="75" xfId="0" applyFont="1" applyFill="1" applyBorder="1" applyAlignment="1" applyProtection="1">
      <alignment horizontal="center" wrapText="1"/>
    </xf>
    <xf numFmtId="0" fontId="7" fillId="26" borderId="76" xfId="0" applyFont="1" applyFill="1" applyBorder="1" applyAlignment="1" applyProtection="1">
      <alignment horizontal="center" wrapText="1"/>
    </xf>
    <xf numFmtId="0" fontId="7" fillId="26" borderId="77" xfId="0" applyFont="1" applyFill="1" applyBorder="1" applyAlignment="1" applyProtection="1">
      <alignment horizontal="center" wrapText="1"/>
    </xf>
    <xf numFmtId="3" fontId="42" fillId="0" borderId="63" xfId="38" applyNumberFormat="1" applyFont="1" applyFill="1" applyBorder="1" applyAlignment="1" applyProtection="1">
      <alignment wrapText="1"/>
      <protection locked="0"/>
    </xf>
    <xf numFmtId="3" fontId="42" fillId="0" borderId="10" xfId="38" applyNumberFormat="1" applyFont="1" applyFill="1" applyBorder="1" applyAlignment="1" applyProtection="1">
      <alignment wrapText="1"/>
      <protection locked="0"/>
    </xf>
    <xf numFmtId="3" fontId="42" fillId="0" borderId="65" xfId="38" applyNumberFormat="1" applyFont="1" applyFill="1" applyBorder="1" applyAlignment="1" applyProtection="1">
      <alignment wrapText="1"/>
      <protection locked="0"/>
    </xf>
    <xf numFmtId="3" fontId="42" fillId="24" borderId="63" xfId="38" applyNumberFormat="1" applyFont="1" applyFill="1" applyBorder="1" applyAlignment="1" applyProtection="1">
      <alignment wrapText="1"/>
      <protection locked="0"/>
    </xf>
    <xf numFmtId="3" fontId="42" fillId="24" borderId="10" xfId="38" applyNumberFormat="1" applyFont="1" applyFill="1" applyBorder="1" applyAlignment="1" applyProtection="1">
      <alignment wrapText="1"/>
      <protection locked="0"/>
    </xf>
    <xf numFmtId="3" fontId="42" fillId="24" borderId="65" xfId="38" applyNumberFormat="1" applyFont="1" applyFill="1" applyBorder="1" applyAlignment="1" applyProtection="1">
      <alignment wrapText="1"/>
      <protection locked="0"/>
    </xf>
    <xf numFmtId="0" fontId="19" fillId="0" borderId="63" xfId="38" applyNumberFormat="1" applyFont="1" applyFill="1" applyBorder="1" applyAlignment="1" applyProtection="1">
      <alignment wrapText="1"/>
      <protection locked="0"/>
    </xf>
    <xf numFmtId="0" fontId="19" fillId="0" borderId="10" xfId="38" applyNumberFormat="1" applyFont="1" applyFill="1" applyBorder="1" applyAlignment="1" applyProtection="1">
      <alignment horizontal="left" wrapText="1"/>
      <protection locked="0"/>
    </xf>
    <xf numFmtId="0" fontId="19" fillId="0" borderId="10" xfId="38" applyNumberFormat="1" applyFont="1" applyFill="1" applyBorder="1" applyAlignment="1" applyProtection="1">
      <alignment wrapText="1"/>
      <protection locked="0"/>
    </xf>
    <xf numFmtId="0" fontId="19" fillId="0" borderId="35" xfId="38" applyNumberFormat="1" applyFont="1" applyFill="1" applyBorder="1" applyAlignment="1" applyProtection="1">
      <alignment wrapText="1"/>
      <protection locked="0"/>
    </xf>
    <xf numFmtId="3" fontId="5" fillId="25" borderId="17" xfId="0" applyNumberFormat="1" applyFont="1" applyFill="1" applyBorder="1" applyAlignment="1" applyProtection="1">
      <alignment horizontal="right" vertical="center" indent="1"/>
    </xf>
    <xf numFmtId="164" fontId="19" fillId="27" borderId="14" xfId="38" applyNumberFormat="1" applyFill="1" applyBorder="1" applyAlignment="1" applyProtection="1">
      <alignment wrapText="1"/>
    </xf>
    <xf numFmtId="164" fontId="19" fillId="27" borderId="44" xfId="38" applyNumberFormat="1" applyFill="1" applyBorder="1" applyAlignment="1" applyProtection="1">
      <alignment wrapText="1"/>
    </xf>
    <xf numFmtId="3" fontId="5" fillId="25" borderId="78" xfId="0" applyNumberFormat="1" applyFont="1" applyFill="1" applyBorder="1" applyAlignment="1" applyProtection="1">
      <alignment horizontal="right" vertical="center" indent="1"/>
    </xf>
    <xf numFmtId="3" fontId="5" fillId="25" borderId="36" xfId="0" applyNumberFormat="1" applyFont="1" applyFill="1" applyBorder="1" applyAlignment="1" applyProtection="1">
      <alignment horizontal="right" vertical="center" indent="1"/>
    </xf>
    <xf numFmtId="3" fontId="5" fillId="25" borderId="79" xfId="0" applyNumberFormat="1" applyFont="1" applyFill="1" applyBorder="1" applyAlignment="1" applyProtection="1">
      <alignment horizontal="right" vertical="center" indent="1"/>
    </xf>
    <xf numFmtId="3" fontId="5" fillId="25" borderId="80" xfId="0" applyNumberFormat="1" applyFont="1" applyFill="1" applyBorder="1" applyAlignment="1" applyProtection="1">
      <alignment horizontal="right" vertical="center" indent="1"/>
    </xf>
    <xf numFmtId="3" fontId="5" fillId="25" borderId="81" xfId="0" applyNumberFormat="1" applyFont="1" applyFill="1" applyBorder="1" applyAlignment="1" applyProtection="1">
      <alignment horizontal="right" vertical="center" indent="1"/>
    </xf>
    <xf numFmtId="3" fontId="5" fillId="25" borderId="70" xfId="0" applyNumberFormat="1" applyFont="1" applyFill="1" applyBorder="1" applyAlignment="1" applyProtection="1">
      <alignment horizontal="right" vertical="center" indent="1"/>
    </xf>
    <xf numFmtId="49" fontId="5" fillId="25" borderId="30" xfId="0" applyNumberFormat="1" applyFont="1" applyFill="1" applyBorder="1" applyAlignment="1" applyProtection="1">
      <alignment horizontal="center" vertical="center"/>
    </xf>
    <xf numFmtId="0" fontId="40" fillId="29" borderId="39" xfId="38" applyFont="1" applyFill="1" applyBorder="1" applyAlignment="1" applyProtection="1">
      <alignment horizontal="center" vertical="center"/>
    </xf>
    <xf numFmtId="0" fontId="40" fillId="29" borderId="39" xfId="38" applyFont="1" applyFill="1" applyBorder="1" applyAlignment="1" applyProtection="1">
      <alignment horizontal="center" vertical="center" wrapText="1"/>
    </xf>
    <xf numFmtId="0" fontId="40" fillId="29" borderId="82" xfId="38" applyFont="1" applyFill="1" applyBorder="1" applyAlignment="1" applyProtection="1">
      <alignment horizontal="center" vertical="center" wrapText="1"/>
    </xf>
    <xf numFmtId="3" fontId="5" fillId="25" borderId="14" xfId="38" applyNumberFormat="1" applyFont="1" applyFill="1" applyBorder="1" applyAlignment="1" applyProtection="1"/>
    <xf numFmtId="0" fontId="40" fillId="0" borderId="0" xfId="38" applyFont="1" applyFill="1" applyBorder="1" applyAlignment="1" applyProtection="1">
      <alignment horizontal="center" vertical="center"/>
    </xf>
    <xf numFmtId="0" fontId="40" fillId="0" borderId="0" xfId="38" applyFont="1" applyFill="1" applyBorder="1" applyAlignment="1" applyProtection="1">
      <alignment horizontal="center" vertical="center" wrapText="1"/>
    </xf>
    <xf numFmtId="0" fontId="40" fillId="29" borderId="84" xfId="38" applyFont="1" applyFill="1" applyBorder="1" applyAlignment="1" applyProtection="1">
      <alignment horizontal="center" vertical="center"/>
    </xf>
    <xf numFmtId="0" fontId="44" fillId="0" borderId="0" xfId="0" applyFont="1" applyBorder="1" applyProtection="1"/>
    <xf numFmtId="3" fontId="5" fillId="25" borderId="87" xfId="0" applyNumberFormat="1" applyFont="1" applyFill="1" applyBorder="1" applyAlignment="1" applyProtection="1">
      <alignment horizontal="right" vertical="center" indent="1"/>
    </xf>
    <xf numFmtId="3" fontId="5" fillId="25" borderId="133" xfId="0" applyNumberFormat="1" applyFont="1" applyFill="1" applyBorder="1" applyAlignment="1" applyProtection="1">
      <alignment horizontal="right" vertical="center" indent="1"/>
    </xf>
    <xf numFmtId="0" fontId="8" fillId="0" borderId="0" xfId="47" applyFont="1" applyProtection="1"/>
    <xf numFmtId="49" fontId="13" fillId="0" borderId="0" xfId="47" applyNumberFormat="1" applyFont="1" applyAlignment="1" applyProtection="1">
      <alignment vertical="center"/>
    </xf>
    <xf numFmtId="49" fontId="8" fillId="0" borderId="0" xfId="47" applyNumberFormat="1" applyFont="1" applyAlignment="1" applyProtection="1">
      <alignment vertical="center"/>
    </xf>
    <xf numFmtId="0" fontId="7" fillId="26" borderId="101" xfId="47" applyFont="1" applyFill="1" applyBorder="1" applyAlignment="1" applyProtection="1">
      <alignment horizontal="center" wrapText="1"/>
    </xf>
    <xf numFmtId="0" fontId="7" fillId="26" borderId="102" xfId="47" applyFont="1" applyFill="1" applyBorder="1" applyAlignment="1" applyProtection="1">
      <alignment horizontal="center" wrapText="1"/>
    </xf>
    <xf numFmtId="0" fontId="8" fillId="0" borderId="0" xfId="47" applyFont="1" applyAlignment="1" applyProtection="1">
      <alignment wrapText="1"/>
    </xf>
    <xf numFmtId="0" fontId="7" fillId="26" borderId="37" xfId="47" applyFont="1" applyFill="1" applyBorder="1" applyAlignment="1" applyProtection="1">
      <alignment horizontal="center"/>
    </xf>
    <xf numFmtId="0" fontId="7" fillId="26" borderId="38" xfId="47" applyFont="1" applyFill="1" applyBorder="1" applyAlignment="1" applyProtection="1">
      <alignment horizontal="center"/>
    </xf>
    <xf numFmtId="0" fontId="7" fillId="26" borderId="39" xfId="47" applyFont="1" applyFill="1" applyBorder="1" applyAlignment="1" applyProtection="1">
      <alignment horizontal="center"/>
    </xf>
    <xf numFmtId="0" fontId="7" fillId="26" borderId="82" xfId="47" applyFont="1" applyFill="1" applyBorder="1" applyAlignment="1" applyProtection="1">
      <alignment horizontal="center" wrapText="1"/>
    </xf>
    <xf numFmtId="0" fontId="7" fillId="26" borderId="136" xfId="47" applyFont="1" applyFill="1" applyBorder="1" applyAlignment="1" applyProtection="1">
      <alignment horizontal="center" wrapText="1"/>
    </xf>
    <xf numFmtId="0" fontId="7" fillId="26" borderId="137" xfId="47" applyFont="1" applyFill="1" applyBorder="1" applyAlignment="1" applyProtection="1">
      <alignment horizontal="center" wrapText="1"/>
    </xf>
    <xf numFmtId="0" fontId="7" fillId="26" borderId="138" xfId="47" applyFont="1" applyFill="1" applyBorder="1" applyAlignment="1" applyProtection="1">
      <alignment horizontal="center" wrapText="1"/>
    </xf>
    <xf numFmtId="0" fontId="7" fillId="26" borderId="40" xfId="47" applyFont="1" applyFill="1" applyBorder="1" applyAlignment="1" applyProtection="1">
      <alignment horizontal="center" wrapText="1"/>
    </xf>
    <xf numFmtId="0" fontId="9" fillId="25" borderId="0" xfId="47" applyFont="1" applyFill="1" applyBorder="1" applyAlignment="1" applyProtection="1">
      <alignment vertical="center"/>
    </xf>
    <xf numFmtId="3" fontId="5" fillId="25" borderId="13" xfId="47" applyNumberFormat="1" applyFont="1" applyFill="1" applyBorder="1" applyAlignment="1" applyProtection="1">
      <alignment horizontal="right" vertical="center" indent="1"/>
    </xf>
    <xf numFmtId="3" fontId="5" fillId="31" borderId="12" xfId="47" applyNumberFormat="1" applyFont="1" applyFill="1" applyBorder="1" applyAlignment="1" applyProtection="1">
      <alignment horizontal="right" vertical="center" indent="1"/>
      <protection locked="0"/>
    </xf>
    <xf numFmtId="3" fontId="5" fillId="24" borderId="12" xfId="47" applyNumberFormat="1" applyFont="1" applyFill="1" applyBorder="1" applyAlignment="1" applyProtection="1">
      <alignment horizontal="right" vertical="center" indent="1"/>
    </xf>
    <xf numFmtId="0" fontId="9" fillId="25" borderId="41" xfId="47" applyFont="1" applyFill="1" applyBorder="1" applyAlignment="1" applyProtection="1">
      <alignment vertical="center"/>
    </xf>
    <xf numFmtId="3" fontId="5" fillId="25" borderId="14" xfId="47" applyNumberFormat="1" applyFont="1" applyFill="1" applyBorder="1" applyAlignment="1" applyProtection="1">
      <alignment horizontal="right" vertical="center" indent="1"/>
    </xf>
    <xf numFmtId="3" fontId="5" fillId="25" borderId="42" xfId="47" applyNumberFormat="1" applyFont="1" applyFill="1" applyBorder="1" applyAlignment="1" applyProtection="1">
      <alignment horizontal="right" vertical="center" indent="1"/>
    </xf>
    <xf numFmtId="3" fontId="8" fillId="0" borderId="0" xfId="47" applyNumberFormat="1" applyFont="1" applyProtection="1"/>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0" fillId="0" borderId="0" xfId="0" applyBorder="1" applyAlignment="1">
      <alignment vertical="center" wrapText="1"/>
    </xf>
    <xf numFmtId="0" fontId="0" fillId="0" borderId="0" xfId="0" applyBorder="1" applyAlignment="1">
      <alignment horizontal="left" vertical="center" wrapText="1"/>
    </xf>
    <xf numFmtId="0" fontId="7" fillId="26" borderId="82" xfId="47" applyFont="1" applyFill="1" applyBorder="1" applyAlignment="1" applyProtection="1">
      <alignment horizontal="center"/>
    </xf>
    <xf numFmtId="0" fontId="9" fillId="0" borderId="83" xfId="0" applyFont="1" applyFill="1" applyBorder="1" applyAlignment="1" applyProtection="1">
      <alignment horizontal="left" vertical="center" wrapText="1"/>
    </xf>
    <xf numFmtId="0" fontId="9" fillId="0" borderId="36" xfId="0" applyFont="1" applyFill="1" applyBorder="1" applyAlignment="1" applyProtection="1">
      <alignment horizontal="left" vertical="center" wrapText="1"/>
    </xf>
    <xf numFmtId="165" fontId="9" fillId="0" borderId="36" xfId="0" applyNumberFormat="1" applyFont="1" applyFill="1" applyBorder="1" applyAlignment="1" applyProtection="1">
      <alignment horizontal="left" vertical="center" wrapText="1"/>
    </xf>
    <xf numFmtId="0" fontId="10" fillId="0" borderId="79" xfId="34" applyFill="1" applyBorder="1" applyAlignment="1" applyProtection="1">
      <alignment horizontal="left" vertical="center" wrapText="1"/>
    </xf>
    <xf numFmtId="0" fontId="37" fillId="26" borderId="73" xfId="0" applyFont="1" applyFill="1" applyBorder="1" applyProtection="1"/>
    <xf numFmtId="0" fontId="37" fillId="26" borderId="86" xfId="0" applyFont="1" applyFill="1" applyBorder="1" applyProtection="1"/>
    <xf numFmtId="0" fontId="37" fillId="26" borderId="13" xfId="0" applyFont="1" applyFill="1" applyBorder="1" applyAlignment="1" applyProtection="1"/>
    <xf numFmtId="0" fontId="37" fillId="26" borderId="85" xfId="0" applyFont="1" applyFill="1" applyBorder="1" applyAlignment="1" applyProtection="1"/>
    <xf numFmtId="0" fontId="37" fillId="26" borderId="86" xfId="0" applyFont="1" applyFill="1" applyBorder="1" applyAlignment="1" applyProtection="1"/>
    <xf numFmtId="0" fontId="37" fillId="26" borderId="73" xfId="0" applyFont="1" applyFill="1" applyBorder="1" applyAlignment="1" applyProtection="1"/>
    <xf numFmtId="49" fontId="4" fillId="24" borderId="30" xfId="0" applyNumberFormat="1" applyFont="1" applyFill="1" applyBorder="1" applyAlignment="1" applyProtection="1">
      <alignment horizontal="left" vertical="center" wrapText="1"/>
    </xf>
    <xf numFmtId="49" fontId="5" fillId="24" borderId="15" xfId="0" applyNumberFormat="1" applyFont="1" applyFill="1" applyBorder="1" applyAlignment="1" applyProtection="1">
      <alignment horizontal="center" vertical="center" wrapText="1"/>
    </xf>
    <xf numFmtId="3" fontId="5" fillId="24" borderId="18" xfId="0" applyNumberFormat="1" applyFont="1" applyFill="1" applyBorder="1" applyAlignment="1" applyProtection="1">
      <alignment horizontal="right" vertical="center" wrapText="1"/>
    </xf>
    <xf numFmtId="49" fontId="5" fillId="24" borderId="16" xfId="0" applyNumberFormat="1" applyFont="1" applyFill="1" applyBorder="1" applyAlignment="1" applyProtection="1">
      <alignment horizontal="center" vertical="center" wrapText="1"/>
    </xf>
    <xf numFmtId="3" fontId="5" fillId="24" borderId="17" xfId="0" applyNumberFormat="1" applyFont="1" applyFill="1" applyBorder="1" applyAlignment="1" applyProtection="1">
      <alignment horizontal="right" vertical="center" wrapText="1"/>
    </xf>
    <xf numFmtId="49" fontId="5" fillId="24" borderId="19" xfId="0" applyNumberFormat="1" applyFont="1" applyFill="1" applyBorder="1" applyAlignment="1" applyProtection="1">
      <alignment horizontal="center" vertical="center" wrapText="1"/>
    </xf>
    <xf numFmtId="3" fontId="5" fillId="24" borderId="20" xfId="0" applyNumberFormat="1" applyFont="1" applyFill="1" applyBorder="1" applyAlignment="1" applyProtection="1">
      <alignment horizontal="right" vertical="center" wrapText="1"/>
    </xf>
    <xf numFmtId="49" fontId="4" fillId="24" borderId="18" xfId="0" applyNumberFormat="1" applyFont="1" applyFill="1" applyBorder="1" applyAlignment="1" applyProtection="1">
      <alignment horizontal="left" vertical="center" wrapText="1"/>
    </xf>
    <xf numFmtId="49" fontId="4" fillId="24" borderId="17" xfId="0" applyNumberFormat="1" applyFont="1" applyFill="1" applyBorder="1" applyAlignment="1" applyProtection="1">
      <alignment horizontal="left" vertical="center" wrapText="1"/>
    </xf>
    <xf numFmtId="49" fontId="4" fillId="24" borderId="20" xfId="0" applyNumberFormat="1" applyFont="1" applyFill="1" applyBorder="1" applyAlignment="1" applyProtection="1">
      <alignment horizontal="left" vertical="center" wrapText="1"/>
    </xf>
    <xf numFmtId="3" fontId="5" fillId="24" borderId="12" xfId="0" applyNumberFormat="1" applyFont="1" applyFill="1" applyBorder="1" applyAlignment="1" applyProtection="1">
      <alignment horizontal="right" vertical="center" indent="1"/>
    </xf>
    <xf numFmtId="3" fontId="5" fillId="24" borderId="10" xfId="0" applyNumberFormat="1" applyFont="1" applyFill="1" applyBorder="1" applyAlignment="1" applyProtection="1">
      <alignment horizontal="right" vertical="center" indent="1"/>
    </xf>
    <xf numFmtId="3" fontId="5" fillId="24" borderId="11" xfId="0" applyNumberFormat="1" applyFont="1" applyFill="1" applyBorder="1" applyAlignment="1" applyProtection="1">
      <alignment horizontal="right" vertical="center" indent="1"/>
    </xf>
    <xf numFmtId="0" fontId="45" fillId="0" borderId="0" xfId="0" applyFont="1" applyProtection="1"/>
    <xf numFmtId="3" fontId="5" fillId="24" borderId="31" xfId="0" applyNumberFormat="1" applyFont="1" applyFill="1" applyBorder="1" applyAlignment="1" applyProtection="1">
      <alignment horizontal="right" vertical="center" indent="1"/>
    </xf>
    <xf numFmtId="3" fontId="5" fillId="24" borderId="32" xfId="0" applyNumberFormat="1" applyFont="1" applyFill="1" applyBorder="1" applyAlignment="1" applyProtection="1">
      <alignment horizontal="right" vertical="center" indent="1"/>
    </xf>
    <xf numFmtId="3" fontId="5" fillId="24" borderId="33" xfId="0" applyNumberFormat="1" applyFont="1" applyFill="1" applyBorder="1" applyAlignment="1" applyProtection="1">
      <alignment horizontal="right" vertical="center" indent="1"/>
    </xf>
    <xf numFmtId="0" fontId="5" fillId="24" borderId="57" xfId="0" applyNumberFormat="1" applyFont="1" applyFill="1" applyBorder="1" applyAlignment="1" applyProtection="1">
      <alignment horizontal="right" vertical="center" indent="1"/>
    </xf>
    <xf numFmtId="0" fontId="5" fillId="24" borderId="58" xfId="0" applyNumberFormat="1" applyFont="1" applyFill="1" applyBorder="1" applyAlignment="1" applyProtection="1">
      <alignment horizontal="right" vertical="center" indent="1"/>
    </xf>
    <xf numFmtId="3" fontId="5" fillId="24" borderId="17" xfId="0" applyNumberFormat="1" applyFont="1" applyFill="1" applyBorder="1" applyAlignment="1" applyProtection="1">
      <alignment horizontal="right" vertical="center" indent="1"/>
    </xf>
    <xf numFmtId="3" fontId="5" fillId="24" borderId="16" xfId="0" applyNumberFormat="1" applyFont="1" applyFill="1" applyBorder="1" applyAlignment="1" applyProtection="1">
      <alignment horizontal="right" vertical="center" indent="1"/>
    </xf>
    <xf numFmtId="10" fontId="5" fillId="24" borderId="12" xfId="0" applyNumberFormat="1" applyFont="1" applyFill="1" applyBorder="1" applyAlignment="1" applyProtection="1">
      <alignment horizontal="right" vertical="center" indent="1"/>
    </xf>
    <xf numFmtId="3" fontId="5" fillId="24" borderId="18" xfId="0" applyNumberFormat="1" applyFont="1" applyFill="1" applyBorder="1" applyAlignment="1" applyProtection="1">
      <alignment horizontal="right" vertical="center" indent="1"/>
    </xf>
    <xf numFmtId="3" fontId="5" fillId="24" borderId="15" xfId="0" applyNumberFormat="1" applyFont="1" applyFill="1" applyBorder="1" applyAlignment="1" applyProtection="1">
      <alignment horizontal="right" vertical="center" indent="1"/>
    </xf>
    <xf numFmtId="10" fontId="5" fillId="24" borderId="10" xfId="0" applyNumberFormat="1" applyFont="1" applyFill="1" applyBorder="1" applyAlignment="1" applyProtection="1">
      <alignment horizontal="right" vertical="center" indent="1"/>
    </xf>
    <xf numFmtId="3" fontId="5" fillId="24" borderId="20" xfId="0" applyNumberFormat="1" applyFont="1" applyFill="1" applyBorder="1" applyAlignment="1" applyProtection="1">
      <alignment horizontal="right" vertical="center" indent="1"/>
    </xf>
    <xf numFmtId="3" fontId="5" fillId="24" borderId="19" xfId="0" applyNumberFormat="1" applyFont="1" applyFill="1" applyBorder="1" applyAlignment="1" applyProtection="1">
      <alignment horizontal="right" vertical="center" indent="1"/>
    </xf>
    <xf numFmtId="10" fontId="5" fillId="24" borderId="11" xfId="0" applyNumberFormat="1" applyFont="1" applyFill="1" applyBorder="1" applyAlignment="1" applyProtection="1">
      <alignment horizontal="right" vertical="center" indent="1"/>
    </xf>
    <xf numFmtId="3" fontId="9" fillId="24" borderId="12" xfId="0" applyNumberFormat="1" applyFont="1" applyFill="1" applyBorder="1" applyAlignment="1" applyProtection="1">
      <alignment horizontal="right" vertical="center" indent="1"/>
    </xf>
    <xf numFmtId="3" fontId="9" fillId="24" borderId="63" xfId="0" applyNumberFormat="1" applyFont="1" applyFill="1" applyBorder="1" applyAlignment="1" applyProtection="1">
      <alignment horizontal="right" vertical="center" indent="1"/>
    </xf>
    <xf numFmtId="3" fontId="9" fillId="24" borderId="10" xfId="0" applyNumberFormat="1" applyFont="1" applyFill="1" applyBorder="1" applyAlignment="1" applyProtection="1">
      <alignment horizontal="right" vertical="center" indent="1"/>
    </xf>
    <xf numFmtId="3" fontId="9" fillId="24" borderId="11" xfId="0" applyNumberFormat="1" applyFont="1" applyFill="1" applyBorder="1" applyAlignment="1" applyProtection="1">
      <alignment horizontal="right" vertical="center" indent="1"/>
    </xf>
    <xf numFmtId="0" fontId="9" fillId="24" borderId="10" xfId="0" applyFont="1" applyFill="1" applyBorder="1" applyAlignment="1" applyProtection="1">
      <alignment vertical="center" wrapText="1"/>
    </xf>
    <xf numFmtId="0" fontId="9" fillId="24" borderId="11" xfId="0" applyFont="1" applyFill="1" applyBorder="1" applyAlignment="1" applyProtection="1">
      <alignment vertical="center" wrapText="1"/>
    </xf>
    <xf numFmtId="3" fontId="9" fillId="24" borderId="65" xfId="0" applyNumberFormat="1" applyFont="1" applyFill="1" applyBorder="1" applyAlignment="1" applyProtection="1">
      <alignment horizontal="right" vertical="center" indent="1"/>
    </xf>
    <xf numFmtId="0" fontId="9" fillId="25" borderId="0" xfId="47" applyFont="1" applyFill="1" applyBorder="1" applyAlignment="1" applyProtection="1">
      <alignment horizontal="right" vertical="center"/>
    </xf>
    <xf numFmtId="0" fontId="8" fillId="30" borderId="85" xfId="0" applyFont="1" applyFill="1" applyBorder="1" applyAlignment="1" applyProtection="1">
      <alignment wrapText="1"/>
    </xf>
    <xf numFmtId="0" fontId="8" fillId="30" borderId="13" xfId="0" applyFont="1" applyFill="1" applyBorder="1" applyAlignment="1" applyProtection="1">
      <alignment wrapText="1"/>
    </xf>
    <xf numFmtId="0" fontId="33" fillId="26" borderId="89" xfId="0" applyFont="1" applyFill="1" applyBorder="1" applyAlignment="1" applyProtection="1">
      <alignment horizontal="center" wrapText="1"/>
    </xf>
    <xf numFmtId="0" fontId="33" fillId="26" borderId="90" xfId="0" applyFont="1" applyFill="1" applyBorder="1" applyAlignment="1" applyProtection="1">
      <alignment horizontal="center" wrapText="1"/>
    </xf>
    <xf numFmtId="0" fontId="33" fillId="26" borderId="91" xfId="0" applyFont="1" applyFill="1" applyBorder="1" applyAlignment="1" applyProtection="1">
      <alignment horizontal="center" wrapText="1"/>
    </xf>
    <xf numFmtId="0" fontId="8" fillId="30" borderId="13" xfId="0" applyFont="1" applyFill="1" applyBorder="1" applyAlignment="1" applyProtection="1">
      <alignment vertical="top" wrapText="1"/>
    </xf>
    <xf numFmtId="0" fontId="8" fillId="30" borderId="85" xfId="0" applyFont="1" applyFill="1" applyBorder="1" applyAlignment="1" applyProtection="1">
      <alignment vertical="top" wrapText="1"/>
    </xf>
    <xf numFmtId="0" fontId="33" fillId="26" borderId="0" xfId="0" applyFont="1" applyFill="1" applyBorder="1" applyAlignment="1" applyProtection="1">
      <alignment horizontal="center"/>
    </xf>
    <xf numFmtId="0" fontId="33" fillId="26" borderId="97" xfId="0" applyFont="1" applyFill="1" applyBorder="1" applyAlignment="1" applyProtection="1">
      <alignment horizontal="center"/>
    </xf>
    <xf numFmtId="0" fontId="33" fillId="26" borderId="89" xfId="0" applyFont="1" applyFill="1" applyBorder="1" applyAlignment="1" applyProtection="1">
      <alignment horizontal="center"/>
    </xf>
    <xf numFmtId="0" fontId="7" fillId="26" borderId="92" xfId="0" applyFont="1" applyFill="1" applyBorder="1" applyAlignment="1" applyProtection="1">
      <alignment vertical="center"/>
    </xf>
    <xf numFmtId="0" fontId="7" fillId="26" borderId="93" xfId="0" applyFont="1" applyFill="1" applyBorder="1" applyAlignment="1" applyProtection="1">
      <alignment vertical="center"/>
    </xf>
    <xf numFmtId="0" fontId="43" fillId="30" borderId="0" xfId="34" applyFont="1" applyFill="1" applyBorder="1" applyAlignment="1" applyProtection="1">
      <alignment horizontal="left" wrapText="1"/>
    </xf>
    <xf numFmtId="0" fontId="7" fillId="26" borderId="94" xfId="0" applyFont="1" applyFill="1" applyBorder="1" applyAlignment="1" applyProtection="1">
      <alignment vertical="center"/>
    </xf>
    <xf numFmtId="0" fontId="7" fillId="26" borderId="95" xfId="0" applyFont="1" applyFill="1" applyBorder="1" applyAlignment="1" applyProtection="1">
      <alignment vertical="center"/>
    </xf>
    <xf numFmtId="0" fontId="33" fillId="26" borderId="86" xfId="0" applyFont="1" applyFill="1" applyBorder="1" applyAlignment="1" applyProtection="1">
      <alignment horizontal="center"/>
    </xf>
    <xf numFmtId="0" fontId="33" fillId="26" borderId="96" xfId="0" applyFont="1" applyFill="1" applyBorder="1" applyAlignment="1" applyProtection="1">
      <alignment horizontal="center"/>
    </xf>
    <xf numFmtId="0" fontId="33" fillId="26" borderId="88" xfId="0" applyFont="1" applyFill="1" applyBorder="1" applyAlignment="1" applyProtection="1">
      <alignment horizontal="center"/>
    </xf>
    <xf numFmtId="0" fontId="11" fillId="30" borderId="13" xfId="0" applyFont="1" applyFill="1" applyBorder="1" applyAlignment="1" applyProtection="1">
      <alignment wrapText="1"/>
    </xf>
    <xf numFmtId="0" fontId="33" fillId="26" borderId="89" xfId="0" applyFont="1" applyFill="1" applyBorder="1" applyAlignment="1" applyProtection="1">
      <alignment horizontal="center" vertical="center"/>
    </xf>
    <xf numFmtId="0" fontId="33" fillId="26" borderId="90" xfId="0" applyFont="1" applyFill="1" applyBorder="1" applyAlignment="1" applyProtection="1">
      <alignment horizontal="center" vertical="center"/>
    </xf>
    <xf numFmtId="0" fontId="33" fillId="26" borderId="91" xfId="0" applyFont="1" applyFill="1" applyBorder="1" applyAlignment="1" applyProtection="1">
      <alignment horizontal="center" vertical="center"/>
    </xf>
    <xf numFmtId="0" fontId="33" fillId="26" borderId="50" xfId="0" applyFont="1" applyFill="1" applyBorder="1" applyAlignment="1" applyProtection="1">
      <alignment horizontal="center"/>
    </xf>
    <xf numFmtId="0" fontId="8" fillId="30" borderId="86" xfId="0" applyFont="1" applyFill="1" applyBorder="1" applyAlignment="1" applyProtection="1">
      <alignment vertical="top" wrapText="1"/>
    </xf>
    <xf numFmtId="0" fontId="8" fillId="30" borderId="88" xfId="0" applyFont="1" applyFill="1" applyBorder="1" applyAlignment="1" applyProtection="1">
      <alignment vertical="top" wrapText="1"/>
    </xf>
    <xf numFmtId="0" fontId="9" fillId="30" borderId="13" xfId="0" applyFont="1" applyFill="1" applyBorder="1" applyAlignment="1" applyProtection="1">
      <alignment wrapText="1"/>
    </xf>
    <xf numFmtId="0" fontId="7" fillId="26" borderId="0" xfId="0" applyFont="1" applyFill="1" applyAlignment="1" applyProtection="1">
      <alignment horizontal="center" vertical="center" wrapText="1"/>
    </xf>
    <xf numFmtId="0" fontId="8" fillId="30" borderId="86" xfId="0" applyFont="1" applyFill="1" applyBorder="1" applyAlignment="1" applyProtection="1">
      <alignment horizontal="left" wrapText="1"/>
    </xf>
    <xf numFmtId="0" fontId="8" fillId="30" borderId="96" xfId="0" applyFont="1" applyFill="1" applyBorder="1" applyAlignment="1" applyProtection="1">
      <alignment horizontal="left" wrapText="1"/>
    </xf>
    <xf numFmtId="0" fontId="8" fillId="30" borderId="88" xfId="0" applyFont="1" applyFill="1" applyBorder="1" applyAlignment="1" applyProtection="1">
      <alignment horizontal="left" wrapText="1"/>
    </xf>
    <xf numFmtId="0" fontId="9" fillId="30" borderId="86" xfId="0" applyFont="1" applyFill="1" applyBorder="1" applyAlignment="1" applyProtection="1">
      <alignment horizontal="left" wrapText="1"/>
    </xf>
    <xf numFmtId="0" fontId="9" fillId="30" borderId="88" xfId="0" applyFont="1" applyFill="1" applyBorder="1" applyAlignment="1" applyProtection="1">
      <alignment horizontal="left" wrapText="1"/>
    </xf>
    <xf numFmtId="0" fontId="5" fillId="25" borderId="98" xfId="0" applyFont="1" applyFill="1" applyBorder="1" applyAlignment="1" applyProtection="1">
      <alignment vertical="center"/>
    </xf>
    <xf numFmtId="0" fontId="5" fillId="25" borderId="99" xfId="0" applyFont="1" applyFill="1" applyBorder="1" applyAlignment="1" applyProtection="1">
      <alignment vertical="center"/>
    </xf>
    <xf numFmtId="0" fontId="34" fillId="26" borderId="100" xfId="0" applyFont="1" applyFill="1" applyBorder="1" applyAlignment="1" applyProtection="1">
      <alignment horizontal="center"/>
    </xf>
    <xf numFmtId="0" fontId="34" fillId="26" borderId="101" xfId="0" applyFont="1" applyFill="1" applyBorder="1" applyAlignment="1" applyProtection="1">
      <alignment horizontal="center"/>
    </xf>
    <xf numFmtId="0" fontId="34" fillId="26" borderId="102" xfId="0" applyFont="1" applyFill="1" applyBorder="1" applyAlignment="1" applyProtection="1">
      <alignment horizontal="center"/>
    </xf>
    <xf numFmtId="0" fontId="7" fillId="26" borderId="100" xfId="0" applyFont="1" applyFill="1" applyBorder="1" applyAlignment="1" applyProtection="1">
      <alignment vertical="center"/>
    </xf>
    <xf numFmtId="0" fontId="7" fillId="26" borderId="102" xfId="0" applyFont="1" applyFill="1" applyBorder="1" applyAlignment="1" applyProtection="1">
      <alignment vertical="center"/>
    </xf>
    <xf numFmtId="0" fontId="7" fillId="26" borderId="103" xfId="0" applyFont="1" applyFill="1" applyBorder="1" applyAlignment="1" applyProtection="1">
      <alignment vertical="center"/>
    </xf>
    <xf numFmtId="0" fontId="7" fillId="26" borderId="104" xfId="0" applyFont="1" applyFill="1" applyBorder="1" applyAlignment="1" applyProtection="1">
      <alignment vertical="center"/>
    </xf>
    <xf numFmtId="0" fontId="7" fillId="26" borderId="105" xfId="0" applyFont="1" applyFill="1" applyBorder="1" applyAlignment="1" applyProtection="1">
      <alignment vertical="center"/>
    </xf>
    <xf numFmtId="0" fontId="7" fillId="26" borderId="106" xfId="0" applyFont="1" applyFill="1" applyBorder="1" applyAlignment="1" applyProtection="1">
      <alignment vertical="center"/>
    </xf>
    <xf numFmtId="0" fontId="9" fillId="25" borderId="107" xfId="0" applyNumberFormat="1" applyFont="1" applyFill="1" applyBorder="1" applyAlignment="1" applyProtection="1">
      <alignment vertical="center" wrapText="1"/>
    </xf>
    <xf numFmtId="0" fontId="9" fillId="25" borderId="108" xfId="0" applyNumberFormat="1" applyFont="1" applyFill="1" applyBorder="1" applyAlignment="1" applyProtection="1">
      <alignment vertical="center" wrapText="1"/>
    </xf>
    <xf numFmtId="0" fontId="9" fillId="25" borderId="57" xfId="0" applyNumberFormat="1" applyFont="1" applyFill="1" applyBorder="1" applyAlignment="1" applyProtection="1">
      <alignment vertical="center" wrapText="1"/>
    </xf>
    <xf numFmtId="0" fontId="9" fillId="25" borderId="60" xfId="0" applyNumberFormat="1" applyFont="1" applyFill="1" applyBorder="1" applyAlignment="1" applyProtection="1">
      <alignment vertical="center" wrapText="1"/>
    </xf>
    <xf numFmtId="0" fontId="9" fillId="25" borderId="109" xfId="0" applyNumberFormat="1" applyFont="1" applyFill="1" applyBorder="1" applyAlignment="1" applyProtection="1">
      <alignment vertical="center" wrapText="1"/>
    </xf>
    <xf numFmtId="0" fontId="9" fillId="25" borderId="61" xfId="0" applyNumberFormat="1" applyFont="1" applyFill="1" applyBorder="1" applyAlignment="1" applyProtection="1">
      <alignment vertical="center" wrapText="1"/>
    </xf>
    <xf numFmtId="165" fontId="9" fillId="25" borderId="110" xfId="0" applyNumberFormat="1" applyFont="1" applyFill="1" applyBorder="1" applyAlignment="1" applyProtection="1">
      <alignment horizontal="left" vertical="center" wrapText="1"/>
    </xf>
    <xf numFmtId="165" fontId="9" fillId="25" borderId="111" xfId="0" applyNumberFormat="1" applyFont="1" applyFill="1" applyBorder="1" applyAlignment="1" applyProtection="1">
      <alignment horizontal="left" vertical="center" wrapText="1"/>
    </xf>
    <xf numFmtId="165" fontId="9" fillId="25" borderId="58" xfId="0" applyNumberFormat="1" applyFont="1" applyFill="1" applyBorder="1" applyAlignment="1" applyProtection="1">
      <alignment horizontal="left" vertical="center" wrapText="1"/>
    </xf>
    <xf numFmtId="0" fontId="9" fillId="25" borderId="45" xfId="0" applyFont="1" applyFill="1" applyBorder="1" applyAlignment="1" applyProtection="1">
      <alignment vertical="center"/>
    </xf>
    <xf numFmtId="0" fontId="9" fillId="25" borderId="46" xfId="0" applyFont="1" applyFill="1" applyBorder="1" applyAlignment="1" applyProtection="1">
      <alignment vertical="center"/>
    </xf>
    <xf numFmtId="0" fontId="9" fillId="25" borderId="112" xfId="0" applyFont="1" applyFill="1" applyBorder="1" applyAlignment="1" applyProtection="1">
      <alignment vertical="center"/>
    </xf>
    <xf numFmtId="0" fontId="33" fillId="26" borderId="100" xfId="0" applyFont="1" applyFill="1" applyBorder="1" applyAlignment="1" applyProtection="1">
      <alignment horizontal="center"/>
    </xf>
    <xf numFmtId="0" fontId="33" fillId="26" borderId="101" xfId="0" applyFont="1" applyFill="1" applyBorder="1" applyAlignment="1" applyProtection="1">
      <alignment horizontal="center"/>
    </xf>
    <xf numFmtId="0" fontId="33" fillId="26" borderId="102" xfId="0" applyFont="1" applyFill="1" applyBorder="1" applyAlignment="1" applyProtection="1">
      <alignment horizontal="center"/>
    </xf>
    <xf numFmtId="0" fontId="9" fillId="25" borderId="26" xfId="0" applyFont="1" applyFill="1" applyBorder="1" applyAlignment="1" applyProtection="1">
      <alignment horizontal="center" vertical="center" textRotation="90" wrapText="1"/>
    </xf>
    <xf numFmtId="0" fontId="0" fillId="0" borderId="26" xfId="0" applyBorder="1" applyAlignment="1" applyProtection="1">
      <alignment horizontal="center" vertical="center" textRotation="90" wrapText="1"/>
    </xf>
    <xf numFmtId="0" fontId="0" fillId="0" borderId="72" xfId="0" applyBorder="1" applyAlignment="1" applyProtection="1">
      <alignment horizontal="center" vertical="center" textRotation="90" wrapText="1"/>
    </xf>
    <xf numFmtId="0" fontId="9" fillId="25" borderId="113" xfId="0" applyFont="1" applyFill="1" applyBorder="1" applyAlignment="1" applyProtection="1">
      <alignment horizontal="center" vertical="center" textRotation="90" wrapText="1"/>
    </xf>
    <xf numFmtId="0" fontId="7" fillId="26" borderId="114" xfId="0" applyFont="1" applyFill="1" applyBorder="1" applyAlignment="1" applyProtection="1">
      <alignment vertical="center"/>
    </xf>
    <xf numFmtId="0" fontId="7" fillId="26" borderId="115" xfId="0" applyFont="1" applyFill="1" applyBorder="1" applyAlignment="1" applyProtection="1">
      <alignment vertical="center"/>
    </xf>
    <xf numFmtId="0" fontId="7" fillId="26" borderId="116" xfId="0" applyFont="1" applyFill="1" applyBorder="1" applyAlignment="1" applyProtection="1">
      <alignment vertical="center"/>
    </xf>
    <xf numFmtId="0" fontId="7" fillId="26" borderId="117" xfId="0" applyFont="1" applyFill="1" applyBorder="1" applyAlignment="1" applyProtection="1">
      <alignment vertical="center"/>
    </xf>
    <xf numFmtId="0" fontId="7" fillId="26" borderId="118" xfId="0" applyFont="1" applyFill="1" applyBorder="1" applyAlignment="1" applyProtection="1">
      <alignment vertical="center"/>
    </xf>
    <xf numFmtId="0" fontId="7" fillId="26" borderId="119" xfId="0" applyFont="1" applyFill="1" applyBorder="1" applyAlignment="1" applyProtection="1">
      <alignment vertical="center"/>
    </xf>
    <xf numFmtId="0" fontId="7" fillId="26" borderId="120" xfId="0" applyFont="1" applyFill="1" applyBorder="1" applyAlignment="1" applyProtection="1">
      <alignment vertical="center"/>
    </xf>
    <xf numFmtId="0" fontId="7" fillId="26" borderId="121" xfId="0" applyFont="1" applyFill="1" applyBorder="1" applyAlignment="1" applyProtection="1">
      <alignment vertical="center"/>
    </xf>
    <xf numFmtId="0" fontId="0" fillId="25" borderId="108" xfId="0" applyNumberFormat="1" applyFill="1" applyBorder="1" applyAlignment="1" applyProtection="1">
      <alignment vertical="center" wrapText="1"/>
    </xf>
    <xf numFmtId="0" fontId="0" fillId="25" borderId="57" xfId="0" applyNumberFormat="1" applyFill="1" applyBorder="1" applyAlignment="1" applyProtection="1">
      <alignment vertical="center" wrapText="1"/>
    </xf>
    <xf numFmtId="0" fontId="0" fillId="25" borderId="109" xfId="0" applyNumberFormat="1" applyFill="1" applyBorder="1" applyAlignment="1" applyProtection="1">
      <alignment vertical="center" wrapText="1"/>
    </xf>
    <xf numFmtId="0" fontId="0" fillId="25" borderId="61" xfId="0" applyNumberFormat="1" applyFill="1" applyBorder="1" applyAlignment="1" applyProtection="1">
      <alignment vertical="center" wrapText="1"/>
    </xf>
    <xf numFmtId="165" fontId="0" fillId="25" borderId="111" xfId="0" applyNumberFormat="1" applyFill="1" applyBorder="1" applyAlignment="1" applyProtection="1">
      <alignment horizontal="left" vertical="center" wrapText="1"/>
    </xf>
    <xf numFmtId="165" fontId="0" fillId="25" borderId="58" xfId="0" applyNumberFormat="1" applyFill="1" applyBorder="1" applyAlignment="1" applyProtection="1">
      <alignment horizontal="left" vertical="center" wrapText="1"/>
    </xf>
    <xf numFmtId="0" fontId="33" fillId="26" borderId="122" xfId="0" applyFont="1" applyFill="1" applyBorder="1" applyAlignment="1" applyProtection="1">
      <alignment horizontal="center"/>
    </xf>
    <xf numFmtId="0" fontId="33" fillId="26" borderId="123" xfId="0" applyFont="1" applyFill="1" applyBorder="1" applyAlignment="1" applyProtection="1">
      <alignment horizontal="center"/>
    </xf>
    <xf numFmtId="0" fontId="33" fillId="26" borderId="124" xfId="0" applyFont="1" applyFill="1" applyBorder="1" applyAlignment="1" applyProtection="1">
      <alignment horizontal="center"/>
    </xf>
    <xf numFmtId="0" fontId="40" fillId="29" borderId="13" xfId="38" applyFont="1" applyFill="1" applyBorder="1" applyAlignment="1" applyProtection="1">
      <alignment horizontal="center" vertical="center"/>
    </xf>
    <xf numFmtId="0" fontId="33" fillId="26" borderId="126" xfId="38" applyFont="1" applyFill="1" applyBorder="1" applyAlignment="1" applyProtection="1">
      <alignment horizontal="center" vertical="center"/>
    </xf>
    <xf numFmtId="0" fontId="33" fillId="26" borderId="127" xfId="38" applyFont="1" applyFill="1" applyBorder="1" applyAlignment="1" applyProtection="1">
      <alignment horizontal="center" vertical="center"/>
    </xf>
    <xf numFmtId="0" fontId="33" fillId="26" borderId="128" xfId="38" applyFont="1" applyFill="1" applyBorder="1" applyAlignment="1" applyProtection="1">
      <alignment horizontal="center" vertical="center"/>
    </xf>
    <xf numFmtId="0" fontId="40" fillId="29" borderId="73" xfId="38" applyFont="1" applyFill="1" applyBorder="1" applyAlignment="1" applyProtection="1">
      <alignment horizontal="center" vertical="center"/>
    </xf>
    <xf numFmtId="0" fontId="40" fillId="29" borderId="74" xfId="38" applyFont="1" applyFill="1" applyBorder="1" applyAlignment="1" applyProtection="1">
      <alignment horizontal="center" vertical="center"/>
    </xf>
    <xf numFmtId="0" fontId="40" fillId="29" borderId="129" xfId="38" applyFont="1" applyFill="1" applyBorder="1" applyAlignment="1" applyProtection="1">
      <alignment horizontal="center" vertical="center"/>
    </xf>
    <xf numFmtId="0" fontId="40" fillId="29" borderId="86" xfId="38" applyFont="1" applyFill="1" applyBorder="1" applyAlignment="1" applyProtection="1">
      <alignment horizontal="center" vertical="center"/>
    </xf>
    <xf numFmtId="0" fontId="40" fillId="29" borderId="96" xfId="38" applyFont="1" applyFill="1" applyBorder="1" applyAlignment="1" applyProtection="1">
      <alignment horizontal="center" vertical="center"/>
    </xf>
    <xf numFmtId="0" fontId="40" fillId="29" borderId="88" xfId="38" applyFont="1" applyFill="1" applyBorder="1" applyAlignment="1" applyProtection="1">
      <alignment horizontal="center" vertical="center"/>
    </xf>
    <xf numFmtId="164" fontId="5" fillId="25" borderId="45" xfId="38" applyNumberFormat="1" applyFont="1" applyFill="1" applyBorder="1" applyAlignment="1" applyProtection="1">
      <alignment horizontal="center"/>
    </xf>
    <xf numFmtId="164" fontId="5" fillId="25" borderId="46" xfId="38" applyNumberFormat="1" applyFont="1" applyFill="1" applyBorder="1" applyAlignment="1" applyProtection="1">
      <alignment horizontal="center"/>
    </xf>
    <xf numFmtId="164" fontId="5" fillId="25" borderId="112" xfId="38" applyNumberFormat="1" applyFont="1" applyFill="1" applyBorder="1" applyAlignment="1" applyProtection="1">
      <alignment horizontal="center"/>
    </xf>
    <xf numFmtId="0" fontId="9" fillId="25" borderId="108" xfId="0" applyNumberFormat="1" applyFont="1" applyFill="1" applyBorder="1" applyAlignment="1" applyProtection="1">
      <alignment horizontal="left" vertical="center" wrapText="1"/>
      <protection locked="0"/>
    </xf>
    <xf numFmtId="0" fontId="9" fillId="25" borderId="57" xfId="0" applyNumberFormat="1" applyFont="1" applyFill="1" applyBorder="1" applyAlignment="1" applyProtection="1">
      <alignment horizontal="left" vertical="center" wrapText="1"/>
      <protection locked="0"/>
    </xf>
    <xf numFmtId="0" fontId="9" fillId="25" borderId="109" xfId="0" applyNumberFormat="1" applyFont="1" applyFill="1" applyBorder="1" applyAlignment="1" applyProtection="1">
      <alignment horizontal="left" vertical="center" wrapText="1"/>
      <protection locked="0"/>
    </xf>
    <xf numFmtId="0" fontId="9" fillId="25" borderId="61" xfId="0" applyNumberFormat="1" applyFont="1" applyFill="1" applyBorder="1" applyAlignment="1" applyProtection="1">
      <alignment horizontal="left" vertical="center" wrapText="1"/>
      <protection locked="0"/>
    </xf>
    <xf numFmtId="165" fontId="9" fillId="25" borderId="111" xfId="0" applyNumberFormat="1" applyFont="1" applyFill="1" applyBorder="1" applyAlignment="1" applyProtection="1">
      <alignment horizontal="left" vertical="center" wrapText="1"/>
      <protection locked="0"/>
    </xf>
    <xf numFmtId="165" fontId="9" fillId="25" borderId="58" xfId="0" applyNumberFormat="1" applyFont="1" applyFill="1" applyBorder="1" applyAlignment="1" applyProtection="1">
      <alignment horizontal="left" vertical="center" wrapText="1"/>
      <protection locked="0"/>
    </xf>
    <xf numFmtId="164" fontId="5" fillId="25" borderId="14" xfId="38" applyNumberFormat="1" applyFont="1" applyFill="1" applyBorder="1" applyAlignment="1" applyProtection="1">
      <alignment horizontal="center"/>
    </xf>
    <xf numFmtId="0" fontId="7" fillId="26" borderId="100" xfId="0" applyFont="1" applyFill="1" applyBorder="1" applyAlignment="1" applyProtection="1">
      <alignment horizontal="left" vertical="center"/>
    </xf>
    <xf numFmtId="0" fontId="7" fillId="26" borderId="101" xfId="0" applyFont="1" applyFill="1" applyBorder="1" applyAlignment="1" applyProtection="1">
      <alignment horizontal="left" vertical="center"/>
    </xf>
    <xf numFmtId="0" fontId="7" fillId="26" borderId="103" xfId="0" applyFont="1" applyFill="1" applyBorder="1" applyAlignment="1" applyProtection="1">
      <alignment horizontal="left" vertical="center"/>
    </xf>
    <xf numFmtId="0" fontId="7" fillId="26" borderId="118" xfId="0" applyFont="1" applyFill="1" applyBorder="1" applyAlignment="1" applyProtection="1">
      <alignment horizontal="left" vertical="center"/>
    </xf>
    <xf numFmtId="0" fontId="7" fillId="26" borderId="105" xfId="0" applyFont="1" applyFill="1" applyBorder="1" applyAlignment="1" applyProtection="1">
      <alignment horizontal="left" vertical="center"/>
    </xf>
    <xf numFmtId="0" fontId="7" fillId="26" borderId="125" xfId="0" applyFont="1" applyFill="1" applyBorder="1" applyAlignment="1" applyProtection="1">
      <alignment horizontal="left" vertical="center"/>
    </xf>
    <xf numFmtId="0" fontId="7" fillId="26" borderId="101" xfId="0" applyFont="1" applyFill="1" applyBorder="1" applyAlignment="1" applyProtection="1">
      <alignment vertical="center"/>
    </xf>
    <xf numFmtId="0" fontId="7" fillId="26" borderId="125" xfId="0" applyFont="1" applyFill="1" applyBorder="1" applyAlignment="1" applyProtection="1">
      <alignment vertical="center"/>
    </xf>
    <xf numFmtId="0" fontId="33" fillId="26" borderId="100" xfId="0" applyFont="1" applyFill="1" applyBorder="1" applyAlignment="1" applyProtection="1">
      <alignment horizontal="center" wrapText="1"/>
    </xf>
    <xf numFmtId="0" fontId="33" fillId="26" borderId="101" xfId="0" applyFont="1" applyFill="1" applyBorder="1" applyAlignment="1" applyProtection="1">
      <alignment horizontal="center" wrapText="1"/>
    </xf>
    <xf numFmtId="0" fontId="33" fillId="26" borderId="102" xfId="0" applyFont="1" applyFill="1" applyBorder="1" applyAlignment="1" applyProtection="1">
      <alignment horizontal="center" wrapText="1"/>
    </xf>
    <xf numFmtId="0" fontId="9" fillId="25" borderId="13" xfId="0" applyFont="1" applyFill="1" applyBorder="1" applyAlignment="1" applyProtection="1">
      <alignment horizontal="left" vertical="center"/>
    </xf>
    <xf numFmtId="0" fontId="9" fillId="25" borderId="108" xfId="0" applyNumberFormat="1" applyFont="1" applyFill="1" applyBorder="1" applyAlignment="1" applyProtection="1">
      <alignment horizontal="left" vertical="center" wrapText="1"/>
    </xf>
    <xf numFmtId="0" fontId="9" fillId="25" borderId="57" xfId="0" applyNumberFormat="1" applyFont="1" applyFill="1" applyBorder="1" applyAlignment="1" applyProtection="1">
      <alignment horizontal="left" vertical="center" wrapText="1"/>
    </xf>
    <xf numFmtId="0" fontId="9" fillId="25" borderId="109" xfId="0" applyNumberFormat="1" applyFont="1" applyFill="1" applyBorder="1" applyAlignment="1" applyProtection="1">
      <alignment horizontal="left" vertical="center" wrapText="1"/>
    </xf>
    <xf numFmtId="0" fontId="9" fillId="25" borderId="61" xfId="0" applyNumberFormat="1" applyFont="1" applyFill="1" applyBorder="1" applyAlignment="1" applyProtection="1">
      <alignment horizontal="left" vertical="center" wrapText="1"/>
    </xf>
    <xf numFmtId="0" fontId="7" fillId="24" borderId="0" xfId="0" applyNumberFormat="1" applyFont="1" applyFill="1" applyBorder="1" applyAlignment="1" applyProtection="1">
      <alignment vertical="center" wrapText="1"/>
    </xf>
    <xf numFmtId="0" fontId="41" fillId="26" borderId="100" xfId="0" applyFont="1" applyFill="1" applyBorder="1" applyAlignment="1" applyProtection="1">
      <alignment horizontal="center"/>
    </xf>
    <xf numFmtId="0" fontId="41" fillId="26" borderId="101" xfId="0" applyFont="1" applyFill="1" applyBorder="1" applyAlignment="1" applyProtection="1">
      <alignment horizontal="center"/>
    </xf>
    <xf numFmtId="0" fontId="41" fillId="26" borderId="102" xfId="0" applyFont="1" applyFill="1" applyBorder="1" applyAlignment="1" applyProtection="1">
      <alignment horizontal="center"/>
    </xf>
    <xf numFmtId="0" fontId="9" fillId="25" borderId="86" xfId="0" applyNumberFormat="1" applyFont="1" applyFill="1" applyBorder="1" applyAlignment="1" applyProtection="1">
      <alignment horizontal="left" vertical="center" wrapText="1"/>
    </xf>
    <xf numFmtId="0" fontId="9" fillId="25" borderId="88" xfId="0" applyNumberFormat="1" applyFont="1" applyFill="1" applyBorder="1" applyAlignment="1" applyProtection="1">
      <alignment horizontal="left" vertical="center" wrapText="1"/>
    </xf>
    <xf numFmtId="0" fontId="9" fillId="25" borderId="86" xfId="0" applyFont="1" applyFill="1" applyBorder="1" applyAlignment="1" applyProtection="1">
      <alignment horizontal="left" vertical="center" wrapText="1"/>
    </xf>
    <xf numFmtId="0" fontId="9" fillId="25" borderId="88" xfId="0" applyFont="1" applyFill="1" applyBorder="1" applyAlignment="1" applyProtection="1">
      <alignment horizontal="left" vertical="center" wrapText="1"/>
    </xf>
    <xf numFmtId="0" fontId="9" fillId="0" borderId="130" xfId="0" applyFont="1" applyBorder="1" applyAlignment="1" applyProtection="1">
      <alignment horizontal="center"/>
    </xf>
    <xf numFmtId="0" fontId="9" fillId="0" borderId="131" xfId="0" applyFont="1" applyBorder="1" applyAlignment="1" applyProtection="1">
      <alignment horizontal="center"/>
    </xf>
    <xf numFmtId="0" fontId="9" fillId="0" borderId="132" xfId="0" applyFont="1" applyBorder="1" applyAlignment="1" applyProtection="1">
      <alignment horizontal="center"/>
    </xf>
    <xf numFmtId="0" fontId="9" fillId="25" borderId="14" xfId="0" applyFont="1" applyFill="1" applyBorder="1" applyAlignment="1" applyProtection="1">
      <alignment horizontal="left" vertical="center"/>
    </xf>
    <xf numFmtId="0" fontId="9" fillId="25" borderId="26" xfId="0" applyFont="1" applyFill="1" applyBorder="1" applyAlignment="1" applyProtection="1">
      <alignment vertical="center"/>
    </xf>
    <xf numFmtId="0" fontId="9" fillId="25" borderId="62" xfId="0" applyFont="1" applyFill="1" applyBorder="1" applyAlignment="1" applyProtection="1">
      <alignment vertical="center"/>
    </xf>
    <xf numFmtId="0" fontId="9" fillId="25" borderId="26" xfId="47" applyFont="1" applyFill="1" applyBorder="1" applyAlignment="1" applyProtection="1">
      <alignment horizontal="center" vertical="center" textRotation="90" wrapText="1"/>
    </xf>
    <xf numFmtId="0" fontId="1" fillId="0" borderId="26" xfId="47" applyBorder="1" applyAlignment="1" applyProtection="1">
      <alignment horizontal="center" vertical="center" textRotation="90" wrapText="1"/>
    </xf>
    <xf numFmtId="0" fontId="1" fillId="0" borderId="72" xfId="47" applyBorder="1" applyAlignment="1" applyProtection="1">
      <alignment horizontal="center" vertical="center" textRotation="90" wrapText="1"/>
    </xf>
    <xf numFmtId="0" fontId="9" fillId="25" borderId="113" xfId="47" applyFont="1" applyFill="1" applyBorder="1" applyAlignment="1" applyProtection="1">
      <alignment horizontal="center" vertical="center" textRotation="90" wrapText="1"/>
    </xf>
    <xf numFmtId="0" fontId="9" fillId="25" borderId="45" xfId="47" applyFont="1" applyFill="1" applyBorder="1" applyAlignment="1" applyProtection="1">
      <alignment vertical="center"/>
    </xf>
    <xf numFmtId="0" fontId="9" fillId="25" borderId="46" xfId="47" applyFont="1" applyFill="1" applyBorder="1" applyAlignment="1" applyProtection="1">
      <alignment vertical="center"/>
    </xf>
    <xf numFmtId="0" fontId="9" fillId="25" borderId="112" xfId="47" applyFont="1" applyFill="1" applyBorder="1" applyAlignment="1" applyProtection="1">
      <alignment vertical="center"/>
    </xf>
    <xf numFmtId="0" fontId="33" fillId="26" borderId="100" xfId="47" applyFont="1" applyFill="1" applyBorder="1" applyAlignment="1" applyProtection="1">
      <alignment horizontal="center"/>
    </xf>
    <xf numFmtId="0" fontId="33" fillId="26" borderId="101" xfId="47" applyFont="1" applyFill="1" applyBorder="1" applyAlignment="1" applyProtection="1">
      <alignment horizontal="center"/>
    </xf>
    <xf numFmtId="0" fontId="33" fillId="26" borderId="90" xfId="47" applyFont="1" applyFill="1" applyBorder="1" applyAlignment="1" applyProtection="1">
      <alignment horizontal="center"/>
    </xf>
    <xf numFmtId="0" fontId="7" fillId="26" borderId="134" xfId="47" applyFont="1" applyFill="1" applyBorder="1" applyAlignment="1" applyProtection="1">
      <alignment horizontal="center" wrapText="1"/>
    </xf>
    <xf numFmtId="0" fontId="7" fillId="26" borderId="118" xfId="47" applyFont="1" applyFill="1" applyBorder="1" applyAlignment="1" applyProtection="1">
      <alignment horizontal="center" wrapText="1"/>
    </xf>
    <xf numFmtId="0" fontId="1" fillId="0" borderId="135" xfId="47" applyBorder="1" applyAlignment="1" applyProtection="1">
      <alignment horizontal="center" wrapText="1"/>
    </xf>
    <xf numFmtId="0" fontId="1" fillId="0" borderId="118" xfId="47" applyBorder="1" applyAlignment="1" applyProtection="1">
      <alignment horizontal="center" wrapText="1"/>
    </xf>
    <xf numFmtId="0" fontId="0" fillId="0" borderId="118" xfId="0" applyBorder="1" applyAlignment="1" applyProtection="1">
      <alignment horizontal="center" wrapText="1"/>
    </xf>
    <xf numFmtId="0" fontId="0" fillId="0" borderId="135" xfId="0" applyBorder="1" applyAlignment="1" applyProtection="1">
      <alignment horizontal="center" wrapText="1"/>
    </xf>
    <xf numFmtId="0" fontId="7" fillId="26" borderId="114" xfId="47" applyFont="1" applyFill="1" applyBorder="1" applyAlignment="1" applyProtection="1">
      <alignment vertical="center"/>
    </xf>
    <xf numFmtId="0" fontId="7" fillId="26" borderId="115" xfId="47" applyFont="1" applyFill="1" applyBorder="1" applyAlignment="1" applyProtection="1">
      <alignment vertical="center"/>
    </xf>
    <xf numFmtId="0" fontId="7" fillId="26" borderId="116" xfId="47" applyFont="1" applyFill="1" applyBorder="1" applyAlignment="1" applyProtection="1">
      <alignment vertical="center"/>
    </xf>
    <xf numFmtId="165" fontId="9" fillId="25" borderId="107" xfId="47" applyNumberFormat="1" applyFont="1" applyFill="1" applyBorder="1" applyAlignment="1" applyProtection="1">
      <alignment horizontal="left" vertical="center" wrapText="1"/>
    </xf>
    <xf numFmtId="0" fontId="0" fillId="0" borderId="108" xfId="0" applyBorder="1" applyAlignment="1">
      <alignment horizontal="left" vertical="center" wrapText="1"/>
    </xf>
    <xf numFmtId="0" fontId="0" fillId="0" borderId="57" xfId="0" applyBorder="1" applyAlignment="1">
      <alignment horizontal="left" vertical="center" wrapText="1"/>
    </xf>
    <xf numFmtId="0" fontId="7" fillId="26" borderId="117" xfId="47" applyFont="1" applyFill="1" applyBorder="1" applyAlignment="1" applyProtection="1">
      <alignment vertical="center"/>
    </xf>
    <xf numFmtId="0" fontId="7" fillId="26" borderId="118" xfId="47" applyFont="1" applyFill="1" applyBorder="1" applyAlignment="1" applyProtection="1">
      <alignment vertical="center"/>
    </xf>
    <xf numFmtId="0" fontId="7" fillId="26" borderId="104" xfId="47" applyFont="1" applyFill="1" applyBorder="1" applyAlignment="1" applyProtection="1">
      <alignment vertical="center"/>
    </xf>
    <xf numFmtId="0" fontId="9" fillId="25" borderId="60" xfId="47" applyNumberFormat="1" applyFont="1" applyFill="1" applyBorder="1" applyAlignment="1" applyProtection="1">
      <alignment vertical="center" wrapText="1"/>
    </xf>
    <xf numFmtId="0" fontId="0" fillId="0" borderId="109" xfId="0" applyBorder="1" applyAlignment="1">
      <alignment vertical="center"/>
    </xf>
    <xf numFmtId="0" fontId="0" fillId="0" borderId="61" xfId="0" applyBorder="1" applyAlignment="1">
      <alignment vertical="center"/>
    </xf>
    <xf numFmtId="0" fontId="7" fillId="26" borderId="119" xfId="47" applyFont="1" applyFill="1" applyBorder="1" applyAlignment="1" applyProtection="1">
      <alignment vertical="center"/>
    </xf>
    <xf numFmtId="0" fontId="7" fillId="26" borderId="120" xfId="47" applyFont="1" applyFill="1" applyBorder="1" applyAlignment="1" applyProtection="1">
      <alignment vertical="center"/>
    </xf>
    <xf numFmtId="0" fontId="7" fillId="26" borderId="121" xfId="47" applyFont="1" applyFill="1" applyBorder="1" applyAlignment="1" applyProtection="1">
      <alignment vertical="center"/>
    </xf>
    <xf numFmtId="165" fontId="9" fillId="25" borderId="110" xfId="47" applyNumberFormat="1" applyFont="1" applyFill="1" applyBorder="1" applyAlignment="1" applyProtection="1">
      <alignment horizontal="left" vertical="center" wrapText="1"/>
    </xf>
    <xf numFmtId="0" fontId="0" fillId="0" borderId="111" xfId="0" applyBorder="1" applyAlignment="1">
      <alignment horizontal="left" vertical="center" wrapText="1"/>
    </xf>
    <xf numFmtId="0" fontId="0" fillId="0" borderId="58" xfId="0" applyBorder="1" applyAlignment="1">
      <alignment horizontal="left"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urrency 2" xfId="46"/>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44"/>
    <cellStyle name="Normal 2 2" xfId="45"/>
    <cellStyle name="Normal 2 3" xfId="47"/>
    <cellStyle name="Normal_Annual Deliverable cost table" xfId="38"/>
    <cellStyle name="Note" xfId="39" builtinId="10" customBuiltin="1"/>
    <cellStyle name="Output" xfId="40" builtinId="21" customBuiltin="1"/>
    <cellStyle name="Title" xfId="41" builtinId="15" customBuiltin="1"/>
    <cellStyle name="Total" xfId="42" builtinId="25" customBuiltin="1"/>
    <cellStyle name="Warning Text" xfId="43" builtinId="11" customBuiltin="1"/>
  </cellStyles>
  <dxfs count="2">
    <dxf>
      <fill>
        <patternFill>
          <bgColor indexed="10"/>
        </patternFill>
      </fill>
    </dxf>
    <dxf>
      <fill>
        <patternFill>
          <bgColor indexed="10"/>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dennis.thibodeau@ct.gov" TargetMode="External"/><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1:G43"/>
  <sheetViews>
    <sheetView showGridLines="0" topLeftCell="A16" zoomScaleNormal="100" zoomScaleSheetLayoutView="100" workbookViewId="0">
      <selection activeCell="B21" sqref="B21:C21"/>
    </sheetView>
  </sheetViews>
  <sheetFormatPr defaultRowHeight="10.5"/>
  <cols>
    <col min="1" max="1" width="2" style="2" customWidth="1"/>
    <col min="2" max="2" width="14.42578125" style="2" customWidth="1"/>
    <col min="3" max="3" width="109.7109375" style="2" customWidth="1"/>
    <col min="4" max="4" width="1.28515625" style="2" customWidth="1"/>
    <col min="5" max="16384" width="9.140625" style="2"/>
  </cols>
  <sheetData>
    <row r="1" spans="1:7" ht="12.6" customHeight="1"/>
    <row r="2" spans="1:7" ht="16.5" customHeight="1">
      <c r="A2" s="243" t="s">
        <v>73</v>
      </c>
      <c r="B2" s="243"/>
      <c r="C2" s="244"/>
    </row>
    <row r="3" spans="1:7" s="124" customFormat="1" ht="16.5" customHeight="1">
      <c r="A3" s="246" t="s">
        <v>25</v>
      </c>
      <c r="B3" s="247"/>
      <c r="C3" s="190"/>
    </row>
    <row r="4" spans="1:7" s="124" customFormat="1" ht="16.5" customHeight="1">
      <c r="A4" s="246" t="s">
        <v>22</v>
      </c>
      <c r="B4" s="247"/>
      <c r="C4" s="191" t="s">
        <v>105</v>
      </c>
    </row>
    <row r="5" spans="1:7" s="124" customFormat="1" ht="16.5" customHeight="1">
      <c r="A5" s="246" t="s">
        <v>26</v>
      </c>
      <c r="B5" s="247"/>
      <c r="C5" s="192">
        <v>41220</v>
      </c>
    </row>
    <row r="6" spans="1:7" s="124" customFormat="1" ht="16.5" customHeight="1">
      <c r="A6" s="246" t="s">
        <v>27</v>
      </c>
      <c r="B6" s="247"/>
      <c r="C6" s="191" t="s">
        <v>111</v>
      </c>
      <c r="E6" s="262" t="s">
        <v>80</v>
      </c>
      <c r="F6" s="262"/>
      <c r="G6" s="262"/>
    </row>
    <row r="7" spans="1:7" s="124" customFormat="1" ht="16.5" customHeight="1">
      <c r="A7" s="246" t="s">
        <v>23</v>
      </c>
      <c r="B7" s="247"/>
      <c r="C7" s="191">
        <v>8604243748</v>
      </c>
      <c r="E7" s="262"/>
      <c r="F7" s="262"/>
      <c r="G7" s="262"/>
    </row>
    <row r="8" spans="1:7" s="125" customFormat="1" ht="16.5" customHeight="1">
      <c r="A8" s="249" t="s">
        <v>24</v>
      </c>
      <c r="B8" s="250"/>
      <c r="C8" s="193" t="s">
        <v>112</v>
      </c>
      <c r="E8" s="262"/>
      <c r="F8" s="262"/>
      <c r="G8" s="262"/>
    </row>
    <row r="9" spans="1:7" ht="15.75" customHeight="1">
      <c r="A9" s="251" t="s">
        <v>74</v>
      </c>
      <c r="B9" s="252"/>
      <c r="C9" s="253"/>
    </row>
    <row r="10" spans="1:7" ht="26.25" customHeight="1">
      <c r="A10" s="263" t="s">
        <v>104</v>
      </c>
      <c r="B10" s="264"/>
      <c r="C10" s="265"/>
    </row>
    <row r="11" spans="1:7" ht="16.5" customHeight="1">
      <c r="A11" s="194">
        <v>1</v>
      </c>
      <c r="B11" s="248" t="s">
        <v>68</v>
      </c>
      <c r="C11" s="248"/>
      <c r="D11" s="158"/>
      <c r="E11" s="158"/>
    </row>
    <row r="12" spans="1:7" ht="16.5" customHeight="1">
      <c r="A12" s="195">
        <v>2</v>
      </c>
      <c r="B12" s="248" t="s">
        <v>31</v>
      </c>
      <c r="C12" s="248"/>
      <c r="D12" s="158"/>
      <c r="E12" s="158"/>
    </row>
    <row r="13" spans="1:7" ht="16.5" customHeight="1">
      <c r="A13" s="195">
        <v>3</v>
      </c>
      <c r="B13" s="248" t="s">
        <v>32</v>
      </c>
      <c r="C13" s="248"/>
      <c r="D13" s="158"/>
      <c r="E13" s="158"/>
    </row>
    <row r="14" spans="1:7" ht="16.5" customHeight="1">
      <c r="A14" s="195">
        <v>4</v>
      </c>
      <c r="B14" s="248" t="s">
        <v>66</v>
      </c>
      <c r="C14" s="248"/>
      <c r="D14" s="158"/>
      <c r="E14" s="158"/>
    </row>
    <row r="15" spans="1:7" ht="16.5" customHeight="1">
      <c r="A15" s="195">
        <v>6</v>
      </c>
      <c r="B15" s="248" t="s">
        <v>67</v>
      </c>
      <c r="C15" s="248"/>
      <c r="D15" s="158"/>
      <c r="E15" s="158"/>
    </row>
    <row r="16" spans="1:7" ht="18" customHeight="1">
      <c r="A16" s="195">
        <v>7</v>
      </c>
      <c r="B16" s="248" t="s">
        <v>33</v>
      </c>
      <c r="C16" s="248"/>
      <c r="D16" s="158"/>
      <c r="E16" s="158"/>
    </row>
    <row r="17" spans="1:3" ht="15.75" customHeight="1">
      <c r="A17" s="245" t="s">
        <v>46</v>
      </c>
      <c r="B17" s="243"/>
      <c r="C17" s="244"/>
    </row>
    <row r="18" spans="1:3" ht="14.25" customHeight="1">
      <c r="A18" s="196">
        <v>3</v>
      </c>
      <c r="B18" s="266" t="s">
        <v>84</v>
      </c>
      <c r="C18" s="267"/>
    </row>
    <row r="19" spans="1:3" ht="14.25" customHeight="1">
      <c r="A19" s="238" t="s">
        <v>20</v>
      </c>
      <c r="B19" s="239"/>
      <c r="C19" s="240"/>
    </row>
    <row r="20" spans="1:3" ht="12.75">
      <c r="A20" s="197">
        <v>1</v>
      </c>
      <c r="B20" s="236" t="s">
        <v>34</v>
      </c>
      <c r="C20" s="236"/>
    </row>
    <row r="21" spans="1:3" ht="93" customHeight="1">
      <c r="A21" s="196">
        <v>2</v>
      </c>
      <c r="B21" s="237" t="s">
        <v>47</v>
      </c>
      <c r="C21" s="237"/>
    </row>
    <row r="22" spans="1:3" ht="12.75">
      <c r="A22" s="196">
        <v>3</v>
      </c>
      <c r="B22" s="237" t="s">
        <v>101</v>
      </c>
      <c r="C22" s="237"/>
    </row>
    <row r="23" spans="1:3" ht="12.75">
      <c r="A23" s="196">
        <v>4</v>
      </c>
      <c r="B23" s="237" t="s">
        <v>102</v>
      </c>
      <c r="C23" s="237"/>
    </row>
    <row r="24" spans="1:3" ht="15.75" customHeight="1">
      <c r="A24" s="258" t="s">
        <v>45</v>
      </c>
      <c r="B24" s="258"/>
      <c r="C24" s="258"/>
    </row>
    <row r="25" spans="1:3" ht="12.75" customHeight="1">
      <c r="A25" s="197">
        <v>1</v>
      </c>
      <c r="B25" s="242" t="s">
        <v>35</v>
      </c>
      <c r="C25" s="242"/>
    </row>
    <row r="26" spans="1:3" ht="12.75">
      <c r="A26" s="196">
        <v>2</v>
      </c>
      <c r="B26" s="241" t="s">
        <v>36</v>
      </c>
      <c r="C26" s="241"/>
    </row>
    <row r="27" spans="1:3" ht="12.75" customHeight="1">
      <c r="A27" s="196">
        <v>3</v>
      </c>
      <c r="B27" s="237" t="s">
        <v>101</v>
      </c>
      <c r="C27" s="237"/>
    </row>
    <row r="28" spans="1:3" ht="13.5" customHeight="1">
      <c r="A28" s="255" t="s">
        <v>50</v>
      </c>
      <c r="B28" s="256"/>
      <c r="C28" s="257"/>
    </row>
    <row r="29" spans="1:3" ht="12.75">
      <c r="A29" s="197">
        <v>1</v>
      </c>
      <c r="B29" s="242" t="s">
        <v>35</v>
      </c>
      <c r="C29" s="242"/>
    </row>
    <row r="30" spans="1:3" ht="12.75">
      <c r="A30" s="196">
        <v>2</v>
      </c>
      <c r="B30" s="241" t="s">
        <v>36</v>
      </c>
      <c r="C30" s="241"/>
    </row>
    <row r="31" spans="1:3" ht="12.75" customHeight="1">
      <c r="A31" s="196">
        <v>3</v>
      </c>
      <c r="B31" s="237" t="s">
        <v>101</v>
      </c>
      <c r="C31" s="237"/>
    </row>
    <row r="32" spans="1:3" ht="13.5" customHeight="1">
      <c r="A32" s="255" t="s">
        <v>54</v>
      </c>
      <c r="B32" s="256"/>
      <c r="C32" s="257"/>
    </row>
    <row r="33" spans="1:3" ht="64.5" customHeight="1">
      <c r="A33" s="197">
        <v>1</v>
      </c>
      <c r="B33" s="259" t="s">
        <v>81</v>
      </c>
      <c r="C33" s="260"/>
    </row>
    <row r="34" spans="1:3" ht="117.75" customHeight="1">
      <c r="A34" s="196">
        <v>2</v>
      </c>
      <c r="B34" s="259" t="s">
        <v>103</v>
      </c>
      <c r="C34" s="260"/>
    </row>
    <row r="35" spans="1:3" ht="54.75" customHeight="1">
      <c r="A35" s="196">
        <v>3</v>
      </c>
      <c r="B35" s="259" t="s">
        <v>82</v>
      </c>
      <c r="C35" s="260"/>
    </row>
    <row r="36" spans="1:3" ht="32.25" customHeight="1">
      <c r="A36" s="196">
        <v>4</v>
      </c>
      <c r="B36" s="259" t="s">
        <v>59</v>
      </c>
      <c r="C36" s="260"/>
    </row>
    <row r="37" spans="1:3" ht="15.75" customHeight="1">
      <c r="A37" s="196">
        <v>5</v>
      </c>
      <c r="B37" s="237" t="s">
        <v>69</v>
      </c>
      <c r="C37" s="237"/>
    </row>
    <row r="38" spans="1:3" ht="107.25" customHeight="1">
      <c r="A38" s="196">
        <v>6</v>
      </c>
      <c r="B38" s="261" t="s">
        <v>100</v>
      </c>
      <c r="C38" s="237"/>
    </row>
    <row r="39" spans="1:3" ht="13.5" customHeight="1">
      <c r="A39" s="255" t="s">
        <v>21</v>
      </c>
      <c r="B39" s="256"/>
      <c r="C39" s="257"/>
    </row>
    <row r="40" spans="1:3" ht="12.75" customHeight="1">
      <c r="A40" s="197">
        <v>1</v>
      </c>
      <c r="B40" s="236" t="s">
        <v>37</v>
      </c>
      <c r="C40" s="236"/>
    </row>
    <row r="41" spans="1:3" ht="27.75" customHeight="1">
      <c r="A41" s="196">
        <v>2</v>
      </c>
      <c r="B41" s="237" t="s">
        <v>75</v>
      </c>
      <c r="C41" s="237"/>
    </row>
    <row r="42" spans="1:3" ht="15.75" customHeight="1">
      <c r="A42" s="198">
        <v>3</v>
      </c>
      <c r="B42" s="237" t="s">
        <v>38</v>
      </c>
      <c r="C42" s="237"/>
    </row>
    <row r="43" spans="1:3" ht="43.5" customHeight="1">
      <c r="A43" s="199">
        <v>4</v>
      </c>
      <c r="B43" s="254" t="s">
        <v>79</v>
      </c>
      <c r="C43" s="237"/>
    </row>
  </sheetData>
  <sheetProtection password="CAD5" sheet="1" objects="1" scenarios="1"/>
  <mergeCells count="43">
    <mergeCell ref="E6:G8"/>
    <mergeCell ref="A10:C10"/>
    <mergeCell ref="B18:C18"/>
    <mergeCell ref="B11:C11"/>
    <mergeCell ref="B13:C13"/>
    <mergeCell ref="B14:C14"/>
    <mergeCell ref="B15:C15"/>
    <mergeCell ref="B43:C43"/>
    <mergeCell ref="A28:C28"/>
    <mergeCell ref="A24:C24"/>
    <mergeCell ref="B33:C33"/>
    <mergeCell ref="B35:C35"/>
    <mergeCell ref="B34:C34"/>
    <mergeCell ref="B29:C29"/>
    <mergeCell ref="B30:C30"/>
    <mergeCell ref="B27:C27"/>
    <mergeCell ref="B31:C31"/>
    <mergeCell ref="A32:C32"/>
    <mergeCell ref="B42:C42"/>
    <mergeCell ref="B38:C38"/>
    <mergeCell ref="B37:C37"/>
    <mergeCell ref="B36:C36"/>
    <mergeCell ref="A39:C39"/>
    <mergeCell ref="A2:C2"/>
    <mergeCell ref="A17:C17"/>
    <mergeCell ref="A3:B3"/>
    <mergeCell ref="A4:B4"/>
    <mergeCell ref="A5:B5"/>
    <mergeCell ref="A6:B6"/>
    <mergeCell ref="B12:C12"/>
    <mergeCell ref="B16:C16"/>
    <mergeCell ref="A7:B7"/>
    <mergeCell ref="A8:B8"/>
    <mergeCell ref="A9:C9"/>
    <mergeCell ref="B40:C40"/>
    <mergeCell ref="B41:C41"/>
    <mergeCell ref="A19:C19"/>
    <mergeCell ref="B26:C26"/>
    <mergeCell ref="B25:C25"/>
    <mergeCell ref="B22:C22"/>
    <mergeCell ref="B20:C20"/>
    <mergeCell ref="B23:C23"/>
    <mergeCell ref="B21:C21"/>
  </mergeCells>
  <phoneticPr fontId="0" type="noConversion"/>
  <hyperlinks>
    <hyperlink ref="B12:C12" location="'FINANCIAL BENEFITS'!A1" display="Financial Benefits"/>
    <hyperlink ref="B13:C13" location="'TOTAL DEVELOPMENT COSTS'!A1" display="Total Development Costs"/>
    <hyperlink ref="B14:C14" location="'CAPITAL DEVELOPMENT COSTS'!A1" display="IT Capital Bond Development Costs"/>
    <hyperlink ref="B15:C15" location="'SUPPORT COSTS'!A1" display="Transition and Operating Costs"/>
    <hyperlink ref="B16:C16" location="'FUNDING SOURCES'!A1" display="Funding Sources"/>
    <hyperlink ref="B11:C11" location="'PROJECT ID|INSTRUCTIONS'!A1" display="Project ID | Instructions (this worksheet)"/>
    <hyperlink ref="C8" r:id="rId1"/>
  </hyperlinks>
  <printOptions horizontalCentered="1"/>
  <pageMargins left="0.75" right="0.75" top="1.2" bottom="1" header="0.5" footer="0.5"/>
  <pageSetup scale="99" fitToHeight="5" orientation="landscape" r:id="rId2"/>
  <headerFooter alignWithMargins="0">
    <oddHeader>&amp;L&amp;G&amp;C&amp;"Verdana,Bold"&amp;10State of Connecticut
IT Investment Brief
PROJECT IDENTIFICATION</oddHeader>
    <oddFooter>&amp;L&amp;A&amp;Cv2.0&amp;RPage &amp;P</oddFooter>
  </headerFooter>
  <rowBreaks count="2" manualBreakCount="2">
    <brk id="18" max="2" man="1"/>
    <brk id="33" max="2" man="1"/>
  </rowBreaks>
  <legacyDrawing r:id="rId3"/>
  <legacyDrawingHF r:id="rId4"/>
  <oleObjects>
    <oleObject progId="Visio.Drawing.11" shapeId="10276" r:id="rId5"/>
  </oleObjects>
</worksheet>
</file>

<file path=xl/worksheets/sheet2.xml><?xml version="1.0" encoding="utf-8"?>
<worksheet xmlns="http://schemas.openxmlformats.org/spreadsheetml/2006/main" xmlns:r="http://schemas.openxmlformats.org/officeDocument/2006/relationships">
  <sheetPr codeName="Sheet2"/>
  <dimension ref="A2:F28"/>
  <sheetViews>
    <sheetView showGridLines="0" zoomScaleNormal="100" workbookViewId="0">
      <selection activeCell="C18" sqref="C18"/>
    </sheetView>
  </sheetViews>
  <sheetFormatPr defaultRowHeight="12"/>
  <cols>
    <col min="1" max="1" width="2" style="4" customWidth="1"/>
    <col min="2" max="2" width="53.28515625" style="4" customWidth="1"/>
    <col min="3" max="3" width="19" style="4" customWidth="1"/>
    <col min="4" max="4" width="16.85546875" style="4" customWidth="1"/>
    <col min="5" max="5" width="16.28515625" style="4" customWidth="1"/>
    <col min="6" max="6" width="17.28515625" style="4" customWidth="1"/>
    <col min="7" max="16384" width="9.140625" style="4"/>
  </cols>
  <sheetData>
    <row r="2" spans="1:6" s="5" customFormat="1" ht="16.5" customHeight="1">
      <c r="A2" s="273" t="s">
        <v>25</v>
      </c>
      <c r="B2" s="274"/>
      <c r="C2" s="279" t="str">
        <f>IF(ISBLANK('PROJECT ID|INSTRUCTIONS'!C3)," ",'PROJECT ID|INSTRUCTIONS'!C3)</f>
        <v xml:space="preserve"> </v>
      </c>
      <c r="D2" s="280"/>
      <c r="E2" s="280"/>
      <c r="F2" s="281"/>
    </row>
    <row r="3" spans="1:6" s="5" customFormat="1" ht="16.5" customHeight="1">
      <c r="A3" s="275" t="s">
        <v>22</v>
      </c>
      <c r="B3" s="276"/>
      <c r="C3" s="282" t="str">
        <f>IF(ISBLANK('PROJECT ID|INSTRUCTIONS'!C4)," ",'PROJECT ID|INSTRUCTIONS'!C4)</f>
        <v>VOIP (Voice over IP telephony) implementation at DEEP</v>
      </c>
      <c r="D3" s="283"/>
      <c r="E3" s="283"/>
      <c r="F3" s="284"/>
    </row>
    <row r="4" spans="1:6" s="5" customFormat="1" ht="16.5" customHeight="1">
      <c r="A4" s="277" t="s">
        <v>26</v>
      </c>
      <c r="B4" s="278"/>
      <c r="C4" s="285">
        <f>IF(ISBLANK('PROJECT ID|INSTRUCTIONS'!C5)," ",'PROJECT ID|INSTRUCTIONS'!C5)</f>
        <v>41220</v>
      </c>
      <c r="D4" s="286"/>
      <c r="E4" s="286"/>
      <c r="F4" s="287"/>
    </row>
    <row r="5" spans="1:6" s="6" customFormat="1" ht="12" customHeight="1"/>
    <row r="6" spans="1:6" s="6" customFormat="1" ht="18.75" customHeight="1">
      <c r="A6" s="270" t="s">
        <v>20</v>
      </c>
      <c r="B6" s="271"/>
      <c r="C6" s="271"/>
      <c r="D6" s="271"/>
      <c r="E6" s="271"/>
      <c r="F6" s="272"/>
    </row>
    <row r="7" spans="1:6" ht="14.25" customHeight="1">
      <c r="A7" s="16"/>
      <c r="B7" s="7"/>
      <c r="C7" s="8" t="s">
        <v>3</v>
      </c>
      <c r="D7" s="8"/>
      <c r="E7" s="8" t="s">
        <v>4</v>
      </c>
      <c r="F7" s="17"/>
    </row>
    <row r="8" spans="1:6" ht="16.5" customHeight="1" thickBot="1">
      <c r="A8" s="18"/>
      <c r="B8" s="9"/>
      <c r="C8" s="10" t="s">
        <v>6</v>
      </c>
      <c r="D8" s="10" t="s">
        <v>5</v>
      </c>
      <c r="E8" s="10" t="s">
        <v>1</v>
      </c>
      <c r="F8" s="19" t="s">
        <v>2</v>
      </c>
    </row>
    <row r="9" spans="1:6" ht="18" customHeight="1" thickTop="1">
      <c r="A9" s="20" t="s">
        <v>10</v>
      </c>
      <c r="B9" s="21"/>
      <c r="C9" s="11"/>
      <c r="D9" s="12"/>
      <c r="E9" s="11"/>
      <c r="F9" s="12"/>
    </row>
    <row r="10" spans="1:6" s="13" customFormat="1">
      <c r="A10" s="66"/>
      <c r="B10" s="200"/>
      <c r="C10" s="201"/>
      <c r="D10" s="202"/>
      <c r="E10" s="201"/>
      <c r="F10" s="202"/>
    </row>
    <row r="11" spans="1:6" s="13" customFormat="1">
      <c r="A11" s="66"/>
      <c r="B11" s="200"/>
      <c r="C11" s="203"/>
      <c r="D11" s="204"/>
      <c r="E11" s="203"/>
      <c r="F11" s="204"/>
    </row>
    <row r="12" spans="1:6" s="13" customFormat="1">
      <c r="A12" s="66"/>
      <c r="B12" s="200"/>
      <c r="C12" s="203"/>
      <c r="D12" s="204"/>
      <c r="E12" s="203"/>
      <c r="F12" s="204"/>
    </row>
    <row r="13" spans="1:6" s="13" customFormat="1">
      <c r="A13" s="66"/>
      <c r="B13" s="200"/>
      <c r="C13" s="201"/>
      <c r="D13" s="202"/>
      <c r="E13" s="201"/>
      <c r="F13" s="202"/>
    </row>
    <row r="14" spans="1:6" s="13" customFormat="1">
      <c r="A14" s="66"/>
      <c r="B14" s="200"/>
      <c r="C14" s="201"/>
      <c r="D14" s="202"/>
      <c r="E14" s="201"/>
      <c r="F14" s="202"/>
    </row>
    <row r="15" spans="1:6" ht="15" customHeight="1">
      <c r="A15" s="20" t="s">
        <v>11</v>
      </c>
      <c r="B15" s="21"/>
      <c r="C15" s="69"/>
      <c r="D15" s="70"/>
      <c r="E15" s="69"/>
      <c r="F15" s="70"/>
    </row>
    <row r="16" spans="1:6" s="13" customFormat="1">
      <c r="A16" s="66"/>
      <c r="B16" s="200"/>
      <c r="C16" s="203"/>
      <c r="D16" s="204"/>
      <c r="E16" s="203"/>
      <c r="F16" s="204"/>
    </row>
    <row r="17" spans="1:6" s="13" customFormat="1">
      <c r="A17" s="66"/>
      <c r="B17" s="200"/>
      <c r="C17" s="203"/>
      <c r="D17" s="204"/>
      <c r="E17" s="203"/>
      <c r="F17" s="204"/>
    </row>
    <row r="18" spans="1:6" s="13" customFormat="1">
      <c r="A18" s="66"/>
      <c r="B18" s="200"/>
      <c r="C18" s="203"/>
      <c r="D18" s="204"/>
      <c r="E18" s="203"/>
      <c r="F18" s="204"/>
    </row>
    <row r="19" spans="1:6" s="13" customFormat="1">
      <c r="A19" s="66"/>
      <c r="B19" s="200"/>
      <c r="C19" s="201"/>
      <c r="D19" s="202"/>
      <c r="E19" s="201"/>
      <c r="F19" s="202"/>
    </row>
    <row r="20" spans="1:6" s="13" customFormat="1">
      <c r="A20" s="66"/>
      <c r="B20" s="200"/>
      <c r="C20" s="205"/>
      <c r="D20" s="206"/>
      <c r="E20" s="205"/>
      <c r="F20" s="206"/>
    </row>
    <row r="21" spans="1:6" ht="15" customHeight="1">
      <c r="A21" s="20" t="s">
        <v>12</v>
      </c>
      <c r="B21" s="21"/>
      <c r="C21" s="67"/>
      <c r="D21" s="68"/>
      <c r="E21" s="150"/>
      <c r="F21" s="68"/>
    </row>
    <row r="22" spans="1:6" s="13" customFormat="1" ht="24">
      <c r="A22" s="22"/>
      <c r="B22" s="207" t="s">
        <v>110</v>
      </c>
      <c r="C22" s="203"/>
      <c r="D22" s="204"/>
      <c r="E22" s="203" t="s">
        <v>106</v>
      </c>
      <c r="F22" s="204">
        <v>200000</v>
      </c>
    </row>
    <row r="23" spans="1:6" s="13" customFormat="1">
      <c r="A23" s="22"/>
      <c r="B23" s="208"/>
      <c r="C23" s="203"/>
      <c r="D23" s="204"/>
      <c r="E23" s="203"/>
      <c r="F23" s="204"/>
    </row>
    <row r="24" spans="1:6" s="13" customFormat="1">
      <c r="A24" s="22"/>
      <c r="B24" s="208"/>
      <c r="C24" s="203"/>
      <c r="D24" s="204"/>
      <c r="E24" s="203"/>
      <c r="F24" s="204"/>
    </row>
    <row r="25" spans="1:6" s="13" customFormat="1">
      <c r="A25" s="22"/>
      <c r="B25" s="207"/>
      <c r="C25" s="201"/>
      <c r="D25" s="202"/>
      <c r="E25" s="201"/>
      <c r="F25" s="202"/>
    </row>
    <row r="26" spans="1:6" s="13" customFormat="1" ht="12.75" thickBot="1">
      <c r="A26" s="22"/>
      <c r="B26" s="209"/>
      <c r="C26" s="205"/>
      <c r="D26" s="206"/>
      <c r="E26" s="205"/>
      <c r="F26" s="206"/>
    </row>
    <row r="27" spans="1:6" ht="18" customHeight="1" thickTop="1" thickBot="1">
      <c r="A27" s="268" t="s">
        <v>0</v>
      </c>
      <c r="B27" s="269"/>
      <c r="C27" s="14"/>
      <c r="D27" s="15">
        <f>SUM(D9:D26)</f>
        <v>0</v>
      </c>
      <c r="E27" s="14"/>
      <c r="F27" s="15">
        <f>SUM(F9:F26)</f>
        <v>200000</v>
      </c>
    </row>
    <row r="28" spans="1:6" ht="12.75" thickTop="1"/>
  </sheetData>
  <sheetProtection password="CAD5" sheet="1" objects="1" scenarios="1"/>
  <mergeCells count="8">
    <mergeCell ref="A27:B27"/>
    <mergeCell ref="A6:F6"/>
    <mergeCell ref="A2:B2"/>
    <mergeCell ref="A3:B3"/>
    <mergeCell ref="A4:B4"/>
    <mergeCell ref="C2:F2"/>
    <mergeCell ref="C3:F3"/>
    <mergeCell ref="C4:F4"/>
  </mergeCells>
  <phoneticPr fontId="1" type="noConversion"/>
  <printOptions horizontalCentered="1"/>
  <pageMargins left="0.75" right="0.75" top="1.26" bottom="0.65" header="0.5" footer="0.45"/>
  <pageSetup orientation="landscape" r:id="rId1"/>
  <headerFooter alignWithMargins="0">
    <oddHeader>&amp;L&amp;G&amp;C&amp;"Verdana,Bold"&amp;10State of Connecticut
IT Investment Brief
FINANCIAL BENEFITS</oddHeader>
    <oddFooter>&amp;L&amp;A&amp;Cv2.0&amp;RPage &amp;P</oddFooter>
  </headerFooter>
  <legacyDrawingHF r:id="rId2"/>
</worksheet>
</file>

<file path=xl/worksheets/sheet3.xml><?xml version="1.0" encoding="utf-8"?>
<worksheet xmlns="http://schemas.openxmlformats.org/spreadsheetml/2006/main" xmlns:r="http://schemas.openxmlformats.org/officeDocument/2006/relationships">
  <sheetPr codeName="Sheet3">
    <pageSetUpPr fitToPage="1"/>
  </sheetPr>
  <dimension ref="A1:K24"/>
  <sheetViews>
    <sheetView showGridLines="0" zoomScaleNormal="100" workbookViewId="0">
      <pane ySplit="7" topLeftCell="A8" activePane="bottomLeft" state="frozen"/>
      <selection pane="bottomLeft" activeCell="A8" sqref="A8:A11"/>
    </sheetView>
  </sheetViews>
  <sheetFormatPr defaultRowHeight="12.75"/>
  <cols>
    <col min="1" max="1" width="7.7109375" style="6" customWidth="1"/>
    <col min="2" max="2" width="10.28515625" style="6" customWidth="1"/>
    <col min="3" max="3" width="29.85546875" style="6" bestFit="1" customWidth="1"/>
    <col min="4" max="10" width="12.7109375" style="6" customWidth="1"/>
    <col min="11" max="11" width="14.140625" style="6" customWidth="1"/>
    <col min="12" max="16384" width="9.140625" style="6"/>
  </cols>
  <sheetData>
    <row r="1" spans="1:11" ht="12" customHeight="1"/>
    <row r="2" spans="1:11" ht="16.5" customHeight="1">
      <c r="A2" s="298" t="s">
        <v>25</v>
      </c>
      <c r="B2" s="299"/>
      <c r="C2" s="300"/>
      <c r="D2" s="279" t="str">
        <f>IF(ISBLANK('PROJECT ID|INSTRUCTIONS'!C3)," ",'PROJECT ID|INSTRUCTIONS'!C3)</f>
        <v xml:space="preserve"> </v>
      </c>
      <c r="E2" s="280"/>
      <c r="F2" s="280"/>
      <c r="G2" s="280"/>
      <c r="H2" s="280"/>
      <c r="I2" s="281"/>
    </row>
    <row r="3" spans="1:11" ht="16.5" customHeight="1">
      <c r="A3" s="301" t="s">
        <v>22</v>
      </c>
      <c r="B3" s="302"/>
      <c r="C3" s="276"/>
      <c r="D3" s="282" t="str">
        <f>IF(ISBLANK('PROJECT ID|INSTRUCTIONS'!C4)," ",'PROJECT ID|INSTRUCTIONS'!C4)</f>
        <v>VOIP (Voice over IP telephony) implementation at DEEP</v>
      </c>
      <c r="E3" s="283"/>
      <c r="F3" s="283"/>
      <c r="G3" s="283"/>
      <c r="H3" s="283"/>
      <c r="I3" s="284"/>
    </row>
    <row r="4" spans="1:11" ht="16.5" customHeight="1">
      <c r="A4" s="303" t="s">
        <v>26</v>
      </c>
      <c r="B4" s="304"/>
      <c r="C4" s="305"/>
      <c r="D4" s="285">
        <f>IF(ISBLANK('PROJECT ID|INSTRUCTIONS'!C5)," ",'PROJECT ID|INSTRUCTIONS'!C5)</f>
        <v>41220</v>
      </c>
      <c r="E4" s="286"/>
      <c r="F4" s="286"/>
      <c r="G4" s="286"/>
      <c r="H4" s="286"/>
      <c r="I4" s="287"/>
    </row>
    <row r="5" spans="1:11" s="24" customFormat="1" ht="12" customHeight="1">
      <c r="A5" s="23" t="s">
        <v>48</v>
      </c>
      <c r="B5" s="23"/>
      <c r="C5" s="23"/>
      <c r="D5" s="23"/>
      <c r="E5" s="23"/>
      <c r="F5" s="23"/>
      <c r="G5" s="23"/>
    </row>
    <row r="6" spans="1:11" s="25" customFormat="1" ht="18" customHeight="1">
      <c r="A6" s="291" t="s">
        <v>55</v>
      </c>
      <c r="B6" s="292"/>
      <c r="C6" s="292"/>
      <c r="D6" s="292"/>
      <c r="E6" s="292"/>
      <c r="F6" s="292"/>
      <c r="G6" s="292"/>
      <c r="H6" s="292"/>
      <c r="I6" s="292"/>
      <c r="J6" s="292"/>
      <c r="K6" s="293"/>
    </row>
    <row r="7" spans="1:11" s="25" customFormat="1" ht="25.5">
      <c r="A7" s="26"/>
      <c r="B7" s="27" t="s">
        <v>14</v>
      </c>
      <c r="C7" s="28" t="s">
        <v>15</v>
      </c>
      <c r="D7" s="29" t="s">
        <v>13</v>
      </c>
      <c r="E7" s="29" t="str">
        <f>CONCATENATE("FY ",Settings!$C$1)</f>
        <v>FY 2013</v>
      </c>
      <c r="F7" s="29" t="str">
        <f>CONCATENATE("FY ",Settings!$C$1+1)</f>
        <v>FY 2014</v>
      </c>
      <c r="G7" s="29" t="str">
        <f>CONCATENATE("FY ",Settings!$C$1+2)</f>
        <v>FY 2015</v>
      </c>
      <c r="H7" s="29" t="str">
        <f>CONCATENATE("FY ",Settings!$C$1+3)</f>
        <v>FY 2016</v>
      </c>
      <c r="I7" s="29" t="str">
        <f>CONCATENATE("FY ",Settings!$C$1+4)</f>
        <v>FY 2017</v>
      </c>
      <c r="J7" s="29" t="str">
        <f>CONCATENATE("Out Years after FY",Settings!$C$1+4)</f>
        <v>Out Years after FY2017</v>
      </c>
      <c r="K7" s="30" t="s">
        <v>0</v>
      </c>
    </row>
    <row r="8" spans="1:11" ht="16.5" customHeight="1">
      <c r="A8" s="294" t="s">
        <v>86</v>
      </c>
      <c r="B8" s="31">
        <v>50110</v>
      </c>
      <c r="C8" s="31" t="s">
        <v>87</v>
      </c>
      <c r="D8" s="210"/>
      <c r="E8" s="210"/>
      <c r="F8" s="210"/>
      <c r="G8" s="210"/>
      <c r="H8" s="210"/>
      <c r="I8" s="210"/>
      <c r="J8" s="210"/>
      <c r="K8" s="141">
        <f>SUM(D8:J8)</f>
        <v>0</v>
      </c>
    </row>
    <row r="9" spans="1:11" ht="16.5" customHeight="1">
      <c r="A9" s="295"/>
      <c r="B9" s="31">
        <v>50130</v>
      </c>
      <c r="C9" s="31" t="s">
        <v>88</v>
      </c>
      <c r="D9" s="211"/>
      <c r="E9" s="211"/>
      <c r="F9" s="211"/>
      <c r="G9" s="211"/>
      <c r="H9" s="211"/>
      <c r="I9" s="211"/>
      <c r="J9" s="211"/>
      <c r="K9" s="68">
        <f t="shared" ref="K9:K19" si="0">SUM(D9:J9)</f>
        <v>0</v>
      </c>
    </row>
    <row r="10" spans="1:11" ht="16.5" customHeight="1">
      <c r="A10" s="295"/>
      <c r="B10" s="31">
        <v>50170</v>
      </c>
      <c r="C10" s="31" t="s">
        <v>89</v>
      </c>
      <c r="D10" s="212">
        <v>15000</v>
      </c>
      <c r="E10" s="212">
        <v>15000</v>
      </c>
      <c r="F10" s="212">
        <v>15000</v>
      </c>
      <c r="G10" s="212">
        <v>15000</v>
      </c>
      <c r="H10" s="212"/>
      <c r="I10" s="212"/>
      <c r="J10" s="212"/>
      <c r="K10" s="149">
        <f t="shared" si="0"/>
        <v>60000</v>
      </c>
    </row>
    <row r="11" spans="1:11" ht="16.5" customHeight="1" thickBot="1">
      <c r="A11" s="296"/>
      <c r="B11" s="32" t="s">
        <v>16</v>
      </c>
      <c r="C11" s="32"/>
      <c r="D11" s="33">
        <f>SUM(D8:D10)</f>
        <v>15000</v>
      </c>
      <c r="E11" s="33">
        <f t="shared" ref="E11:J11" si="1">SUM(E8:E10)</f>
        <v>15000</v>
      </c>
      <c r="F11" s="33">
        <f t="shared" si="1"/>
        <v>15000</v>
      </c>
      <c r="G11" s="33">
        <f t="shared" si="1"/>
        <v>15000</v>
      </c>
      <c r="H11" s="33">
        <f t="shared" si="1"/>
        <v>0</v>
      </c>
      <c r="I11" s="33">
        <f t="shared" si="1"/>
        <v>0</v>
      </c>
      <c r="J11" s="33">
        <f t="shared" si="1"/>
        <v>0</v>
      </c>
      <c r="K11" s="34">
        <f t="shared" si="0"/>
        <v>60000</v>
      </c>
    </row>
    <row r="12" spans="1:11" ht="16.5" customHeight="1" thickTop="1">
      <c r="A12" s="297" t="s">
        <v>85</v>
      </c>
      <c r="B12" s="31">
        <v>53715</v>
      </c>
      <c r="C12" s="31" t="s">
        <v>90</v>
      </c>
      <c r="D12" s="210"/>
      <c r="E12" s="210">
        <v>163800.79999999999</v>
      </c>
      <c r="F12" s="210">
        <v>50000</v>
      </c>
      <c r="G12" s="210"/>
      <c r="H12" s="210"/>
      <c r="I12" s="210"/>
      <c r="J12" s="210"/>
      <c r="K12" s="148">
        <f t="shared" si="0"/>
        <v>213800.8</v>
      </c>
    </row>
    <row r="13" spans="1:11" ht="16.5" customHeight="1">
      <c r="A13" s="295"/>
      <c r="B13" s="31">
        <v>53720</v>
      </c>
      <c r="C13" s="31" t="s">
        <v>91</v>
      </c>
      <c r="D13" s="211"/>
      <c r="E13" s="211"/>
      <c r="F13" s="211"/>
      <c r="G13" s="211"/>
      <c r="H13" s="211"/>
      <c r="I13" s="211"/>
      <c r="J13" s="211"/>
      <c r="K13" s="68">
        <f t="shared" si="0"/>
        <v>0</v>
      </c>
    </row>
    <row r="14" spans="1:11" ht="16.5" customHeight="1">
      <c r="A14" s="295"/>
      <c r="B14" s="31">
        <v>53735</v>
      </c>
      <c r="C14" s="31" t="s">
        <v>92</v>
      </c>
      <c r="D14" s="211">
        <v>31195.98</v>
      </c>
      <c r="E14" s="211">
        <v>8634.1</v>
      </c>
      <c r="F14" s="211"/>
      <c r="G14" s="211"/>
      <c r="H14" s="211"/>
      <c r="I14" s="211"/>
      <c r="J14" s="211"/>
      <c r="K14" s="68">
        <f t="shared" si="0"/>
        <v>39830.080000000002</v>
      </c>
    </row>
    <row r="15" spans="1:11" ht="16.5" customHeight="1">
      <c r="A15" s="295"/>
      <c r="B15" s="31">
        <v>53740</v>
      </c>
      <c r="C15" s="31" t="s">
        <v>93</v>
      </c>
      <c r="D15" s="211"/>
      <c r="E15" s="211"/>
      <c r="F15" s="211"/>
      <c r="G15" s="211"/>
      <c r="H15" s="211"/>
      <c r="I15" s="211"/>
      <c r="J15" s="211"/>
      <c r="K15" s="68">
        <f t="shared" si="0"/>
        <v>0</v>
      </c>
    </row>
    <row r="16" spans="1:11" ht="16.5" customHeight="1">
      <c r="A16" s="295"/>
      <c r="B16" s="31">
        <v>53755</v>
      </c>
      <c r="C16" s="31" t="s">
        <v>94</v>
      </c>
      <c r="D16" s="211"/>
      <c r="E16" s="211">
        <v>316260</v>
      </c>
      <c r="F16" s="211"/>
      <c r="G16" s="211"/>
      <c r="H16" s="211"/>
      <c r="I16" s="211"/>
      <c r="J16" s="211"/>
      <c r="K16" s="68">
        <f t="shared" si="0"/>
        <v>316260</v>
      </c>
    </row>
    <row r="17" spans="1:11" ht="16.5" customHeight="1">
      <c r="A17" s="295"/>
      <c r="B17" s="31">
        <v>53760</v>
      </c>
      <c r="C17" s="31" t="s">
        <v>95</v>
      </c>
      <c r="D17" s="211"/>
      <c r="E17" s="211"/>
      <c r="F17" s="211"/>
      <c r="G17" s="211"/>
      <c r="H17" s="211"/>
      <c r="I17" s="211"/>
      <c r="J17" s="211"/>
      <c r="K17" s="149">
        <f t="shared" si="0"/>
        <v>0</v>
      </c>
    </row>
    <row r="18" spans="1:11" ht="16.5" customHeight="1" thickBot="1">
      <c r="A18" s="296"/>
      <c r="B18" s="32" t="s">
        <v>16</v>
      </c>
      <c r="C18" s="32"/>
      <c r="D18" s="33">
        <f>SUM(D12:D17)</f>
        <v>31195.98</v>
      </c>
      <c r="E18" s="33">
        <f t="shared" ref="E18:F18" si="2">SUM(E12:E17)</f>
        <v>488694.9</v>
      </c>
      <c r="F18" s="33">
        <f t="shared" si="2"/>
        <v>50000</v>
      </c>
      <c r="G18" s="33">
        <f t="shared" ref="G18:J18" si="3">SUM(G12:G17)</f>
        <v>0</v>
      </c>
      <c r="H18" s="33">
        <f t="shared" si="3"/>
        <v>0</v>
      </c>
      <c r="I18" s="33">
        <f t="shared" si="3"/>
        <v>0</v>
      </c>
      <c r="J18" s="33">
        <f t="shared" si="3"/>
        <v>0</v>
      </c>
      <c r="K18" s="34">
        <f>SUM(D18:J18)</f>
        <v>569890.88</v>
      </c>
    </row>
    <row r="19" spans="1:11" ht="16.5" customHeight="1" thickTop="1">
      <c r="A19" s="297" t="s">
        <v>96</v>
      </c>
      <c r="B19" s="31">
        <v>55700</v>
      </c>
      <c r="C19" s="31" t="s">
        <v>97</v>
      </c>
      <c r="D19" s="211">
        <v>247492.18</v>
      </c>
      <c r="E19" s="211">
        <v>43000</v>
      </c>
      <c r="F19" s="211">
        <v>450000</v>
      </c>
      <c r="G19" s="211"/>
      <c r="H19" s="211"/>
      <c r="I19" s="211"/>
      <c r="J19" s="211"/>
      <c r="K19" s="148">
        <f t="shared" si="0"/>
        <v>740492.17999999993</v>
      </c>
    </row>
    <row r="20" spans="1:11" ht="16.5" customHeight="1">
      <c r="A20" s="294"/>
      <c r="B20" s="31">
        <v>55710</v>
      </c>
      <c r="C20" s="31" t="s">
        <v>98</v>
      </c>
      <c r="D20" s="211">
        <v>0</v>
      </c>
      <c r="E20" s="211">
        <f>519939+2137.33+40763</f>
        <v>562839.33000000007</v>
      </c>
      <c r="F20" s="211"/>
      <c r="G20" s="211"/>
      <c r="H20" s="211"/>
      <c r="I20" s="211"/>
      <c r="J20" s="211"/>
      <c r="K20" s="159"/>
    </row>
    <row r="21" spans="1:11" ht="48" customHeight="1">
      <c r="A21" s="294"/>
      <c r="B21" s="31">
        <v>55730</v>
      </c>
      <c r="C21" s="31" t="s">
        <v>99</v>
      </c>
      <c r="D21" s="211">
        <v>88096.61</v>
      </c>
      <c r="E21" s="211"/>
      <c r="F21" s="211"/>
      <c r="G21" s="211"/>
      <c r="H21" s="211"/>
      <c r="I21" s="211"/>
      <c r="J21" s="211"/>
      <c r="K21" s="159"/>
    </row>
    <row r="22" spans="1:11" ht="16.5" customHeight="1" thickBot="1">
      <c r="A22" s="296"/>
      <c r="B22" s="32" t="s">
        <v>16</v>
      </c>
      <c r="C22" s="32"/>
      <c r="D22" s="33">
        <f t="shared" ref="D22:J22" si="4">SUM(D19:D21)</f>
        <v>335588.79</v>
      </c>
      <c r="E22" s="33">
        <f t="shared" si="4"/>
        <v>605839.33000000007</v>
      </c>
      <c r="F22" s="33">
        <f t="shared" si="4"/>
        <v>450000</v>
      </c>
      <c r="G22" s="33">
        <f t="shared" si="4"/>
        <v>0</v>
      </c>
      <c r="H22" s="33">
        <f t="shared" si="4"/>
        <v>0</v>
      </c>
      <c r="I22" s="33">
        <f t="shared" si="4"/>
        <v>0</v>
      </c>
      <c r="J22" s="33">
        <f t="shared" si="4"/>
        <v>0</v>
      </c>
      <c r="K22" s="34">
        <f>SUM(D22:J22)</f>
        <v>1391428.12</v>
      </c>
    </row>
    <row r="23" spans="1:11" ht="16.5" customHeight="1" thickTop="1" thickBot="1">
      <c r="A23" s="288" t="s">
        <v>17</v>
      </c>
      <c r="B23" s="289"/>
      <c r="C23" s="290"/>
      <c r="D23" s="15">
        <f t="shared" ref="D23:J23" si="5">D11+D18+D22</f>
        <v>381784.76999999996</v>
      </c>
      <c r="E23" s="15">
        <f t="shared" si="5"/>
        <v>1109534.23</v>
      </c>
      <c r="F23" s="15">
        <f t="shared" si="5"/>
        <v>515000</v>
      </c>
      <c r="G23" s="15">
        <f t="shared" si="5"/>
        <v>15000</v>
      </c>
      <c r="H23" s="15">
        <f t="shared" si="5"/>
        <v>0</v>
      </c>
      <c r="I23" s="15">
        <f t="shared" si="5"/>
        <v>0</v>
      </c>
      <c r="J23" s="15">
        <f t="shared" si="5"/>
        <v>0</v>
      </c>
      <c r="K23" s="15">
        <f>SUM(D23:J23)</f>
        <v>2021319</v>
      </c>
    </row>
    <row r="24" spans="1:11" ht="13.5" thickTop="1"/>
  </sheetData>
  <sheetProtection password="CAD5" sheet="1" objects="1" scenarios="1"/>
  <mergeCells count="11">
    <mergeCell ref="A2:C2"/>
    <mergeCell ref="A3:C3"/>
    <mergeCell ref="A4:C4"/>
    <mergeCell ref="D2:I2"/>
    <mergeCell ref="D3:I3"/>
    <mergeCell ref="D4:I4"/>
    <mergeCell ref="A23:C23"/>
    <mergeCell ref="A6:K6"/>
    <mergeCell ref="A8:A11"/>
    <mergeCell ref="A12:A18"/>
    <mergeCell ref="A19:A22"/>
  </mergeCells>
  <phoneticPr fontId="0" type="noConversion"/>
  <printOptions horizontalCentered="1"/>
  <pageMargins left="0.75" right="0.75" top="1.27" bottom="0.64" header="0.5" footer="0.45"/>
  <pageSetup scale="87" orientation="landscape" r:id="rId1"/>
  <headerFooter alignWithMargins="0">
    <oddHeader>&amp;L&amp;G&amp;C&amp;"Verdana,Bold"&amp;10State of Connecticut
IT Investment Brief
TOTAL DEVELOPMENT COSTS</oddHeader>
    <oddFooter>&amp;L&amp;A&amp;Cv1.0&amp;RPage &amp;P</oddFooter>
  </headerFooter>
  <rowBreaks count="1" manualBreakCount="1">
    <brk id="24" max="16383" man="1"/>
  </rowBreaks>
  <ignoredErrors>
    <ignoredError sqref="F7" formula="1"/>
  </ignoredErrors>
  <legacyDrawingHF r:id="rId2"/>
</worksheet>
</file>

<file path=xl/worksheets/sheet4.xml><?xml version="1.0" encoding="utf-8"?>
<worksheet xmlns="http://schemas.openxmlformats.org/spreadsheetml/2006/main" xmlns:r="http://schemas.openxmlformats.org/officeDocument/2006/relationships">
  <sheetPr codeName="Sheet4">
    <pageSetUpPr fitToPage="1"/>
  </sheetPr>
  <dimension ref="A1:K24"/>
  <sheetViews>
    <sheetView showGridLines="0" zoomScale="90" zoomScaleNormal="90" workbookViewId="0">
      <pane ySplit="7" topLeftCell="A11" activePane="bottomLeft" state="frozen"/>
      <selection pane="bottomLeft" activeCell="G14" sqref="G14"/>
    </sheetView>
  </sheetViews>
  <sheetFormatPr defaultRowHeight="10.5"/>
  <cols>
    <col min="1" max="1" width="7.7109375" style="2" customWidth="1"/>
    <col min="2" max="2" width="5.7109375" style="2" customWidth="1"/>
    <col min="3" max="3" width="29.85546875" style="2" bestFit="1" customWidth="1"/>
    <col min="4" max="10" width="12.7109375" style="2" customWidth="1"/>
    <col min="11" max="11" width="13" style="2" customWidth="1"/>
    <col min="12" max="16384" width="9.140625" style="2"/>
  </cols>
  <sheetData>
    <row r="1" spans="1:11" ht="12" customHeight="1"/>
    <row r="2" spans="1:11" s="36" customFormat="1" ht="16.5" customHeight="1">
      <c r="A2" s="298" t="s">
        <v>25</v>
      </c>
      <c r="B2" s="299"/>
      <c r="C2" s="299"/>
      <c r="D2" s="280" t="str">
        <f>IF(ISBLANK('PROJECT ID|INSTRUCTIONS'!C3)," ",'PROJECT ID|INSTRUCTIONS'!C3)</f>
        <v xml:space="preserve"> </v>
      </c>
      <c r="E2" s="306"/>
      <c r="F2" s="306"/>
      <c r="G2" s="306"/>
      <c r="H2" s="306"/>
      <c r="I2" s="307"/>
    </row>
    <row r="3" spans="1:11" s="36" customFormat="1" ht="16.5" customHeight="1">
      <c r="A3" s="301" t="s">
        <v>22</v>
      </c>
      <c r="B3" s="302"/>
      <c r="C3" s="302"/>
      <c r="D3" s="283" t="str">
        <f>IF(ISBLANK('PROJECT ID|INSTRUCTIONS'!C4)," ",'PROJECT ID|INSTRUCTIONS'!C4)</f>
        <v>VOIP (Voice over IP telephony) implementation at DEEP</v>
      </c>
      <c r="E3" s="308"/>
      <c r="F3" s="308"/>
      <c r="G3" s="308"/>
      <c r="H3" s="308"/>
      <c r="I3" s="309"/>
    </row>
    <row r="4" spans="1:11" s="36" customFormat="1" ht="16.5" customHeight="1">
      <c r="A4" s="303" t="s">
        <v>26</v>
      </c>
      <c r="B4" s="304"/>
      <c r="C4" s="304"/>
      <c r="D4" s="286">
        <f>IF(ISBLANK('PROJECT ID|INSTRUCTIONS'!C5)," ",'PROJECT ID|INSTRUCTIONS'!C5)</f>
        <v>41220</v>
      </c>
      <c r="E4" s="310"/>
      <c r="F4" s="310"/>
      <c r="G4" s="310"/>
      <c r="H4" s="310"/>
      <c r="I4" s="311"/>
    </row>
    <row r="5" spans="1:11" s="36" customFormat="1" ht="12" customHeight="1">
      <c r="A5" s="37"/>
      <c r="B5" s="37"/>
      <c r="C5" s="37"/>
      <c r="D5" s="37"/>
      <c r="E5" s="38"/>
      <c r="F5" s="38"/>
      <c r="G5" s="38"/>
      <c r="H5" s="38"/>
      <c r="I5" s="38"/>
    </row>
    <row r="6" spans="1:11" ht="18" customHeight="1">
      <c r="A6" s="312" t="s">
        <v>56</v>
      </c>
      <c r="B6" s="313"/>
      <c r="C6" s="313"/>
      <c r="D6" s="313"/>
      <c r="E6" s="313"/>
      <c r="F6" s="313"/>
      <c r="G6" s="313"/>
      <c r="H6" s="313"/>
      <c r="I6" s="313"/>
      <c r="J6" s="313"/>
      <c r="K6" s="314"/>
    </row>
    <row r="7" spans="1:11" ht="26.25" thickBot="1">
      <c r="A7" s="39"/>
      <c r="B7" s="40" t="s">
        <v>14</v>
      </c>
      <c r="C7" s="40" t="s">
        <v>15</v>
      </c>
      <c r="D7" s="41" t="s">
        <v>13</v>
      </c>
      <c r="E7" s="41" t="str">
        <f>CONCATENATE("FY ",Settings!$C$1)</f>
        <v>FY 2013</v>
      </c>
      <c r="F7" s="41" t="str">
        <f>CONCATENATE("FY ",Settings!$C$1+1)</f>
        <v>FY 2014</v>
      </c>
      <c r="G7" s="41" t="str">
        <f>CONCATENATE("FY ",Settings!$C$1+2)</f>
        <v>FY 2015</v>
      </c>
      <c r="H7" s="41" t="str">
        <f>CONCATENATE("FY ",Settings!$C$1+3)</f>
        <v>FY 2016</v>
      </c>
      <c r="I7" s="41" t="str">
        <f>CONCATENATE("FY ",Settings!$C$1+4)</f>
        <v>FY 2017</v>
      </c>
      <c r="J7" s="41" t="str">
        <f>CONCATENATE("Out Years after FY",Settings!$C$1+4)</f>
        <v>Out Years after FY2017</v>
      </c>
      <c r="K7" s="42" t="s">
        <v>0</v>
      </c>
    </row>
    <row r="8" spans="1:11" ht="16.5" customHeight="1">
      <c r="A8" s="294" t="s">
        <v>86</v>
      </c>
      <c r="B8" s="31">
        <v>50110</v>
      </c>
      <c r="C8" s="31" t="s">
        <v>87</v>
      </c>
      <c r="D8" s="213"/>
      <c r="E8" s="210"/>
      <c r="F8" s="210"/>
      <c r="G8" s="210"/>
      <c r="H8" s="210"/>
      <c r="I8" s="210"/>
      <c r="J8" s="214"/>
      <c r="K8" s="144">
        <f>SUM(D8:J8)</f>
        <v>0</v>
      </c>
    </row>
    <row r="9" spans="1:11" ht="16.5" customHeight="1">
      <c r="A9" s="295"/>
      <c r="B9" s="31">
        <v>50130</v>
      </c>
      <c r="C9" s="31" t="s">
        <v>88</v>
      </c>
      <c r="D9" s="211"/>
      <c r="E9" s="211"/>
      <c r="F9" s="211"/>
      <c r="G9" s="211"/>
      <c r="H9" s="211"/>
      <c r="I9" s="211"/>
      <c r="J9" s="215"/>
      <c r="K9" s="145">
        <f t="shared" ref="K9:K23" si="0">SUM(D9:J9)</f>
        <v>0</v>
      </c>
    </row>
    <row r="10" spans="1:11" ht="16.5" customHeight="1">
      <c r="A10" s="295"/>
      <c r="B10" s="31">
        <v>50170</v>
      </c>
      <c r="C10" s="31" t="s">
        <v>89</v>
      </c>
      <c r="D10" s="212"/>
      <c r="E10" s="212"/>
      <c r="F10" s="212"/>
      <c r="G10" s="212"/>
      <c r="H10" s="212"/>
      <c r="I10" s="212"/>
      <c r="J10" s="216"/>
      <c r="K10" s="146">
        <f t="shared" si="0"/>
        <v>0</v>
      </c>
    </row>
    <row r="11" spans="1:11" ht="16.5" customHeight="1" thickBot="1">
      <c r="A11" s="296"/>
      <c r="B11" s="32" t="s">
        <v>16</v>
      </c>
      <c r="C11" s="32"/>
      <c r="D11" s="33">
        <f>SUM(D8:D10)</f>
        <v>0</v>
      </c>
      <c r="E11" s="33">
        <f t="shared" ref="E11:J11" si="1">SUM(E8:E10)</f>
        <v>0</v>
      </c>
      <c r="F11" s="33">
        <f t="shared" si="1"/>
        <v>0</v>
      </c>
      <c r="G11" s="33">
        <f t="shared" si="1"/>
        <v>0</v>
      </c>
      <c r="H11" s="33">
        <f t="shared" si="1"/>
        <v>0</v>
      </c>
      <c r="I11" s="33">
        <f t="shared" si="1"/>
        <v>0</v>
      </c>
      <c r="J11" s="43">
        <f t="shared" si="1"/>
        <v>0</v>
      </c>
      <c r="K11" s="35">
        <f t="shared" si="0"/>
        <v>0</v>
      </c>
    </row>
    <row r="12" spans="1:11" ht="16.5" customHeight="1" thickTop="1">
      <c r="A12" s="297" t="s">
        <v>85</v>
      </c>
      <c r="B12" s="31">
        <v>53715</v>
      </c>
      <c r="C12" s="31" t="s">
        <v>90</v>
      </c>
      <c r="D12" s="210"/>
      <c r="E12" s="210">
        <v>163800.79999999999</v>
      </c>
      <c r="F12" s="210">
        <v>50000</v>
      </c>
      <c r="G12" s="210"/>
      <c r="H12" s="210"/>
      <c r="I12" s="210"/>
      <c r="J12" s="214"/>
      <c r="K12" s="147">
        <f t="shared" si="0"/>
        <v>213800.8</v>
      </c>
    </row>
    <row r="13" spans="1:11" ht="16.5" customHeight="1">
      <c r="A13" s="295"/>
      <c r="B13" s="31">
        <v>53720</v>
      </c>
      <c r="C13" s="31" t="s">
        <v>91</v>
      </c>
      <c r="D13" s="211"/>
      <c r="E13" s="211"/>
      <c r="F13" s="211"/>
      <c r="G13" s="211"/>
      <c r="H13" s="211"/>
      <c r="I13" s="211"/>
      <c r="J13" s="215"/>
      <c r="K13" s="145">
        <f t="shared" si="0"/>
        <v>0</v>
      </c>
    </row>
    <row r="14" spans="1:11" ht="16.5" customHeight="1">
      <c r="A14" s="295"/>
      <c r="B14" s="31">
        <v>53735</v>
      </c>
      <c r="C14" s="31" t="s">
        <v>92</v>
      </c>
      <c r="D14" s="211"/>
      <c r="E14" s="211"/>
      <c r="F14" s="211"/>
      <c r="G14" s="211"/>
      <c r="H14" s="211"/>
      <c r="I14" s="211"/>
      <c r="J14" s="215"/>
      <c r="K14" s="145">
        <f t="shared" si="0"/>
        <v>0</v>
      </c>
    </row>
    <row r="15" spans="1:11" ht="16.5" customHeight="1">
      <c r="A15" s="295"/>
      <c r="B15" s="31">
        <v>53740</v>
      </c>
      <c r="C15" s="31" t="s">
        <v>93</v>
      </c>
      <c r="D15" s="211"/>
      <c r="E15" s="211"/>
      <c r="F15" s="211"/>
      <c r="G15" s="211"/>
      <c r="H15" s="211"/>
      <c r="I15" s="211"/>
      <c r="J15" s="215"/>
      <c r="K15" s="145">
        <f t="shared" si="0"/>
        <v>0</v>
      </c>
    </row>
    <row r="16" spans="1:11" ht="16.5" customHeight="1">
      <c r="A16" s="295"/>
      <c r="B16" s="31">
        <v>53755</v>
      </c>
      <c r="C16" s="31" t="s">
        <v>94</v>
      </c>
      <c r="D16" s="211"/>
      <c r="E16" s="211">
        <v>316260</v>
      </c>
      <c r="F16" s="211"/>
      <c r="G16" s="211"/>
      <c r="H16" s="211"/>
      <c r="I16" s="211"/>
      <c r="J16" s="215"/>
      <c r="K16" s="145">
        <f t="shared" si="0"/>
        <v>316260</v>
      </c>
    </row>
    <row r="17" spans="1:11" ht="16.5" customHeight="1">
      <c r="A17" s="295"/>
      <c r="B17" s="31">
        <v>53760</v>
      </c>
      <c r="C17" s="31" t="s">
        <v>95</v>
      </c>
      <c r="D17" s="211"/>
      <c r="E17" s="211"/>
      <c r="F17" s="211"/>
      <c r="G17" s="211"/>
      <c r="H17" s="211"/>
      <c r="I17" s="211"/>
      <c r="J17" s="215"/>
      <c r="K17" s="146">
        <f t="shared" si="0"/>
        <v>0</v>
      </c>
    </row>
    <row r="18" spans="1:11" ht="16.5" customHeight="1" thickBot="1">
      <c r="A18" s="296"/>
      <c r="B18" s="32" t="s">
        <v>16</v>
      </c>
      <c r="C18" s="32"/>
      <c r="D18" s="33">
        <f>SUM(D12:D17)</f>
        <v>0</v>
      </c>
      <c r="E18" s="33">
        <f t="shared" ref="E18:J18" si="2">SUM(E12:E17)</f>
        <v>480060.8</v>
      </c>
      <c r="F18" s="33">
        <f t="shared" si="2"/>
        <v>50000</v>
      </c>
      <c r="G18" s="33">
        <f t="shared" si="2"/>
        <v>0</v>
      </c>
      <c r="H18" s="33">
        <f t="shared" si="2"/>
        <v>0</v>
      </c>
      <c r="I18" s="33">
        <f t="shared" si="2"/>
        <v>0</v>
      </c>
      <c r="J18" s="43">
        <f t="shared" si="2"/>
        <v>0</v>
      </c>
      <c r="K18" s="35">
        <f t="shared" si="0"/>
        <v>530060.80000000005</v>
      </c>
    </row>
    <row r="19" spans="1:11" ht="16.5" customHeight="1" thickTop="1">
      <c r="A19" s="297" t="s">
        <v>96</v>
      </c>
      <c r="B19" s="31">
        <v>55700</v>
      </c>
      <c r="C19" s="31" t="s">
        <v>97</v>
      </c>
      <c r="D19" s="211"/>
      <c r="E19" s="211"/>
      <c r="F19" s="211">
        <v>450000</v>
      </c>
      <c r="G19" s="211"/>
      <c r="H19" s="211"/>
      <c r="I19" s="211"/>
      <c r="J19" s="215"/>
      <c r="K19" s="147">
        <f t="shared" si="0"/>
        <v>450000</v>
      </c>
    </row>
    <row r="20" spans="1:11" ht="16.5" customHeight="1">
      <c r="A20" s="294"/>
      <c r="B20" s="31">
        <v>55710</v>
      </c>
      <c r="C20" s="31" t="s">
        <v>98</v>
      </c>
      <c r="D20" s="211"/>
      <c r="E20" s="211">
        <v>519939</v>
      </c>
      <c r="F20" s="211"/>
      <c r="G20" s="211"/>
      <c r="H20" s="211"/>
      <c r="I20" s="211"/>
      <c r="J20" s="215"/>
      <c r="K20" s="160"/>
    </row>
    <row r="21" spans="1:11" ht="30" customHeight="1">
      <c r="A21" s="294"/>
      <c r="B21" s="31">
        <v>55730</v>
      </c>
      <c r="C21" s="31" t="s">
        <v>99</v>
      </c>
      <c r="D21" s="211"/>
      <c r="E21" s="211"/>
      <c r="F21" s="211"/>
      <c r="G21" s="211"/>
      <c r="H21" s="211"/>
      <c r="I21" s="211"/>
      <c r="J21" s="215"/>
      <c r="K21" s="146">
        <f t="shared" si="0"/>
        <v>0</v>
      </c>
    </row>
    <row r="22" spans="1:11" ht="16.5" customHeight="1" thickBot="1">
      <c r="A22" s="296"/>
      <c r="B22" s="32" t="s">
        <v>16</v>
      </c>
      <c r="C22" s="32"/>
      <c r="D22" s="33">
        <f>SUM(D19:D21)</f>
        <v>0</v>
      </c>
      <c r="E22" s="33">
        <f t="shared" ref="E22:J22" si="3">SUM(E19:E21)</f>
        <v>519939</v>
      </c>
      <c r="F22" s="33">
        <f t="shared" si="3"/>
        <v>450000</v>
      </c>
      <c r="G22" s="33">
        <f t="shared" si="3"/>
        <v>0</v>
      </c>
      <c r="H22" s="33">
        <f t="shared" si="3"/>
        <v>0</v>
      </c>
      <c r="I22" s="33">
        <f t="shared" si="3"/>
        <v>0</v>
      </c>
      <c r="J22" s="43">
        <f t="shared" si="3"/>
        <v>0</v>
      </c>
      <c r="K22" s="35">
        <f t="shared" si="0"/>
        <v>969939</v>
      </c>
    </row>
    <row r="23" spans="1:11" ht="16.5" customHeight="1" thickTop="1" thickBot="1">
      <c r="A23" s="183" t="s">
        <v>17</v>
      </c>
      <c r="B23" s="184"/>
      <c r="C23" s="44"/>
      <c r="D23" s="15">
        <f t="shared" ref="D23:J23" si="4">D11+D18+D22</f>
        <v>0</v>
      </c>
      <c r="E23" s="15">
        <f t="shared" si="4"/>
        <v>999999.8</v>
      </c>
      <c r="F23" s="15">
        <f t="shared" si="4"/>
        <v>500000</v>
      </c>
      <c r="G23" s="15">
        <f t="shared" si="4"/>
        <v>0</v>
      </c>
      <c r="H23" s="15">
        <f t="shared" si="4"/>
        <v>0</v>
      </c>
      <c r="I23" s="15">
        <f t="shared" si="4"/>
        <v>0</v>
      </c>
      <c r="J23" s="15">
        <f t="shared" si="4"/>
        <v>0</v>
      </c>
      <c r="K23" s="15">
        <f t="shared" si="0"/>
        <v>1499999.8</v>
      </c>
    </row>
    <row r="24" spans="1:11" ht="3.95" customHeight="1" thickTop="1">
      <c r="A24" s="6"/>
      <c r="B24" s="6"/>
      <c r="C24" s="6"/>
      <c r="D24" s="45"/>
      <c r="E24" s="45"/>
      <c r="F24" s="45"/>
      <c r="G24" s="45"/>
      <c r="H24" s="45"/>
      <c r="I24" s="45"/>
      <c r="J24" s="45"/>
      <c r="K24" s="45"/>
    </row>
  </sheetData>
  <sheetProtection password="CAD5" sheet="1" objects="1" scenarios="1"/>
  <mergeCells count="10">
    <mergeCell ref="A8:A11"/>
    <mergeCell ref="A12:A18"/>
    <mergeCell ref="A19:A22"/>
    <mergeCell ref="D2:I2"/>
    <mergeCell ref="D3:I3"/>
    <mergeCell ref="D4:I4"/>
    <mergeCell ref="A6:K6"/>
    <mergeCell ref="A2:C2"/>
    <mergeCell ref="A3:C3"/>
    <mergeCell ref="A4:C4"/>
  </mergeCells>
  <phoneticPr fontId="0" type="noConversion"/>
  <printOptions horizontalCentered="1"/>
  <pageMargins left="0.75" right="0.75" top="1.26" bottom="0.65" header="0.5" footer="0.45"/>
  <pageSetup scale="91" orientation="landscape" r:id="rId1"/>
  <headerFooter alignWithMargins="0">
    <oddHeader>&amp;L&amp;G&amp;C&amp;"Verdana,Bold"&amp;10State of Connecticut
IT Investment Brief
 CAPITAL DEVELOPMENT COSTS</oddHeader>
    <oddFooter>&amp;L&amp;A&amp;Cv1.0&amp;RPage &amp;P</oddFooter>
  </headerFooter>
  <legacyDrawingHF r:id="rId2"/>
</worksheet>
</file>

<file path=xl/worksheets/sheet5.xml><?xml version="1.0" encoding="utf-8"?>
<worksheet xmlns="http://schemas.openxmlformats.org/spreadsheetml/2006/main" xmlns:r="http://schemas.openxmlformats.org/officeDocument/2006/relationships">
  <sheetPr codeName="Sheet5">
    <pageSetUpPr fitToPage="1"/>
  </sheetPr>
  <dimension ref="A1:E67"/>
  <sheetViews>
    <sheetView showGridLines="0" zoomScaleNormal="100" zoomScaleSheetLayoutView="100" workbookViewId="0">
      <pane ySplit="7" topLeftCell="A8" activePane="bottomLeft" state="frozen"/>
      <selection pane="bottomLeft" activeCell="A9" sqref="A9:E9"/>
    </sheetView>
  </sheetViews>
  <sheetFormatPr defaultRowHeight="12.75"/>
  <cols>
    <col min="1" max="1" width="7.42578125" style="46" customWidth="1"/>
    <col min="2" max="2" width="9.28515625" style="46" customWidth="1"/>
    <col min="3" max="3" width="74.42578125" style="47" customWidth="1"/>
    <col min="4" max="4" width="17.5703125" style="47" customWidth="1"/>
    <col min="5" max="5" width="15.140625" style="47" customWidth="1"/>
    <col min="6" max="16384" width="9.140625" style="47"/>
  </cols>
  <sheetData>
    <row r="1" spans="1:5" ht="12" customHeight="1"/>
    <row r="2" spans="1:5" ht="16.5" customHeight="1">
      <c r="A2" s="335" t="s">
        <v>25</v>
      </c>
      <c r="B2" s="336"/>
      <c r="C2" s="328" t="str">
        <f>IF(ISBLANK('PROJECT ID|INSTRUCTIONS'!C3)," ",'PROJECT ID|INSTRUCTIONS'!C3)</f>
        <v xml:space="preserve"> </v>
      </c>
      <c r="D2" s="328"/>
      <c r="E2" s="329"/>
    </row>
    <row r="3" spans="1:5" ht="16.5" customHeight="1">
      <c r="A3" s="337" t="s">
        <v>22</v>
      </c>
      <c r="B3" s="338"/>
      <c r="C3" s="330" t="str">
        <f>IF(ISBLANK('PROJECT ID|INSTRUCTIONS'!C4)," ",'PROJECT ID|INSTRUCTIONS'!C4)</f>
        <v>VOIP (Voice over IP telephony) implementation at DEEP</v>
      </c>
      <c r="D3" s="330"/>
      <c r="E3" s="331"/>
    </row>
    <row r="4" spans="1:5" ht="16.5" customHeight="1">
      <c r="A4" s="339" t="s">
        <v>26</v>
      </c>
      <c r="B4" s="340"/>
      <c r="C4" s="332">
        <f>IF(ISBLANK('PROJECT ID|INSTRUCTIONS'!C5)," ",'PROJECT ID|INSTRUCTIONS'!C5)</f>
        <v>41220</v>
      </c>
      <c r="D4" s="332"/>
      <c r="E4" s="333"/>
    </row>
    <row r="5" spans="1:5" ht="12" customHeight="1"/>
    <row r="6" spans="1:5" ht="15.75">
      <c r="A6" s="316" t="s">
        <v>71</v>
      </c>
      <c r="B6" s="317"/>
      <c r="C6" s="317"/>
      <c r="D6" s="317"/>
      <c r="E6" s="318"/>
    </row>
    <row r="7" spans="1:5" ht="15.75" customHeight="1">
      <c r="A7" s="157" t="s">
        <v>44</v>
      </c>
      <c r="B7" s="151" t="s">
        <v>49</v>
      </c>
      <c r="C7" s="152" t="s">
        <v>83</v>
      </c>
      <c r="D7" s="152" t="s">
        <v>51</v>
      </c>
      <c r="E7" s="153" t="s">
        <v>43</v>
      </c>
    </row>
    <row r="8" spans="1:5" ht="3.75" customHeight="1">
      <c r="A8" s="155"/>
      <c r="B8" s="155"/>
      <c r="C8" s="156"/>
      <c r="D8" s="156"/>
      <c r="E8" s="156"/>
    </row>
    <row r="9" spans="1:5" ht="15">
      <c r="A9" s="319" t="str">
        <f>CONCATENATE("FY ",Settings!$C$1-1)</f>
        <v>FY 2012</v>
      </c>
      <c r="B9" s="320"/>
      <c r="C9" s="320"/>
      <c r="D9" s="320"/>
      <c r="E9" s="321"/>
    </row>
    <row r="10" spans="1:5">
      <c r="A10" s="93">
        <v>2011</v>
      </c>
      <c r="B10" s="94">
        <v>1</v>
      </c>
      <c r="C10" s="137"/>
      <c r="D10" s="95"/>
      <c r="E10" s="96" t="s">
        <v>57</v>
      </c>
    </row>
    <row r="11" spans="1:5">
      <c r="A11" s="97">
        <v>2011</v>
      </c>
      <c r="B11" s="98">
        <v>2</v>
      </c>
      <c r="C11" s="138"/>
      <c r="D11" s="100"/>
      <c r="E11" s="101" t="s">
        <v>57</v>
      </c>
    </row>
    <row r="12" spans="1:5">
      <c r="A12" s="97">
        <v>2011</v>
      </c>
      <c r="B12" s="98">
        <v>3</v>
      </c>
      <c r="C12" s="139"/>
      <c r="D12" s="100"/>
      <c r="E12" s="101" t="s">
        <v>57</v>
      </c>
    </row>
    <row r="13" spans="1:5">
      <c r="A13" s="97">
        <v>2011</v>
      </c>
      <c r="B13" s="98">
        <v>4</v>
      </c>
      <c r="C13" s="139"/>
      <c r="D13" s="100"/>
      <c r="E13" s="101" t="s">
        <v>57</v>
      </c>
    </row>
    <row r="14" spans="1:5">
      <c r="A14" s="97">
        <v>2011</v>
      </c>
      <c r="B14" s="98">
        <v>5</v>
      </c>
      <c r="C14" s="139"/>
      <c r="D14" s="100"/>
      <c r="E14" s="101" t="s">
        <v>57</v>
      </c>
    </row>
    <row r="15" spans="1:5">
      <c r="A15" s="97">
        <v>2011</v>
      </c>
      <c r="B15" s="98">
        <v>6</v>
      </c>
      <c r="C15" s="139"/>
      <c r="D15" s="100"/>
      <c r="E15" s="101" t="s">
        <v>57</v>
      </c>
    </row>
    <row r="16" spans="1:5">
      <c r="A16" s="97">
        <v>2011</v>
      </c>
      <c r="B16" s="98">
        <v>7</v>
      </c>
      <c r="C16" s="139"/>
      <c r="D16" s="100"/>
      <c r="E16" s="101" t="s">
        <v>57</v>
      </c>
    </row>
    <row r="17" spans="1:5">
      <c r="A17" s="97">
        <v>2011</v>
      </c>
      <c r="B17" s="98">
        <v>8</v>
      </c>
      <c r="C17" s="139"/>
      <c r="D17" s="100"/>
      <c r="E17" s="101" t="s">
        <v>57</v>
      </c>
    </row>
    <row r="18" spans="1:5">
      <c r="A18" s="97">
        <v>2011</v>
      </c>
      <c r="B18" s="98">
        <v>9</v>
      </c>
      <c r="C18" s="139"/>
      <c r="D18" s="100"/>
      <c r="E18" s="101" t="s">
        <v>57</v>
      </c>
    </row>
    <row r="19" spans="1:5">
      <c r="A19" s="103">
        <v>2011</v>
      </c>
      <c r="B19" s="104">
        <v>10</v>
      </c>
      <c r="C19" s="140"/>
      <c r="D19" s="105"/>
      <c r="E19" s="106" t="s">
        <v>57</v>
      </c>
    </row>
    <row r="20" spans="1:5" ht="15">
      <c r="A20" s="322" t="str">
        <f>CONCATENATE("FY ",Settings!$C$1)</f>
        <v>FY 2013</v>
      </c>
      <c r="B20" s="323"/>
      <c r="C20" s="323"/>
      <c r="D20" s="323"/>
      <c r="E20" s="324"/>
    </row>
    <row r="21" spans="1:5">
      <c r="A21" s="93">
        <v>2012</v>
      </c>
      <c r="B21" s="94">
        <v>1</v>
      </c>
      <c r="C21" s="107"/>
      <c r="D21" s="131"/>
      <c r="E21" s="108" t="s">
        <v>76</v>
      </c>
    </row>
    <row r="22" spans="1:5">
      <c r="A22" s="97">
        <v>2012</v>
      </c>
      <c r="B22" s="98">
        <v>2</v>
      </c>
      <c r="C22" s="99"/>
      <c r="D22" s="132"/>
      <c r="E22" s="109" t="s">
        <v>76</v>
      </c>
    </row>
    <row r="23" spans="1:5">
      <c r="A23" s="97">
        <v>2012</v>
      </c>
      <c r="B23" s="98">
        <v>3</v>
      </c>
      <c r="C23" s="102"/>
      <c r="D23" s="132"/>
      <c r="E23" s="109" t="s">
        <v>76</v>
      </c>
    </row>
    <row r="24" spans="1:5">
      <c r="A24" s="97">
        <v>2012</v>
      </c>
      <c r="B24" s="98">
        <v>4</v>
      </c>
      <c r="C24" s="110"/>
      <c r="D24" s="132"/>
      <c r="E24" s="109" t="s">
        <v>76</v>
      </c>
    </row>
    <row r="25" spans="1:5">
      <c r="A25" s="97">
        <v>2012</v>
      </c>
      <c r="B25" s="98">
        <v>5</v>
      </c>
      <c r="C25" s="102"/>
      <c r="D25" s="132"/>
      <c r="E25" s="109" t="s">
        <v>76</v>
      </c>
    </row>
    <row r="26" spans="1:5">
      <c r="A26" s="97">
        <v>2012</v>
      </c>
      <c r="B26" s="98">
        <v>6</v>
      </c>
      <c r="C26" s="102"/>
      <c r="D26" s="132"/>
      <c r="E26" s="109" t="s">
        <v>76</v>
      </c>
    </row>
    <row r="27" spans="1:5">
      <c r="A27" s="97">
        <v>2012</v>
      </c>
      <c r="B27" s="98">
        <v>7</v>
      </c>
      <c r="C27" s="102"/>
      <c r="D27" s="132"/>
      <c r="E27" s="109" t="s">
        <v>76</v>
      </c>
    </row>
    <row r="28" spans="1:5">
      <c r="A28" s="97">
        <v>2012</v>
      </c>
      <c r="B28" s="98">
        <v>8</v>
      </c>
      <c r="C28" s="102"/>
      <c r="D28" s="132"/>
      <c r="E28" s="109" t="s">
        <v>76</v>
      </c>
    </row>
    <row r="29" spans="1:5">
      <c r="A29" s="97">
        <v>2012</v>
      </c>
      <c r="B29" s="98">
        <v>9</v>
      </c>
      <c r="C29" s="102"/>
      <c r="D29" s="132"/>
      <c r="E29" s="109" t="s">
        <v>76</v>
      </c>
    </row>
    <row r="30" spans="1:5">
      <c r="A30" s="97">
        <v>2012</v>
      </c>
      <c r="B30" s="98">
        <v>10</v>
      </c>
      <c r="C30" s="102"/>
      <c r="D30" s="132"/>
      <c r="E30" s="109" t="s">
        <v>76</v>
      </c>
    </row>
    <row r="31" spans="1:5">
      <c r="A31" s="97">
        <v>2012</v>
      </c>
      <c r="B31" s="98">
        <v>11</v>
      </c>
      <c r="C31" s="110"/>
      <c r="D31" s="132"/>
      <c r="E31" s="109" t="s">
        <v>76</v>
      </c>
    </row>
    <row r="32" spans="1:5">
      <c r="A32" s="97">
        <v>2012</v>
      </c>
      <c r="B32" s="98">
        <v>12</v>
      </c>
      <c r="C32" s="110"/>
      <c r="D32" s="132"/>
      <c r="E32" s="109" t="s">
        <v>76</v>
      </c>
    </row>
    <row r="33" spans="1:5">
      <c r="A33" s="97">
        <v>2012</v>
      </c>
      <c r="B33" s="98">
        <v>13</v>
      </c>
      <c r="C33" s="110"/>
      <c r="D33" s="132"/>
      <c r="E33" s="109" t="s">
        <v>76</v>
      </c>
    </row>
    <row r="34" spans="1:5">
      <c r="A34" s="97">
        <v>2012</v>
      </c>
      <c r="B34" s="98">
        <v>14</v>
      </c>
      <c r="C34" s="110"/>
      <c r="D34" s="132"/>
      <c r="E34" s="109" t="s">
        <v>76</v>
      </c>
    </row>
    <row r="35" spans="1:5" ht="13.5" thickBot="1">
      <c r="A35" s="111">
        <v>2012</v>
      </c>
      <c r="B35" s="112">
        <v>15</v>
      </c>
      <c r="C35" s="113"/>
      <c r="D35" s="133"/>
      <c r="E35" s="114" t="s">
        <v>76</v>
      </c>
    </row>
    <row r="36" spans="1:5" ht="14.25" thickTop="1" thickBot="1">
      <c r="A36" s="334" t="s">
        <v>39</v>
      </c>
      <c r="B36" s="334"/>
      <c r="C36" s="334"/>
      <c r="D36" s="154">
        <f>SUM(D21:D35)</f>
        <v>0</v>
      </c>
      <c r="E36" s="48"/>
    </row>
    <row r="37" spans="1:5" ht="15.75" customHeight="1" thickTop="1">
      <c r="A37" s="315" t="str">
        <f>CONCATENATE("FY ",Settings!$C$1+1, "+")</f>
        <v>FY 2014+</v>
      </c>
      <c r="B37" s="315"/>
      <c r="C37" s="315"/>
      <c r="D37" s="315"/>
      <c r="E37" s="315"/>
    </row>
    <row r="38" spans="1:5">
      <c r="A38" s="115">
        <v>2013</v>
      </c>
      <c r="B38" s="116">
        <v>1</v>
      </c>
      <c r="C38" s="117"/>
      <c r="D38" s="134"/>
      <c r="E38" s="108" t="s">
        <v>76</v>
      </c>
    </row>
    <row r="39" spans="1:5">
      <c r="A39" s="118">
        <v>2013</v>
      </c>
      <c r="B39" s="119">
        <v>2</v>
      </c>
      <c r="C39" s="110"/>
      <c r="D39" s="135"/>
      <c r="E39" s="109" t="s">
        <v>76</v>
      </c>
    </row>
    <row r="40" spans="1:5">
      <c r="A40" s="118">
        <v>2013</v>
      </c>
      <c r="B40" s="119">
        <v>3</v>
      </c>
      <c r="C40" s="102"/>
      <c r="D40" s="135"/>
      <c r="E40" s="109" t="s">
        <v>76</v>
      </c>
    </row>
    <row r="41" spans="1:5">
      <c r="A41" s="118">
        <v>2013</v>
      </c>
      <c r="B41" s="119">
        <v>4</v>
      </c>
      <c r="C41" s="110"/>
      <c r="D41" s="135"/>
      <c r="E41" s="109" t="s">
        <v>76</v>
      </c>
    </row>
    <row r="42" spans="1:5">
      <c r="A42" s="118">
        <v>2013</v>
      </c>
      <c r="B42" s="119">
        <v>5</v>
      </c>
      <c r="C42" s="99"/>
      <c r="D42" s="135"/>
      <c r="E42" s="109" t="s">
        <v>76</v>
      </c>
    </row>
    <row r="43" spans="1:5">
      <c r="A43" s="118">
        <v>2013</v>
      </c>
      <c r="B43" s="119">
        <v>6</v>
      </c>
      <c r="C43" s="102"/>
      <c r="D43" s="135"/>
      <c r="E43" s="109" t="s">
        <v>76</v>
      </c>
    </row>
    <row r="44" spans="1:5">
      <c r="A44" s="118">
        <v>2013</v>
      </c>
      <c r="B44" s="119">
        <v>7</v>
      </c>
      <c r="C44" s="120"/>
      <c r="D44" s="135"/>
      <c r="E44" s="109" t="s">
        <v>76</v>
      </c>
    </row>
    <row r="45" spans="1:5">
      <c r="A45" s="118">
        <v>2014</v>
      </c>
      <c r="B45" s="119">
        <v>1</v>
      </c>
      <c r="C45" s="120"/>
      <c r="D45" s="135"/>
      <c r="E45" s="109" t="s">
        <v>76</v>
      </c>
    </row>
    <row r="46" spans="1:5">
      <c r="A46" s="118">
        <v>2014</v>
      </c>
      <c r="B46" s="119">
        <v>2</v>
      </c>
      <c r="C46" s="120"/>
      <c r="D46" s="135"/>
      <c r="E46" s="109" t="s">
        <v>76</v>
      </c>
    </row>
    <row r="47" spans="1:5">
      <c r="A47" s="118">
        <v>2014</v>
      </c>
      <c r="B47" s="119">
        <v>3</v>
      </c>
      <c r="C47" s="120"/>
      <c r="D47" s="135"/>
      <c r="E47" s="109" t="s">
        <v>76</v>
      </c>
    </row>
    <row r="48" spans="1:5">
      <c r="A48" s="118">
        <v>2014</v>
      </c>
      <c r="B48" s="119">
        <v>4</v>
      </c>
      <c r="C48" s="120"/>
      <c r="D48" s="135"/>
      <c r="E48" s="109" t="s">
        <v>76</v>
      </c>
    </row>
    <row r="49" spans="1:5">
      <c r="A49" s="118">
        <v>2014</v>
      </c>
      <c r="B49" s="119">
        <v>5</v>
      </c>
      <c r="C49" s="120"/>
      <c r="D49" s="135"/>
      <c r="E49" s="109" t="s">
        <v>76</v>
      </c>
    </row>
    <row r="50" spans="1:5">
      <c r="A50" s="118">
        <v>2014</v>
      </c>
      <c r="B50" s="119">
        <v>6</v>
      </c>
      <c r="C50" s="120"/>
      <c r="D50" s="135"/>
      <c r="E50" s="109" t="s">
        <v>76</v>
      </c>
    </row>
    <row r="51" spans="1:5">
      <c r="A51" s="118">
        <v>2014</v>
      </c>
      <c r="B51" s="119">
        <v>7</v>
      </c>
      <c r="C51" s="120"/>
      <c r="D51" s="135"/>
      <c r="E51" s="109" t="s">
        <v>76</v>
      </c>
    </row>
    <row r="52" spans="1:5">
      <c r="A52" s="118">
        <v>2015</v>
      </c>
      <c r="B52" s="119">
        <v>1</v>
      </c>
      <c r="C52" s="120"/>
      <c r="D52" s="135"/>
      <c r="E52" s="109" t="s">
        <v>76</v>
      </c>
    </row>
    <row r="53" spans="1:5">
      <c r="A53" s="118">
        <v>2015</v>
      </c>
      <c r="B53" s="119">
        <v>2</v>
      </c>
      <c r="C53" s="120"/>
      <c r="D53" s="135"/>
      <c r="E53" s="109" t="s">
        <v>76</v>
      </c>
    </row>
    <row r="54" spans="1:5">
      <c r="A54" s="118">
        <v>2015</v>
      </c>
      <c r="B54" s="119">
        <v>3</v>
      </c>
      <c r="C54" s="120"/>
      <c r="D54" s="135"/>
      <c r="E54" s="109" t="s">
        <v>76</v>
      </c>
    </row>
    <row r="55" spans="1:5">
      <c r="A55" s="118">
        <v>2015</v>
      </c>
      <c r="B55" s="119">
        <v>4</v>
      </c>
      <c r="C55" s="120"/>
      <c r="D55" s="135"/>
      <c r="E55" s="109" t="s">
        <v>76</v>
      </c>
    </row>
    <row r="56" spans="1:5">
      <c r="A56" s="118">
        <v>2015</v>
      </c>
      <c r="B56" s="119">
        <v>5</v>
      </c>
      <c r="C56" s="120"/>
      <c r="D56" s="135"/>
      <c r="E56" s="109" t="s">
        <v>76</v>
      </c>
    </row>
    <row r="57" spans="1:5">
      <c r="A57" s="118">
        <v>2015</v>
      </c>
      <c r="B57" s="119">
        <v>6</v>
      </c>
      <c r="C57" s="120"/>
      <c r="D57" s="135"/>
      <c r="E57" s="109" t="s">
        <v>76</v>
      </c>
    </row>
    <row r="58" spans="1:5">
      <c r="A58" s="118">
        <v>2015</v>
      </c>
      <c r="B58" s="119">
        <v>7</v>
      </c>
      <c r="C58" s="120"/>
      <c r="D58" s="135"/>
      <c r="E58" s="109" t="s">
        <v>76</v>
      </c>
    </row>
    <row r="59" spans="1:5">
      <c r="A59" s="118">
        <v>2016</v>
      </c>
      <c r="B59" s="119">
        <v>1</v>
      </c>
      <c r="C59" s="120"/>
      <c r="D59" s="135"/>
      <c r="E59" s="109" t="s">
        <v>76</v>
      </c>
    </row>
    <row r="60" spans="1:5">
      <c r="A60" s="118">
        <v>2016</v>
      </c>
      <c r="B60" s="119">
        <v>2</v>
      </c>
      <c r="C60" s="120"/>
      <c r="D60" s="135"/>
      <c r="E60" s="109" t="s">
        <v>76</v>
      </c>
    </row>
    <row r="61" spans="1:5">
      <c r="A61" s="118">
        <v>2016</v>
      </c>
      <c r="B61" s="119">
        <v>3</v>
      </c>
      <c r="C61" s="120"/>
      <c r="D61" s="135"/>
      <c r="E61" s="109" t="s">
        <v>76</v>
      </c>
    </row>
    <row r="62" spans="1:5">
      <c r="A62" s="118">
        <v>2016</v>
      </c>
      <c r="B62" s="119">
        <v>4</v>
      </c>
      <c r="C62" s="120"/>
      <c r="D62" s="135"/>
      <c r="E62" s="109" t="s">
        <v>76</v>
      </c>
    </row>
    <row r="63" spans="1:5">
      <c r="A63" s="118">
        <v>2016</v>
      </c>
      <c r="B63" s="119">
        <v>5</v>
      </c>
      <c r="C63" s="120"/>
      <c r="D63" s="135"/>
      <c r="E63" s="109" t="s">
        <v>76</v>
      </c>
    </row>
    <row r="64" spans="1:5">
      <c r="A64" s="118">
        <v>2016</v>
      </c>
      <c r="B64" s="119">
        <v>6</v>
      </c>
      <c r="C64" s="120"/>
      <c r="D64" s="135"/>
      <c r="E64" s="109" t="s">
        <v>76</v>
      </c>
    </row>
    <row r="65" spans="1:5" ht="13.5" thickBot="1">
      <c r="A65" s="121">
        <v>2016</v>
      </c>
      <c r="B65" s="122">
        <v>7</v>
      </c>
      <c r="C65" s="123"/>
      <c r="D65" s="136"/>
      <c r="E65" s="114" t="s">
        <v>76</v>
      </c>
    </row>
    <row r="66" spans="1:5" ht="16.5" customHeight="1" thickTop="1" thickBot="1">
      <c r="A66" s="325" t="s">
        <v>39</v>
      </c>
      <c r="B66" s="326"/>
      <c r="C66" s="327"/>
      <c r="D66" s="154">
        <f>SUM(D38:D65)</f>
        <v>0</v>
      </c>
      <c r="E66" s="48"/>
    </row>
    <row r="67" spans="1:5" ht="13.5" thickTop="1"/>
  </sheetData>
  <sheetProtection formatCells="0" formatColumns="0" formatRows="0" selectLockedCells="1"/>
  <mergeCells count="12">
    <mergeCell ref="C2:E2"/>
    <mergeCell ref="C3:E3"/>
    <mergeCell ref="C4:E4"/>
    <mergeCell ref="A36:C36"/>
    <mergeCell ref="A2:B2"/>
    <mergeCell ref="A3:B3"/>
    <mergeCell ref="A4:B4"/>
    <mergeCell ref="A37:E37"/>
    <mergeCell ref="A6:E6"/>
    <mergeCell ref="A9:E9"/>
    <mergeCell ref="A20:E20"/>
    <mergeCell ref="A66:C66"/>
  </mergeCells>
  <phoneticPr fontId="32" type="noConversion"/>
  <dataValidations count="1">
    <dataValidation type="list" allowBlank="1" showInputMessage="1" showErrorMessage="1" sqref="E38:E65 E10:E19 E21:E35">
      <formula1>"Select…,Not Started, Done, In Process, Deferred, Canceled"</formula1>
    </dataValidation>
  </dataValidations>
  <printOptions horizontalCentered="1"/>
  <pageMargins left="0.75" right="0.75" top="1.2" bottom="0.65" header="0.5" footer="0.5"/>
  <pageSetup fitToHeight="0" orientation="landscape" r:id="rId1"/>
  <headerFooter alignWithMargins="0">
    <oddHeader>&amp;L&amp;G&amp;C&amp;"Verdana,Bold"&amp;10Commonwealth of Massachusetts
Investment Brief for IT Project
OBJECTIVES&amp;R&amp;G</oddHeader>
    <oddFooter>&amp;L&amp;A&amp;Cv1.0&amp;RPage &amp;P</oddFooter>
  </headerFooter>
  <rowBreaks count="1" manualBreakCount="1">
    <brk id="36" max="4" man="1"/>
  </rowBreaks>
  <legacyDrawingHF r:id="rId2"/>
</worksheet>
</file>

<file path=xl/worksheets/sheet6.xml><?xml version="1.0" encoding="utf-8"?>
<worksheet xmlns="http://schemas.openxmlformats.org/spreadsheetml/2006/main" xmlns:r="http://schemas.openxmlformats.org/officeDocument/2006/relationships">
  <sheetPr codeName="Sheet6">
    <pageSetUpPr fitToPage="1"/>
  </sheetPr>
  <dimension ref="A1:O28"/>
  <sheetViews>
    <sheetView showGridLines="0" topLeftCell="A4" zoomScaleNormal="100" workbookViewId="0">
      <selection activeCell="E17" sqref="E17"/>
    </sheetView>
  </sheetViews>
  <sheetFormatPr defaultRowHeight="12"/>
  <cols>
    <col min="1" max="1" width="10.140625" style="4" customWidth="1"/>
    <col min="2" max="2" width="5.7109375" style="4" customWidth="1"/>
    <col min="3" max="3" width="29.85546875" style="4" bestFit="1" customWidth="1"/>
    <col min="4" max="5" width="12.7109375" style="4" customWidth="1"/>
    <col min="6" max="6" width="13.140625" style="4" customWidth="1"/>
    <col min="7" max="10" width="12.7109375" style="4" customWidth="1"/>
    <col min="11" max="11" width="11.85546875" style="4" customWidth="1"/>
    <col min="12" max="12" width="1.140625" style="4" customWidth="1"/>
    <col min="13" max="15" width="12.7109375" style="4" customWidth="1"/>
    <col min="16" max="16384" width="9.140625" style="4"/>
  </cols>
  <sheetData>
    <row r="1" spans="1:15" ht="12" customHeight="1"/>
    <row r="2" spans="1:15" s="36" customFormat="1" ht="16.5" customHeight="1">
      <c r="A2" s="273" t="s">
        <v>25</v>
      </c>
      <c r="B2" s="341"/>
      <c r="C2" s="274"/>
      <c r="D2" s="279" t="str">
        <f>IF(ISBLANK('PROJECT ID|INSTRUCTIONS'!C3)," ",'PROJECT ID|INSTRUCTIONS'!C3)</f>
        <v xml:space="preserve"> </v>
      </c>
      <c r="E2" s="280"/>
      <c r="F2" s="280"/>
      <c r="G2" s="280"/>
      <c r="H2" s="280"/>
      <c r="I2" s="280"/>
      <c r="J2" s="280"/>
      <c r="K2" s="281"/>
    </row>
    <row r="3" spans="1:15" s="36" customFormat="1" ht="16.5" customHeight="1">
      <c r="A3" s="275" t="s">
        <v>22</v>
      </c>
      <c r="B3" s="302"/>
      <c r="C3" s="276"/>
      <c r="D3" s="282" t="str">
        <f>IF(ISBLANK('PROJECT ID|INSTRUCTIONS'!C4)," ",'PROJECT ID|INSTRUCTIONS'!C4)</f>
        <v>VOIP (Voice over IP telephony) implementation at DEEP</v>
      </c>
      <c r="E3" s="283"/>
      <c r="F3" s="283"/>
      <c r="G3" s="283"/>
      <c r="H3" s="283"/>
      <c r="I3" s="283"/>
      <c r="J3" s="283"/>
      <c r="K3" s="284"/>
    </row>
    <row r="4" spans="1:15" s="36" customFormat="1" ht="16.5" customHeight="1">
      <c r="A4" s="277" t="s">
        <v>26</v>
      </c>
      <c r="B4" s="342"/>
      <c r="C4" s="278"/>
      <c r="D4" s="285">
        <f>IF(ISBLANK('PROJECT ID|INSTRUCTIONS'!C5)," ",'PROJECT ID|INSTRUCTIONS'!C5)</f>
        <v>41220</v>
      </c>
      <c r="E4" s="286"/>
      <c r="F4" s="286"/>
      <c r="G4" s="286"/>
      <c r="H4" s="286"/>
      <c r="I4" s="286"/>
      <c r="J4" s="286"/>
      <c r="K4" s="287"/>
    </row>
    <row r="5" spans="1:15" s="24" customFormat="1" ht="12" customHeight="1"/>
    <row r="6" spans="1:15" ht="16.5" customHeight="1">
      <c r="A6" s="346" t="s">
        <v>52</v>
      </c>
      <c r="B6" s="346"/>
      <c r="C6" s="346"/>
      <c r="D6" s="346"/>
      <c r="E6" s="346"/>
      <c r="F6" s="217">
        <v>2013</v>
      </c>
      <c r="G6" s="24"/>
      <c r="H6" s="49"/>
      <c r="I6" s="24"/>
      <c r="J6" s="24"/>
      <c r="K6" s="24"/>
    </row>
    <row r="7" spans="1:15" ht="16.5" customHeight="1">
      <c r="A7" s="346" t="s">
        <v>53</v>
      </c>
      <c r="B7" s="346"/>
      <c r="C7" s="346"/>
      <c r="D7" s="346"/>
      <c r="E7" s="346"/>
      <c r="F7" s="218">
        <v>2014</v>
      </c>
      <c r="G7" s="24"/>
      <c r="H7" s="24"/>
      <c r="I7" s="24"/>
      <c r="J7" s="24"/>
      <c r="K7" s="24"/>
    </row>
    <row r="8" spans="1:15" ht="12" customHeight="1">
      <c r="A8" s="24"/>
      <c r="B8" s="24"/>
      <c r="C8" s="24"/>
      <c r="D8" s="24"/>
      <c r="E8" s="24"/>
      <c r="F8" s="24"/>
      <c r="G8" s="24"/>
      <c r="H8" s="24"/>
      <c r="I8" s="24"/>
      <c r="J8" s="24"/>
      <c r="K8" s="24"/>
    </row>
    <row r="9" spans="1:15" ht="31.5" customHeight="1">
      <c r="A9" s="312" t="s">
        <v>28</v>
      </c>
      <c r="B9" s="313"/>
      <c r="C9" s="313"/>
      <c r="D9" s="313"/>
      <c r="E9" s="313"/>
      <c r="F9" s="313"/>
      <c r="G9" s="313"/>
      <c r="H9" s="313"/>
      <c r="I9" s="313"/>
      <c r="J9" s="313"/>
      <c r="K9" s="314"/>
      <c r="M9" s="343" t="s">
        <v>70</v>
      </c>
      <c r="N9" s="344"/>
      <c r="O9" s="345"/>
    </row>
    <row r="10" spans="1:15" ht="12.75">
      <c r="A10" s="50"/>
      <c r="B10" s="51"/>
      <c r="C10" s="52"/>
      <c r="D10" s="53" t="s">
        <v>18</v>
      </c>
      <c r="E10" s="53" t="s">
        <v>19</v>
      </c>
      <c r="F10" s="54" t="str">
        <f>IF(OR(ISBLANK($F$7),ISBLANK($F$6)),"(c)",IF($F$7-$F$6&gt;1,"(c)",""))</f>
        <v/>
      </c>
      <c r="G10" s="54" t="str">
        <f>IF(OR(ISBLANK($F$7),ISBLANK($F$6)),"(d)",IF($F$7-$F$6&gt;2,"(d)",""))</f>
        <v/>
      </c>
      <c r="H10" s="54" t="str">
        <f>IF(OR(ISBLANK($F$7),ISBLANK($F$6)),"(e)",IF($F$7-$F$6&gt;3,"(e)",""))</f>
        <v/>
      </c>
      <c r="I10" s="54" t="str">
        <f>IF(OR(ISBLANK($F$7),ISBLANK($F$6)),"(f)",IF($F$7-$F$6&gt;4,"(f)",""))</f>
        <v/>
      </c>
      <c r="J10" s="54" t="str">
        <f>IF(OR(ISBLANK($F$7),ISBLANK($F$6)),"(g)",IF($F$7-$F$6&gt;5,"(g)",""))</f>
        <v/>
      </c>
      <c r="K10" s="55" t="str">
        <f>IF(OR(ISBLANK($F$7),ISBLANK($F$6)),"(h)",IF($F$7-$F$6&gt;5,"(h)",IF($F$7-$F$6&lt;1,"(c)",CHOOSE($F$7-$F$6,"(c)","(d)","(e)","(f)","(g)"))))</f>
        <v>(c)</v>
      </c>
      <c r="M10" s="56" t="s">
        <v>63</v>
      </c>
      <c r="N10" s="53" t="s">
        <v>64</v>
      </c>
      <c r="O10" s="57" t="s">
        <v>65</v>
      </c>
    </row>
    <row r="11" spans="1:15" ht="37.5" customHeight="1">
      <c r="A11" s="58"/>
      <c r="B11" s="59" t="s">
        <v>14</v>
      </c>
      <c r="C11" s="59" t="s">
        <v>15</v>
      </c>
      <c r="D11" s="60" t="s">
        <v>58</v>
      </c>
      <c r="E11" s="60" t="str">
        <f>CONCATENATE("Transition FY"&amp;IF(ISBLANK($F$6),1,RIGHT($F$6,2))&amp;" Support Costs")</f>
        <v>Transition FY13 Support Costs</v>
      </c>
      <c r="F11" s="60" t="str">
        <f>IF(ISBLANK($F$7),CONCATENATE("Transition FY"&amp;IF(ISBLANK($F$6),2,RIGHT($F$6,2)+1)&amp;" Support Costs"),IF(ISBLANK($F$6),"Transition FY2 Support Costs",IF($F$7-$F$6&gt;1,CONCATENATE("Transition FY"&amp;RIGHT($F$6,2)+1&amp;" Support Costs"),"")))</f>
        <v/>
      </c>
      <c r="G11" s="60" t="str">
        <f>IF(ISBLANK($F$7),CONCATENATE("Transition FY"&amp;IF(ISBLANK($F$6),3,RIGHT($F$6,2)+2)&amp;" Support Costs"),IF(ISBLANK($F$6),"Transition FY3 Support Costs",IF($F$7-$F$6&gt;2,CONCATENATE("Transition FY"&amp;RIGHT($F$6,2)+2&amp;" Support Costs"),"")))</f>
        <v/>
      </c>
      <c r="H11" s="60" t="str">
        <f>IF(ISBLANK($F$7),CONCATENATE("Transition FY"&amp;IF(ISBLANK($F$6),4,RIGHT($F$6,2)+3)&amp;" Support Costs"),IF(ISBLANK($F$6),"Transition FY4 Support Costs",IF($F$7-$F$6&gt;3,CONCATENATE("Transition FY"&amp;RIGHT($F$6,2)+3&amp;" Support Costs"),"")))</f>
        <v/>
      </c>
      <c r="I11" s="60" t="str">
        <f>IF(ISBLANK($F$7),CONCATENATE("Transition FY"&amp;IF(ISBLANK($F$6),5,RIGHT($F$6,2)+4)&amp;" Support Costs"),IF(ISBLANK($F$6),"Transition FY5 Support Costs",IF($F$7-$F$6&gt;4,CONCATENATE("Transition FY"&amp;RIGHT($F$6,2)+4&amp;" Support Costs"),"")))</f>
        <v/>
      </c>
      <c r="J11" s="60" t="str">
        <f>IF(ISBLANK($F$7),CONCATENATE("Transition FY"&amp;IF(ISBLANK($F$6),6,RIGHT($F$6,2)+5)&amp;" Support Costs"),IF(ISBLANK($F$6),"Transition FY6 Support Costs",IF($F$7-$F$6&gt;5,CONCATENATE("Transition FY"&amp;RIGHT($F$6,2)+5&amp;" Support Costs"),"")))</f>
        <v/>
      </c>
      <c r="K11" s="61" t="str">
        <f>CONCATENATE("Steady State "&amp;IF(ISBLANK($F$7),"","FY" &amp; RIGHT($F$7,2))&amp;" Support Costs")</f>
        <v>Steady State FY14 Support Costs</v>
      </c>
      <c r="L11" s="62"/>
      <c r="M11" s="63" t="s">
        <v>61</v>
      </c>
      <c r="N11" s="54" t="s">
        <v>72</v>
      </c>
      <c r="O11" s="55" t="s">
        <v>62</v>
      </c>
    </row>
    <row r="12" spans="1:15" ht="16.5" customHeight="1">
      <c r="A12" s="294" t="s">
        <v>86</v>
      </c>
      <c r="B12" s="31">
        <v>50110</v>
      </c>
      <c r="C12" s="31" t="s">
        <v>87</v>
      </c>
      <c r="D12" s="210">
        <v>279772.7</v>
      </c>
      <c r="E12" s="210">
        <f>D12*1.05</f>
        <v>293761.33500000002</v>
      </c>
      <c r="F12" s="210"/>
      <c r="G12" s="210"/>
      <c r="H12" s="210"/>
      <c r="I12" s="210"/>
      <c r="J12" s="210"/>
      <c r="K12" s="219">
        <v>15000</v>
      </c>
      <c r="L12" s="64"/>
      <c r="M12" s="220"/>
      <c r="N12" s="221"/>
      <c r="O12" s="141">
        <f>M12*N12</f>
        <v>0</v>
      </c>
    </row>
    <row r="13" spans="1:15" ht="16.5" customHeight="1">
      <c r="A13" s="295"/>
      <c r="B13" s="31">
        <v>50130</v>
      </c>
      <c r="C13" s="31" t="s">
        <v>88</v>
      </c>
      <c r="D13" s="211"/>
      <c r="E13" s="211"/>
      <c r="F13" s="211"/>
      <c r="G13" s="211"/>
      <c r="H13" s="211"/>
      <c r="I13" s="211"/>
      <c r="J13" s="211"/>
      <c r="K13" s="222"/>
      <c r="M13" s="223"/>
      <c r="N13" s="224"/>
      <c r="O13" s="141">
        <f>M13*N13</f>
        <v>0</v>
      </c>
    </row>
    <row r="14" spans="1:15" ht="16.5" customHeight="1">
      <c r="A14" s="295"/>
      <c r="B14" s="31">
        <v>50170</v>
      </c>
      <c r="C14" s="31" t="s">
        <v>89</v>
      </c>
      <c r="D14" s="212"/>
      <c r="E14" s="212"/>
      <c r="F14" s="212"/>
      <c r="G14" s="212"/>
      <c r="H14" s="212"/>
      <c r="I14" s="212"/>
      <c r="J14" s="212"/>
      <c r="K14" s="225"/>
      <c r="M14" s="226"/>
      <c r="N14" s="227"/>
      <c r="O14" s="141">
        <f>M14*N14</f>
        <v>0</v>
      </c>
    </row>
    <row r="15" spans="1:15" ht="16.5" customHeight="1" thickBot="1">
      <c r="A15" s="296"/>
      <c r="B15" s="32" t="s">
        <v>16</v>
      </c>
      <c r="C15" s="32"/>
      <c r="D15" s="33">
        <f t="shared" ref="D15:K15" si="0">SUM(D12:D14)</f>
        <v>279772.7</v>
      </c>
      <c r="E15" s="33">
        <f t="shared" si="0"/>
        <v>293761.33500000002</v>
      </c>
      <c r="F15" s="33">
        <f t="shared" si="0"/>
        <v>0</v>
      </c>
      <c r="G15" s="33">
        <f t="shared" si="0"/>
        <v>0</v>
      </c>
      <c r="H15" s="33">
        <f t="shared" si="0"/>
        <v>0</v>
      </c>
      <c r="I15" s="33">
        <f t="shared" si="0"/>
        <v>0</v>
      </c>
      <c r="J15" s="33">
        <f t="shared" si="0"/>
        <v>0</v>
      </c>
      <c r="K15" s="34">
        <f t="shared" si="0"/>
        <v>15000</v>
      </c>
      <c r="M15" s="65">
        <f>SUM(M12:M14)</f>
        <v>0</v>
      </c>
      <c r="N15" s="143" t="s">
        <v>60</v>
      </c>
      <c r="O15" s="34">
        <f>SUM(O12:O14)</f>
        <v>0</v>
      </c>
    </row>
    <row r="16" spans="1:15" ht="16.5" customHeight="1" thickTop="1">
      <c r="A16" s="297" t="s">
        <v>85</v>
      </c>
      <c r="B16" s="31">
        <v>53715</v>
      </c>
      <c r="C16" s="31" t="s">
        <v>90</v>
      </c>
      <c r="D16" s="210"/>
      <c r="E16" s="210"/>
      <c r="F16" s="210"/>
      <c r="G16" s="210"/>
      <c r="H16" s="210"/>
      <c r="I16" s="210"/>
      <c r="J16" s="210"/>
      <c r="K16" s="219"/>
      <c r="M16" s="220"/>
      <c r="N16" s="221"/>
      <c r="O16" s="141">
        <f t="shared" ref="O16:O21" si="1">M16*N16</f>
        <v>0</v>
      </c>
    </row>
    <row r="17" spans="1:15" ht="16.5" customHeight="1">
      <c r="A17" s="295"/>
      <c r="B17" s="31">
        <v>53720</v>
      </c>
      <c r="C17" s="31" t="s">
        <v>91</v>
      </c>
      <c r="D17" s="211"/>
      <c r="E17" s="211"/>
      <c r="F17" s="211"/>
      <c r="G17" s="211"/>
      <c r="H17" s="211"/>
      <c r="I17" s="211"/>
      <c r="J17" s="211"/>
      <c r="K17" s="222"/>
      <c r="M17" s="223"/>
      <c r="N17" s="224"/>
      <c r="O17" s="141">
        <f t="shared" si="1"/>
        <v>0</v>
      </c>
    </row>
    <row r="18" spans="1:15" ht="16.5" customHeight="1">
      <c r="A18" s="295"/>
      <c r="B18" s="31">
        <v>53735</v>
      </c>
      <c r="C18" s="31" t="s">
        <v>92</v>
      </c>
      <c r="D18" s="211"/>
      <c r="E18" s="211"/>
      <c r="F18" s="211"/>
      <c r="G18" s="211"/>
      <c r="H18" s="211"/>
      <c r="I18" s="211"/>
      <c r="J18" s="211"/>
      <c r="K18" s="222"/>
      <c r="M18" s="223"/>
      <c r="N18" s="224"/>
      <c r="O18" s="141">
        <f t="shared" si="1"/>
        <v>0</v>
      </c>
    </row>
    <row r="19" spans="1:15" ht="16.5" customHeight="1">
      <c r="A19" s="295"/>
      <c r="B19" s="31">
        <v>53740</v>
      </c>
      <c r="C19" s="31" t="s">
        <v>93</v>
      </c>
      <c r="D19" s="211"/>
      <c r="E19" s="211"/>
      <c r="F19" s="211"/>
      <c r="G19" s="211"/>
      <c r="H19" s="211"/>
      <c r="I19" s="211"/>
      <c r="J19" s="211"/>
      <c r="K19" s="222"/>
      <c r="M19" s="223"/>
      <c r="N19" s="224"/>
      <c r="O19" s="141">
        <f t="shared" si="1"/>
        <v>0</v>
      </c>
    </row>
    <row r="20" spans="1:15" ht="16.5" customHeight="1">
      <c r="A20" s="295"/>
      <c r="B20" s="31">
        <v>53755</v>
      </c>
      <c r="C20" s="31" t="s">
        <v>94</v>
      </c>
      <c r="D20" s="211"/>
      <c r="E20" s="211"/>
      <c r="F20" s="211"/>
      <c r="G20" s="211"/>
      <c r="H20" s="211"/>
      <c r="I20" s="211"/>
      <c r="J20" s="211"/>
      <c r="K20" s="222"/>
      <c r="M20" s="223"/>
      <c r="N20" s="224"/>
      <c r="O20" s="141">
        <f t="shared" si="1"/>
        <v>0</v>
      </c>
    </row>
    <row r="21" spans="1:15" ht="16.5" customHeight="1">
      <c r="A21" s="295"/>
      <c r="B21" s="31">
        <v>53760</v>
      </c>
      <c r="C21" s="31" t="s">
        <v>95</v>
      </c>
      <c r="D21" s="211"/>
      <c r="E21" s="211"/>
      <c r="F21" s="211"/>
      <c r="G21" s="211"/>
      <c r="H21" s="211"/>
      <c r="I21" s="211"/>
      <c r="J21" s="211"/>
      <c r="K21" s="222"/>
      <c r="M21" s="223"/>
      <c r="N21" s="224"/>
      <c r="O21" s="141">
        <f t="shared" si="1"/>
        <v>0</v>
      </c>
    </row>
    <row r="22" spans="1:15" ht="16.5" customHeight="1" thickBot="1">
      <c r="A22" s="296"/>
      <c r="B22" s="32" t="s">
        <v>16</v>
      </c>
      <c r="C22" s="32"/>
      <c r="D22" s="33">
        <f t="shared" ref="D22:K22" si="2">SUM(D16:D21)</f>
        <v>0</v>
      </c>
      <c r="E22" s="33">
        <f t="shared" si="2"/>
        <v>0</v>
      </c>
      <c r="F22" s="33">
        <f t="shared" si="2"/>
        <v>0</v>
      </c>
      <c r="G22" s="33">
        <f t="shared" si="2"/>
        <v>0</v>
      </c>
      <c r="H22" s="33">
        <f t="shared" si="2"/>
        <v>0</v>
      </c>
      <c r="I22" s="33">
        <f t="shared" si="2"/>
        <v>0</v>
      </c>
      <c r="J22" s="33">
        <f t="shared" si="2"/>
        <v>0</v>
      </c>
      <c r="K22" s="34">
        <f t="shared" si="2"/>
        <v>0</v>
      </c>
      <c r="M22" s="65">
        <f>SUM(M16:M21)</f>
        <v>0</v>
      </c>
      <c r="N22" s="143" t="s">
        <v>60</v>
      </c>
      <c r="O22" s="34">
        <f>SUM(O16:O21)</f>
        <v>0</v>
      </c>
    </row>
    <row r="23" spans="1:15" ht="16.5" customHeight="1" thickTop="1">
      <c r="A23" s="297" t="s">
        <v>96</v>
      </c>
      <c r="B23" s="31">
        <v>55700</v>
      </c>
      <c r="C23" s="31" t="s">
        <v>97</v>
      </c>
      <c r="D23" s="211"/>
      <c r="E23" s="211"/>
      <c r="F23" s="211"/>
      <c r="G23" s="211"/>
      <c r="H23" s="211"/>
      <c r="I23" s="211"/>
      <c r="J23" s="211"/>
      <c r="K23" s="222"/>
      <c r="M23" s="223"/>
      <c r="N23" s="224"/>
      <c r="O23" s="141">
        <f>M23*N23</f>
        <v>0</v>
      </c>
    </row>
    <row r="24" spans="1:15" ht="16.5" customHeight="1">
      <c r="A24" s="294"/>
      <c r="B24" s="31">
        <v>55710</v>
      </c>
      <c r="C24" s="31" t="s">
        <v>98</v>
      </c>
      <c r="D24" s="211"/>
      <c r="E24" s="211"/>
      <c r="F24" s="211"/>
      <c r="G24" s="211"/>
      <c r="H24" s="211"/>
      <c r="I24" s="211"/>
      <c r="J24" s="211"/>
      <c r="K24" s="222"/>
      <c r="M24" s="223"/>
      <c r="N24" s="224"/>
      <c r="O24" s="141"/>
    </row>
    <row r="25" spans="1:15" ht="16.5" customHeight="1">
      <c r="A25" s="294"/>
      <c r="B25" s="31">
        <v>55730</v>
      </c>
      <c r="C25" s="31" t="s">
        <v>99</v>
      </c>
      <c r="D25" s="211"/>
      <c r="E25" s="211"/>
      <c r="F25" s="211"/>
      <c r="G25" s="211"/>
      <c r="H25" s="211"/>
      <c r="I25" s="211"/>
      <c r="J25" s="211"/>
      <c r="K25" s="222"/>
      <c r="M25" s="223"/>
      <c r="N25" s="224"/>
      <c r="O25" s="141">
        <f>M25*N25</f>
        <v>0</v>
      </c>
    </row>
    <row r="26" spans="1:15" ht="16.5" customHeight="1" thickBot="1">
      <c r="A26" s="296"/>
      <c r="B26" s="32" t="s">
        <v>16</v>
      </c>
      <c r="C26" s="32"/>
      <c r="D26" s="33">
        <f t="shared" ref="D26:K26" si="3">SUM(D23:D25)</f>
        <v>0</v>
      </c>
      <c r="E26" s="33">
        <f t="shared" si="3"/>
        <v>0</v>
      </c>
      <c r="F26" s="33">
        <f t="shared" si="3"/>
        <v>0</v>
      </c>
      <c r="G26" s="33">
        <f t="shared" si="3"/>
        <v>0</v>
      </c>
      <c r="H26" s="33">
        <f t="shared" si="3"/>
        <v>0</v>
      </c>
      <c r="I26" s="33">
        <f t="shared" si="3"/>
        <v>0</v>
      </c>
      <c r="J26" s="33">
        <f t="shared" si="3"/>
        <v>0</v>
      </c>
      <c r="K26" s="34">
        <f t="shared" si="3"/>
        <v>0</v>
      </c>
      <c r="M26" s="65">
        <f>SUM(M23:M25)</f>
        <v>0</v>
      </c>
      <c r="N26" s="143" t="s">
        <v>60</v>
      </c>
      <c r="O26" s="34">
        <f>SUM(O23:O25)</f>
        <v>0</v>
      </c>
    </row>
    <row r="27" spans="1:15" ht="16.5" customHeight="1" thickTop="1" thickBot="1">
      <c r="A27" s="44" t="s">
        <v>17</v>
      </c>
      <c r="B27" s="44"/>
      <c r="C27" s="44"/>
      <c r="D27" s="15">
        <f t="shared" ref="D27:K27" si="4">D15+D22+D26</f>
        <v>279772.7</v>
      </c>
      <c r="E27" s="15">
        <f t="shared" si="4"/>
        <v>293761.33500000002</v>
      </c>
      <c r="F27" s="15">
        <f t="shared" si="4"/>
        <v>0</v>
      </c>
      <c r="G27" s="15">
        <f t="shared" si="4"/>
        <v>0</v>
      </c>
      <c r="H27" s="15">
        <f t="shared" si="4"/>
        <v>0</v>
      </c>
      <c r="I27" s="15">
        <f t="shared" si="4"/>
        <v>0</v>
      </c>
      <c r="J27" s="15">
        <f t="shared" si="4"/>
        <v>0</v>
      </c>
      <c r="K27" s="15">
        <f t="shared" si="4"/>
        <v>15000</v>
      </c>
      <c r="M27" s="15">
        <f>M15+M22+M26</f>
        <v>0</v>
      </c>
      <c r="N27" s="142"/>
      <c r="O27" s="15">
        <f>O15+O22+O26</f>
        <v>0</v>
      </c>
    </row>
    <row r="28" spans="1:15" ht="3.95" customHeight="1" thickTop="1">
      <c r="A28" s="6"/>
      <c r="B28" s="6"/>
      <c r="C28" s="6"/>
      <c r="D28" s="45"/>
      <c r="E28" s="45"/>
      <c r="F28" s="45"/>
      <c r="G28" s="45"/>
      <c r="H28" s="45"/>
      <c r="I28" s="45"/>
      <c r="J28" s="45"/>
      <c r="K28" s="45"/>
    </row>
  </sheetData>
  <sheetProtection password="CAD5" sheet="1" objects="1" scenarios="1"/>
  <mergeCells count="13">
    <mergeCell ref="M9:O9"/>
    <mergeCell ref="A6:E6"/>
    <mergeCell ref="A7:E7"/>
    <mergeCell ref="A9:K9"/>
    <mergeCell ref="A12:A15"/>
    <mergeCell ref="A16:A22"/>
    <mergeCell ref="A23:A26"/>
    <mergeCell ref="D2:K2"/>
    <mergeCell ref="D3:K3"/>
    <mergeCell ref="D4:K4"/>
    <mergeCell ref="A2:C2"/>
    <mergeCell ref="A3:C3"/>
    <mergeCell ref="A4:C4"/>
  </mergeCells>
  <phoneticPr fontId="0" type="noConversion"/>
  <dataValidations count="1">
    <dataValidation type="whole" allowBlank="1" showInputMessage="1" showErrorMessage="1" errorTitle="Invalid Fiscal Year" error="Please enter a valid Fiscal Year" sqref="F6:F7">
      <formula1>2009</formula1>
      <formula2>2020</formula2>
    </dataValidation>
  </dataValidations>
  <printOptions horizontalCentered="1"/>
  <pageMargins left="0.75" right="0.75" top="1.2" bottom="0.65" header="0.5" footer="0.45"/>
  <pageSetup scale="71" orientation="landscape" r:id="rId1"/>
  <headerFooter alignWithMargins="0">
    <oddHeader>&amp;L&amp;G&amp;C&amp;"Verdana,Bold"&amp;10State of Connecticut
IT Investment Brief
TRANSITION AND OPERATING COSTS</oddHeader>
    <oddFooter>&amp;L&amp;A&amp;Cv1.0&amp;RPage &amp;P</oddFooter>
  </headerFooter>
  <legacyDrawingHF r:id="rId2"/>
</worksheet>
</file>

<file path=xl/worksheets/sheet7.xml><?xml version="1.0" encoding="utf-8"?>
<worksheet xmlns="http://schemas.openxmlformats.org/spreadsheetml/2006/main" xmlns:r="http://schemas.openxmlformats.org/officeDocument/2006/relationships">
  <sheetPr codeName="Sheet7">
    <pageSetUpPr fitToPage="1"/>
  </sheetPr>
  <dimension ref="A1:L25"/>
  <sheetViews>
    <sheetView showGridLines="0" topLeftCell="A7" zoomScaleNormal="100" workbookViewId="0">
      <selection activeCell="E16" sqref="E16"/>
    </sheetView>
  </sheetViews>
  <sheetFormatPr defaultRowHeight="12.75"/>
  <cols>
    <col min="1" max="1" width="1.5703125" style="5" customWidth="1"/>
    <col min="2" max="2" width="27.42578125" style="5" customWidth="1"/>
    <col min="3" max="9" width="12.7109375" style="5" customWidth="1"/>
    <col min="10" max="10" width="14.140625" style="5" customWidth="1"/>
    <col min="11" max="11" width="14" style="5" customWidth="1"/>
    <col min="12" max="12" width="14.140625" style="5" customWidth="1"/>
    <col min="13" max="16384" width="9.140625" style="5"/>
  </cols>
  <sheetData>
    <row r="1" spans="1:12" ht="12" customHeight="1"/>
    <row r="2" spans="1:12" s="36" customFormat="1" ht="16.5" customHeight="1">
      <c r="A2" s="335" t="s">
        <v>25</v>
      </c>
      <c r="B2" s="336"/>
      <c r="C2" s="347" t="str">
        <f>IF(ISBLANK('PROJECT ID|INSTRUCTIONS'!C3)," ",'PROJECT ID|INSTRUCTIONS'!C3)</f>
        <v xml:space="preserve"> </v>
      </c>
      <c r="D2" s="347"/>
      <c r="E2" s="347"/>
      <c r="F2" s="347"/>
      <c r="G2" s="347"/>
      <c r="H2" s="347"/>
      <c r="I2" s="348"/>
    </row>
    <row r="3" spans="1:12" s="36" customFormat="1" ht="16.5" customHeight="1">
      <c r="A3" s="337" t="s">
        <v>22</v>
      </c>
      <c r="B3" s="338"/>
      <c r="C3" s="349" t="str">
        <f>IF(ISBLANK('PROJECT ID|INSTRUCTIONS'!C4)," ",'PROJECT ID|INSTRUCTIONS'!C4)</f>
        <v>VOIP (Voice over IP telephony) implementation at DEEP</v>
      </c>
      <c r="D3" s="349"/>
      <c r="E3" s="349"/>
      <c r="F3" s="349"/>
      <c r="G3" s="349"/>
      <c r="H3" s="349"/>
      <c r="I3" s="350"/>
    </row>
    <row r="4" spans="1:12" s="36" customFormat="1" ht="16.5" customHeight="1">
      <c r="A4" s="339" t="s">
        <v>26</v>
      </c>
      <c r="B4" s="340"/>
      <c r="C4" s="286">
        <f>IF(ISBLANK('PROJECT ID|INSTRUCTIONS'!C5)," ",'PROJECT ID|INSTRUCTIONS'!C5)</f>
        <v>41220</v>
      </c>
      <c r="D4" s="286"/>
      <c r="E4" s="286"/>
      <c r="F4" s="286"/>
      <c r="G4" s="286"/>
      <c r="H4" s="286"/>
      <c r="I4" s="287"/>
    </row>
    <row r="5" spans="1:12" s="75" customFormat="1" ht="12" customHeight="1">
      <c r="A5" s="71"/>
      <c r="B5" s="71"/>
      <c r="C5" s="351"/>
      <c r="D5" s="351"/>
      <c r="E5" s="351"/>
      <c r="F5" s="351"/>
      <c r="G5" s="351"/>
      <c r="H5" s="351"/>
      <c r="I5" s="72"/>
      <c r="J5" s="73"/>
      <c r="K5" s="74"/>
    </row>
    <row r="6" spans="1:12" s="75" customFormat="1" ht="15" customHeight="1">
      <c r="A6" s="352" t="s">
        <v>21</v>
      </c>
      <c r="B6" s="353"/>
      <c r="C6" s="353"/>
      <c r="D6" s="353"/>
      <c r="E6" s="353"/>
      <c r="F6" s="353"/>
      <c r="G6" s="353"/>
      <c r="H6" s="353"/>
      <c r="I6" s="353"/>
      <c r="J6" s="353"/>
      <c r="K6" s="353"/>
      <c r="L6" s="354"/>
    </row>
    <row r="7" spans="1:12" ht="39" customHeight="1">
      <c r="A7" s="126"/>
      <c r="B7" s="127" t="s">
        <v>21</v>
      </c>
      <c r="C7" s="128" t="s">
        <v>30</v>
      </c>
      <c r="D7" s="129" t="str">
        <f>CONCATENATE("FY ",Settings!$C$1)</f>
        <v>FY 2013</v>
      </c>
      <c r="E7" s="129" t="str">
        <f>CONCATENATE("FY ",Settings!$C$1+1)</f>
        <v>FY 2014</v>
      </c>
      <c r="F7" s="129" t="str">
        <f>CONCATENATE("FY ",Settings!$C$1+2)</f>
        <v>FY 2015</v>
      </c>
      <c r="G7" s="129" t="str">
        <f>CONCATENATE("FY ",Settings!$C$1+3)</f>
        <v>FY 2016</v>
      </c>
      <c r="H7" s="129" t="str">
        <f>CONCATENATE("FY ",Settings!$C$1+4)</f>
        <v>FY 2017</v>
      </c>
      <c r="I7" s="129" t="str">
        <f>CONCATENATE("Out Years after FY",Settings!$C$1+4)</f>
        <v>Out Years after FY2017</v>
      </c>
      <c r="J7" s="129" t="str">
        <f>CONCATENATE("Total FY",Settings!$C$1," - FY",Settings!$C$1+4)</f>
        <v>Total FY2013 - FY2017</v>
      </c>
      <c r="K7" s="129" t="str">
        <f>CONCATENATE("Total FY",Settings!$C$1," - Out Years")</f>
        <v>Total FY2013 - Out Years</v>
      </c>
      <c r="L7" s="130" t="s">
        <v>29</v>
      </c>
    </row>
    <row r="8" spans="1:12" ht="16.5" customHeight="1">
      <c r="A8" s="185"/>
      <c r="B8" s="186" t="s">
        <v>109</v>
      </c>
      <c r="C8" s="228"/>
      <c r="D8" s="228">
        <v>15000</v>
      </c>
      <c r="E8" s="228">
        <v>15000</v>
      </c>
      <c r="F8" s="228">
        <v>15000</v>
      </c>
      <c r="G8" s="228"/>
      <c r="H8" s="228"/>
      <c r="I8" s="229"/>
      <c r="J8" s="88">
        <f>SUM(D8:H8)</f>
        <v>45000</v>
      </c>
      <c r="K8" s="82">
        <f>SUM(D8:I8)</f>
        <v>45000</v>
      </c>
      <c r="L8" s="83">
        <f>SUM(C8:I8)</f>
        <v>45000</v>
      </c>
    </row>
    <row r="9" spans="1:12" ht="16.5" customHeight="1">
      <c r="A9" s="185"/>
      <c r="B9" s="186" t="s">
        <v>107</v>
      </c>
      <c r="C9" s="230">
        <v>101949.84</v>
      </c>
      <c r="D9" s="230">
        <v>83763</v>
      </c>
      <c r="E9" s="230"/>
      <c r="F9" s="230"/>
      <c r="G9" s="230"/>
      <c r="H9" s="230"/>
      <c r="I9" s="230"/>
      <c r="J9" s="89">
        <f t="shared" ref="J9:J17" si="0">SUM(D9:H9)</f>
        <v>83763</v>
      </c>
      <c r="K9" s="84">
        <f t="shared" ref="K9:K17" si="1">SUM(D9:I9)</f>
        <v>83763</v>
      </c>
      <c r="L9" s="85">
        <f t="shared" ref="L9:L18" si="2">SUM(C9:I9)</f>
        <v>185712.84</v>
      </c>
    </row>
    <row r="10" spans="1:12" ht="16.5" customHeight="1">
      <c r="A10" s="185"/>
      <c r="B10" s="186" t="s">
        <v>108</v>
      </c>
      <c r="C10" s="230">
        <v>54282.559999999998</v>
      </c>
      <c r="D10" s="230">
        <v>6991.7</v>
      </c>
      <c r="E10" s="230"/>
      <c r="F10" s="230"/>
      <c r="G10" s="230"/>
      <c r="H10" s="230"/>
      <c r="I10" s="230"/>
      <c r="J10" s="89">
        <f t="shared" si="0"/>
        <v>6991.7</v>
      </c>
      <c r="K10" s="84">
        <f t="shared" si="1"/>
        <v>6991.7</v>
      </c>
      <c r="L10" s="85">
        <f t="shared" si="2"/>
        <v>61274.259999999995</v>
      </c>
    </row>
    <row r="11" spans="1:12" ht="16.5" customHeight="1">
      <c r="A11" s="185"/>
      <c r="B11" s="186" t="s">
        <v>7</v>
      </c>
      <c r="C11" s="230">
        <v>192136.8</v>
      </c>
      <c r="D11" s="230"/>
      <c r="E11" s="230"/>
      <c r="F11" s="230"/>
      <c r="G11" s="230"/>
      <c r="H11" s="230"/>
      <c r="I11" s="230"/>
      <c r="J11" s="89">
        <f t="shared" si="0"/>
        <v>0</v>
      </c>
      <c r="K11" s="84">
        <f t="shared" si="1"/>
        <v>0</v>
      </c>
      <c r="L11" s="85">
        <f t="shared" si="2"/>
        <v>192136.8</v>
      </c>
    </row>
    <row r="12" spans="1:12" ht="16.5" customHeight="1">
      <c r="A12" s="185"/>
      <c r="B12" s="186" t="s">
        <v>8</v>
      </c>
      <c r="C12" s="231">
        <v>18415.57</v>
      </c>
      <c r="D12" s="231">
        <v>3779.73</v>
      </c>
      <c r="E12" s="231"/>
      <c r="F12" s="231"/>
      <c r="G12" s="231"/>
      <c r="H12" s="231"/>
      <c r="I12" s="231"/>
      <c r="J12" s="89">
        <f t="shared" si="0"/>
        <v>3779.73</v>
      </c>
      <c r="K12" s="84">
        <f t="shared" si="1"/>
        <v>3779.73</v>
      </c>
      <c r="L12" s="85">
        <f t="shared" si="2"/>
        <v>22195.3</v>
      </c>
    </row>
    <row r="13" spans="1:12" ht="16.5" customHeight="1">
      <c r="A13" s="76"/>
      <c r="B13" s="91" t="s">
        <v>9</v>
      </c>
      <c r="C13" s="92">
        <f>'CAPITAL DEV. COSTS-THIS REQUEST'!D23</f>
        <v>0</v>
      </c>
      <c r="D13" s="92">
        <v>1000000</v>
      </c>
      <c r="E13" s="92">
        <f>'CAPITAL DEV. COSTS-THIS REQUEST'!F23</f>
        <v>500000</v>
      </c>
      <c r="F13" s="92">
        <f>'CAPITAL DEV. COSTS-THIS REQUEST'!G23</f>
        <v>0</v>
      </c>
      <c r="G13" s="92">
        <f>'CAPITAL DEV. COSTS-THIS REQUEST'!H23</f>
        <v>0</v>
      </c>
      <c r="H13" s="92">
        <f>'CAPITAL DEV. COSTS-THIS REQUEST'!I23</f>
        <v>0</v>
      </c>
      <c r="I13" s="92">
        <f>'CAPITAL DEV. COSTS-THIS REQUEST'!J23</f>
        <v>0</v>
      </c>
      <c r="J13" s="89">
        <f t="shared" si="0"/>
        <v>1500000</v>
      </c>
      <c r="K13" s="84">
        <f t="shared" si="1"/>
        <v>1500000</v>
      </c>
      <c r="L13" s="85">
        <f t="shared" si="2"/>
        <v>1500000</v>
      </c>
    </row>
    <row r="14" spans="1:12" ht="16.5" customHeight="1">
      <c r="A14" s="363" t="s">
        <v>77</v>
      </c>
      <c r="B14" s="364"/>
      <c r="C14" s="228"/>
      <c r="D14" s="228"/>
      <c r="E14" s="228"/>
      <c r="F14" s="228"/>
      <c r="G14" s="228"/>
      <c r="H14" s="228"/>
      <c r="I14" s="228"/>
      <c r="J14" s="89">
        <f t="shared" si="0"/>
        <v>0</v>
      </c>
      <c r="K14" s="84">
        <f t="shared" si="1"/>
        <v>0</v>
      </c>
      <c r="L14" s="85">
        <f t="shared" si="2"/>
        <v>0</v>
      </c>
    </row>
    <row r="15" spans="1:12" ht="16.5" customHeight="1">
      <c r="A15" s="185"/>
      <c r="B15" s="232"/>
      <c r="C15" s="230"/>
      <c r="D15" s="230"/>
      <c r="E15" s="230"/>
      <c r="F15" s="230"/>
      <c r="G15" s="230"/>
      <c r="H15" s="230"/>
      <c r="I15" s="230"/>
      <c r="J15" s="89">
        <f t="shared" si="0"/>
        <v>0</v>
      </c>
      <c r="K15" s="84">
        <f t="shared" si="1"/>
        <v>0</v>
      </c>
      <c r="L15" s="85">
        <f t="shared" si="2"/>
        <v>0</v>
      </c>
    </row>
    <row r="16" spans="1:12" ht="16.5" customHeight="1">
      <c r="A16" s="185"/>
      <c r="B16" s="232"/>
      <c r="C16" s="230"/>
      <c r="D16" s="230"/>
      <c r="E16" s="230"/>
      <c r="F16" s="230"/>
      <c r="G16" s="230"/>
      <c r="H16" s="230"/>
      <c r="I16" s="230"/>
      <c r="J16" s="89">
        <f>SUM(D16:H16)</f>
        <v>0</v>
      </c>
      <c r="K16" s="84">
        <f>SUM(D16:I16)</f>
        <v>0</v>
      </c>
      <c r="L16" s="85">
        <f>SUM(C16:I16)</f>
        <v>0</v>
      </c>
    </row>
    <row r="17" spans="1:12" ht="16.5" customHeight="1">
      <c r="A17" s="185"/>
      <c r="B17" s="232"/>
      <c r="C17" s="230"/>
      <c r="D17" s="230"/>
      <c r="E17" s="230"/>
      <c r="F17" s="230"/>
      <c r="G17" s="230"/>
      <c r="H17" s="230"/>
      <c r="I17" s="230"/>
      <c r="J17" s="89">
        <f t="shared" si="0"/>
        <v>0</v>
      </c>
      <c r="K17" s="84">
        <f t="shared" si="1"/>
        <v>0</v>
      </c>
      <c r="L17" s="85">
        <f t="shared" si="2"/>
        <v>0</v>
      </c>
    </row>
    <row r="18" spans="1:12" ht="16.5" customHeight="1" thickBot="1">
      <c r="A18" s="185"/>
      <c r="B18" s="233"/>
      <c r="C18" s="231"/>
      <c r="D18" s="231"/>
      <c r="E18" s="231"/>
      <c r="F18" s="231"/>
      <c r="G18" s="231"/>
      <c r="H18" s="231"/>
      <c r="I18" s="234"/>
      <c r="J18" s="90">
        <f>SUM(D18:H18)</f>
        <v>0</v>
      </c>
      <c r="K18" s="86">
        <f>SUM(D18:I18)</f>
        <v>0</v>
      </c>
      <c r="L18" s="87">
        <f t="shared" si="2"/>
        <v>0</v>
      </c>
    </row>
    <row r="19" spans="1:12" ht="16.5" customHeight="1" thickTop="1" thickBot="1">
      <c r="A19" s="362" t="s">
        <v>41</v>
      </c>
      <c r="B19" s="362"/>
      <c r="C19" s="3">
        <f t="shared" ref="C19:L19" si="3">SUM(C8:C18)</f>
        <v>366784.76999999996</v>
      </c>
      <c r="D19" s="3">
        <f>ROUND(SUM(D8:D18),0)</f>
        <v>1109534</v>
      </c>
      <c r="E19" s="3">
        <f t="shared" si="3"/>
        <v>515000</v>
      </c>
      <c r="F19" s="3">
        <f t="shared" si="3"/>
        <v>15000</v>
      </c>
      <c r="G19" s="3">
        <f t="shared" si="3"/>
        <v>0</v>
      </c>
      <c r="H19" s="3">
        <f t="shared" si="3"/>
        <v>0</v>
      </c>
      <c r="I19" s="3">
        <f t="shared" si="3"/>
        <v>0</v>
      </c>
      <c r="J19" s="3">
        <f>SUM(J8:J18)</f>
        <v>1639534.43</v>
      </c>
      <c r="K19" s="3">
        <f t="shared" si="3"/>
        <v>1639534.43</v>
      </c>
      <c r="L19" s="3">
        <f t="shared" si="3"/>
        <v>2006319.2</v>
      </c>
    </row>
    <row r="20" spans="1:12" ht="12.6" customHeight="1" thickTop="1">
      <c r="A20" s="77"/>
      <c r="B20" s="78"/>
      <c r="C20" s="79"/>
      <c r="D20" s="79"/>
      <c r="E20" s="79"/>
      <c r="F20" s="79"/>
      <c r="G20" s="79"/>
      <c r="H20" s="79"/>
      <c r="I20" s="79"/>
    </row>
    <row r="21" spans="1:12" ht="26.25" customHeight="1">
      <c r="A21" s="355" t="s">
        <v>40</v>
      </c>
      <c r="B21" s="356"/>
      <c r="C21" s="1">
        <f>'TOTAL DEVELOPMENT COSTS'!D23</f>
        <v>381784.76999999996</v>
      </c>
      <c r="D21" s="1">
        <f>ROUND('TOTAL DEVELOPMENT COSTS'!E23,0)</f>
        <v>1109534</v>
      </c>
      <c r="E21" s="1">
        <f>'TOTAL DEVELOPMENT COSTS'!F23</f>
        <v>515000</v>
      </c>
      <c r="F21" s="1">
        <f>'TOTAL DEVELOPMENT COSTS'!G23</f>
        <v>15000</v>
      </c>
      <c r="G21" s="1">
        <f>'TOTAL DEVELOPMENT COSTS'!H23</f>
        <v>0</v>
      </c>
      <c r="H21" s="1">
        <f>'TOTAL DEVELOPMENT COSTS'!I23</f>
        <v>0</v>
      </c>
      <c r="I21" s="1">
        <f>'TOTAL DEVELOPMENT COSTS'!J23</f>
        <v>0</v>
      </c>
    </row>
    <row r="22" spans="1:12" s="80" customFormat="1" ht="8.25" customHeight="1">
      <c r="A22" s="77"/>
      <c r="B22" s="78"/>
      <c r="C22" s="79"/>
      <c r="D22" s="79"/>
      <c r="E22" s="79"/>
      <c r="F22" s="79"/>
      <c r="G22" s="79"/>
      <c r="H22" s="79"/>
      <c r="I22" s="79"/>
      <c r="L22" s="81"/>
    </row>
    <row r="23" spans="1:12" ht="37.5" customHeight="1" thickBot="1">
      <c r="A23" s="357" t="s">
        <v>78</v>
      </c>
      <c r="B23" s="358"/>
      <c r="C23" s="143"/>
      <c r="D23" s="1">
        <f t="shared" ref="D23:I23" si="4">D21-D19</f>
        <v>0</v>
      </c>
      <c r="E23" s="1">
        <f t="shared" si="4"/>
        <v>0</v>
      </c>
      <c r="F23" s="1">
        <f t="shared" si="4"/>
        <v>0</v>
      </c>
      <c r="G23" s="1">
        <f t="shared" si="4"/>
        <v>0</v>
      </c>
      <c r="H23" s="1">
        <f t="shared" si="4"/>
        <v>0</v>
      </c>
      <c r="I23" s="1">
        <f t="shared" si="4"/>
        <v>0</v>
      </c>
    </row>
    <row r="24" spans="1:12" ht="14.25" thickTop="1" thickBot="1"/>
    <row r="25" spans="1:12" ht="13.5" thickBot="1">
      <c r="C25" s="359" t="str">
        <f>IF(AND(D23=0,E23=0,F23=0,G23=0,H23=0,I23=0),"","Total Funding Source Must Equal Total Development Cost")</f>
        <v/>
      </c>
      <c r="D25" s="360"/>
      <c r="E25" s="360"/>
      <c r="F25" s="360"/>
      <c r="G25" s="360"/>
      <c r="H25" s="360"/>
      <c r="I25" s="361"/>
    </row>
  </sheetData>
  <sheetProtection password="CAD5" sheet="1" objects="1" scenarios="1"/>
  <mergeCells count="13">
    <mergeCell ref="C5:H5"/>
    <mergeCell ref="A6:L6"/>
    <mergeCell ref="A21:B21"/>
    <mergeCell ref="A23:B23"/>
    <mergeCell ref="C25:I25"/>
    <mergeCell ref="A19:B19"/>
    <mergeCell ref="A14:B14"/>
    <mergeCell ref="A2:B2"/>
    <mergeCell ref="A3:B3"/>
    <mergeCell ref="A4:B4"/>
    <mergeCell ref="C2:I2"/>
    <mergeCell ref="C3:I3"/>
    <mergeCell ref="C4:I4"/>
  </mergeCells>
  <phoneticPr fontId="1" type="noConversion"/>
  <conditionalFormatting sqref="C25:I25">
    <cfRule type="cellIs" dxfId="1" priority="1" stopIfTrue="1" operator="notEqual">
      <formula>""</formula>
    </cfRule>
  </conditionalFormatting>
  <conditionalFormatting sqref="C23:I23">
    <cfRule type="cellIs" dxfId="0" priority="2" stopIfTrue="1" operator="notEqual">
      <formula>0</formula>
    </cfRule>
  </conditionalFormatting>
  <printOptions horizontalCentered="1"/>
  <pageMargins left="0.25" right="0.25" top="1.27" bottom="0.65" header="0.5" footer="0.45"/>
  <pageSetup scale="91" orientation="landscape" r:id="rId1"/>
  <headerFooter alignWithMargins="0">
    <oddHeader>&amp;L&amp;G&amp;C&amp;"Verdana,Bold"&amp;10State of Connecticut
IT Investment Brief
FUNDING SOURCES</oddHeader>
    <oddFooter>&amp;L&amp;A&amp;Cv1.0&amp;RPage &amp;P</oddFooter>
  </headerFooter>
  <ignoredErrors>
    <ignoredError sqref="J11:K11" formulaRange="1"/>
  </ignoredErrors>
  <legacyDrawingHF r:id="rId2"/>
</worksheet>
</file>

<file path=xl/worksheets/sheet8.xml><?xml version="1.0" encoding="utf-8"?>
<worksheet xmlns="http://schemas.openxmlformats.org/spreadsheetml/2006/main" xmlns:r="http://schemas.openxmlformats.org/officeDocument/2006/relationships">
  <dimension ref="A1:AW27"/>
  <sheetViews>
    <sheetView tabSelected="1" zoomScaleNormal="100" workbookViewId="0">
      <selection sqref="A1:C1"/>
    </sheetView>
  </sheetViews>
  <sheetFormatPr defaultRowHeight="12.75"/>
  <cols>
    <col min="1" max="2" width="10.7109375" style="161" customWidth="1"/>
    <col min="3" max="3" width="31" style="161" customWidth="1"/>
    <col min="4" max="22" width="12.7109375" style="161" customWidth="1"/>
    <col min="23" max="34" width="12.7109375" style="161" hidden="1" customWidth="1"/>
    <col min="35" max="35" width="12" style="161" bestFit="1" customWidth="1"/>
    <col min="36" max="36" width="14.7109375" style="161" customWidth="1"/>
    <col min="37" max="38" width="15.5703125" style="161" customWidth="1"/>
    <col min="39" max="39" width="12" style="161" bestFit="1" customWidth="1"/>
    <col min="40" max="40" width="14.7109375" style="161" customWidth="1"/>
    <col min="41" max="41" width="15.5703125" style="161" customWidth="1"/>
    <col min="42" max="16384" width="9.140625" style="161"/>
  </cols>
  <sheetData>
    <row r="1" spans="1:49" ht="16.5" customHeight="1">
      <c r="A1" s="381" t="s">
        <v>25</v>
      </c>
      <c r="B1" s="382"/>
      <c r="C1" s="383"/>
      <c r="D1" s="384" t="s">
        <v>142</v>
      </c>
      <c r="E1" s="385"/>
      <c r="F1" s="385"/>
      <c r="G1" s="385"/>
      <c r="H1" s="385"/>
      <c r="I1" s="386"/>
      <c r="J1" s="187"/>
    </row>
    <row r="2" spans="1:49" ht="16.5" customHeight="1">
      <c r="A2" s="387" t="s">
        <v>22</v>
      </c>
      <c r="B2" s="388"/>
      <c r="C2" s="389"/>
      <c r="D2" s="390" t="str">
        <f>'PROJECT ID|INSTRUCTIONS'!C4</f>
        <v>VOIP (Voice over IP telephony) implementation at DEEP</v>
      </c>
      <c r="E2" s="391"/>
      <c r="F2" s="391"/>
      <c r="G2" s="391"/>
      <c r="H2" s="391"/>
      <c r="I2" s="392"/>
      <c r="J2" s="187"/>
    </row>
    <row r="3" spans="1:49" ht="16.5" customHeight="1">
      <c r="A3" s="393" t="s">
        <v>26</v>
      </c>
      <c r="B3" s="394"/>
      <c r="C3" s="395"/>
      <c r="D3" s="396"/>
      <c r="E3" s="397"/>
      <c r="F3" s="397"/>
      <c r="G3" s="397"/>
      <c r="H3" s="397"/>
      <c r="I3" s="398"/>
      <c r="J3" s="188"/>
    </row>
    <row r="4" spans="1:49" s="163" customFormat="1" ht="12" customHeight="1">
      <c r="A4" s="162" t="s">
        <v>113</v>
      </c>
      <c r="B4" s="162"/>
      <c r="C4" s="162"/>
      <c r="D4" s="162"/>
      <c r="E4" s="162"/>
      <c r="F4" s="162"/>
      <c r="G4" s="162"/>
      <c r="H4" s="162"/>
      <c r="I4" s="162"/>
      <c r="J4" s="162"/>
      <c r="K4" s="162"/>
      <c r="L4" s="162"/>
      <c r="M4" s="162"/>
      <c r="N4" s="162"/>
      <c r="O4" s="162"/>
      <c r="Q4" s="161"/>
      <c r="R4" s="161"/>
      <c r="S4" s="161"/>
      <c r="T4" s="161"/>
      <c r="U4" s="161"/>
      <c r="V4" s="161"/>
      <c r="W4" s="161"/>
      <c r="X4" s="161"/>
      <c r="Y4" s="161"/>
      <c r="Z4" s="161"/>
      <c r="AA4" s="161"/>
      <c r="AB4" s="161"/>
      <c r="AC4" s="161"/>
      <c r="AD4" s="161"/>
      <c r="AE4" s="161"/>
      <c r="AF4" s="161"/>
      <c r="AG4" s="161"/>
      <c r="AH4" s="161"/>
    </row>
    <row r="5" spans="1:49" s="166" customFormat="1" ht="18" customHeight="1">
      <c r="A5" s="372" t="s">
        <v>114</v>
      </c>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4"/>
      <c r="AD5" s="374"/>
      <c r="AE5" s="374"/>
      <c r="AF5" s="374"/>
      <c r="AG5" s="374"/>
      <c r="AH5" s="374"/>
      <c r="AI5" s="374"/>
      <c r="AJ5" s="374"/>
      <c r="AK5" s="374"/>
      <c r="AL5" s="374"/>
      <c r="AM5" s="373"/>
      <c r="AN5" s="164"/>
      <c r="AO5" s="165"/>
      <c r="AP5" s="161"/>
      <c r="AQ5" s="161"/>
      <c r="AR5" s="161"/>
      <c r="AS5" s="161"/>
      <c r="AT5" s="161"/>
      <c r="AU5" s="161"/>
      <c r="AV5" s="161"/>
      <c r="AW5" s="161"/>
    </row>
    <row r="6" spans="1:49" s="166" customFormat="1" ht="18" customHeight="1">
      <c r="A6" s="167"/>
      <c r="B6" s="168"/>
      <c r="C6" s="169"/>
      <c r="D6" s="189"/>
      <c r="E6" s="375" t="s">
        <v>115</v>
      </c>
      <c r="F6" s="376"/>
      <c r="G6" s="376"/>
      <c r="H6" s="376"/>
      <c r="I6" s="376"/>
      <c r="J6" s="377"/>
      <c r="K6" s="375" t="s">
        <v>116</v>
      </c>
      <c r="L6" s="376"/>
      <c r="M6" s="376"/>
      <c r="N6" s="376"/>
      <c r="O6" s="378"/>
      <c r="P6" s="377"/>
      <c r="Q6" s="375" t="s">
        <v>117</v>
      </c>
      <c r="R6" s="376"/>
      <c r="S6" s="376"/>
      <c r="T6" s="376"/>
      <c r="U6" s="378"/>
      <c r="V6" s="377"/>
      <c r="W6" s="375" t="s">
        <v>118</v>
      </c>
      <c r="X6" s="376"/>
      <c r="Y6" s="376"/>
      <c r="Z6" s="376"/>
      <c r="AA6" s="378"/>
      <c r="AB6" s="377"/>
      <c r="AC6" s="375" t="s">
        <v>119</v>
      </c>
      <c r="AD6" s="376"/>
      <c r="AE6" s="376"/>
      <c r="AF6" s="376"/>
      <c r="AG6" s="378"/>
      <c r="AH6" s="377"/>
      <c r="AI6" s="375" t="s">
        <v>120</v>
      </c>
      <c r="AJ6" s="379"/>
      <c r="AK6" s="379"/>
      <c r="AL6" s="380"/>
      <c r="AM6" s="376" t="s">
        <v>121</v>
      </c>
      <c r="AN6" s="379"/>
      <c r="AO6" s="380"/>
    </row>
    <row r="7" spans="1:49" s="166" customFormat="1" ht="63.75" customHeight="1" thickBot="1">
      <c r="A7" s="167"/>
      <c r="B7" s="168" t="s">
        <v>14</v>
      </c>
      <c r="C7" s="169" t="s">
        <v>15</v>
      </c>
      <c r="D7" s="170" t="s">
        <v>140</v>
      </c>
      <c r="E7" s="170" t="s">
        <v>122</v>
      </c>
      <c r="F7" s="170" t="s">
        <v>123</v>
      </c>
      <c r="G7" s="170" t="s">
        <v>124</v>
      </c>
      <c r="H7" s="170" t="s">
        <v>125</v>
      </c>
      <c r="I7" s="170" t="s">
        <v>126</v>
      </c>
      <c r="J7" s="170" t="s">
        <v>127</v>
      </c>
      <c r="K7" s="170" t="s">
        <v>128</v>
      </c>
      <c r="L7" s="170" t="s">
        <v>129</v>
      </c>
      <c r="M7" s="170" t="s">
        <v>130</v>
      </c>
      <c r="N7" s="170" t="s">
        <v>125</v>
      </c>
      <c r="O7" s="170" t="s">
        <v>126</v>
      </c>
      <c r="P7" s="170" t="s">
        <v>127</v>
      </c>
      <c r="Q7" s="170" t="s">
        <v>131</v>
      </c>
      <c r="R7" s="170" t="s">
        <v>129</v>
      </c>
      <c r="S7" s="170" t="s">
        <v>130</v>
      </c>
      <c r="T7" s="170" t="s">
        <v>125</v>
      </c>
      <c r="U7" s="170" t="s">
        <v>126</v>
      </c>
      <c r="V7" s="170" t="s">
        <v>127</v>
      </c>
      <c r="W7" s="171" t="s">
        <v>132</v>
      </c>
      <c r="X7" s="171" t="s">
        <v>129</v>
      </c>
      <c r="Y7" s="171" t="s">
        <v>130</v>
      </c>
      <c r="Z7" s="171" t="s">
        <v>125</v>
      </c>
      <c r="AA7" s="171" t="s">
        <v>126</v>
      </c>
      <c r="AB7" s="171" t="s">
        <v>127</v>
      </c>
      <c r="AC7" s="171" t="s">
        <v>133</v>
      </c>
      <c r="AD7" s="171" t="s">
        <v>129</v>
      </c>
      <c r="AE7" s="171" t="s">
        <v>130</v>
      </c>
      <c r="AF7" s="171" t="s">
        <v>125</v>
      </c>
      <c r="AG7" s="171" t="s">
        <v>126</v>
      </c>
      <c r="AH7" s="171" t="s">
        <v>127</v>
      </c>
      <c r="AI7" s="171" t="s">
        <v>134</v>
      </c>
      <c r="AJ7" s="171" t="s">
        <v>135</v>
      </c>
      <c r="AK7" s="172" t="s">
        <v>136</v>
      </c>
      <c r="AL7" s="173" t="s">
        <v>137</v>
      </c>
      <c r="AM7" s="170" t="s">
        <v>141</v>
      </c>
      <c r="AN7" s="170" t="s">
        <v>138</v>
      </c>
      <c r="AO7" s="174" t="s">
        <v>139</v>
      </c>
    </row>
    <row r="8" spans="1:49" ht="16.5" customHeight="1" thickTop="1">
      <c r="A8" s="365" t="s">
        <v>86</v>
      </c>
      <c r="B8" s="175">
        <v>50110</v>
      </c>
      <c r="C8" s="175" t="s">
        <v>87</v>
      </c>
      <c r="D8" s="176">
        <f>'TOTAL DEVELOPMENT COSTS'!D8</f>
        <v>0</v>
      </c>
      <c r="E8" s="176">
        <f>'TOTAL DEVELOPMENT COSTS'!E8</f>
        <v>0</v>
      </c>
      <c r="F8" s="176">
        <f>E8-G8</f>
        <v>0</v>
      </c>
      <c r="G8" s="176">
        <f>'CAPITAL DEV. COSTS-THIS REQUEST'!E8</f>
        <v>0</v>
      </c>
      <c r="H8" s="176">
        <f t="shared" ref="H8:H17" si="0">G8</f>
        <v>0</v>
      </c>
      <c r="I8" s="177"/>
      <c r="J8" s="177"/>
      <c r="K8" s="176">
        <f>'TOTAL DEVELOPMENT COSTS'!F8</f>
        <v>0</v>
      </c>
      <c r="L8" s="176">
        <f>K8-M8</f>
        <v>0</v>
      </c>
      <c r="M8" s="176">
        <f>'CAPITAL DEV. COSTS-THIS REQUEST'!F8</f>
        <v>0</v>
      </c>
      <c r="N8" s="176">
        <v>0</v>
      </c>
      <c r="O8" s="178"/>
      <c r="P8" s="178"/>
      <c r="Q8" s="176">
        <f>'TOTAL DEVELOPMENT COSTS'!G8</f>
        <v>0</v>
      </c>
      <c r="R8" s="176">
        <f>Q8-S8</f>
        <v>0</v>
      </c>
      <c r="S8" s="176">
        <f>'CAPITAL DEV. COSTS-THIS REQUEST'!G8</f>
        <v>0</v>
      </c>
      <c r="T8" s="176">
        <v>0</v>
      </c>
      <c r="U8" s="178"/>
      <c r="V8" s="178"/>
      <c r="W8" s="176">
        <f>'TOTAL DEVELOPMENT COSTS'!H8</f>
        <v>0</v>
      </c>
      <c r="X8" s="176">
        <f>W8-Y8</f>
        <v>0</v>
      </c>
      <c r="Y8" s="176">
        <f>'CAPITAL DEV. COSTS-THIS REQUEST'!H8</f>
        <v>0</v>
      </c>
      <c r="Z8" s="176">
        <v>0</v>
      </c>
      <c r="AA8" s="178"/>
      <c r="AB8" s="178"/>
      <c r="AC8" s="176">
        <f>'TOTAL DEVELOPMENT COSTS'!I8</f>
        <v>0</v>
      </c>
      <c r="AD8" s="176">
        <f>AC8-AE8</f>
        <v>0</v>
      </c>
      <c r="AE8" s="176">
        <f>'CAPITAL DEV. COSTS-THIS REQUEST'!I8</f>
        <v>0</v>
      </c>
      <c r="AF8" s="176">
        <v>0</v>
      </c>
      <c r="AG8" s="178"/>
      <c r="AH8" s="178"/>
      <c r="AI8" s="176">
        <f>G8+M8+S8+Y8+AE8</f>
        <v>0</v>
      </c>
      <c r="AJ8" s="176">
        <f>H8+N8+T8+Z8+AF8</f>
        <v>0</v>
      </c>
      <c r="AK8" s="176">
        <f>J8+P8+V8+AB8+AH8</f>
        <v>0</v>
      </c>
      <c r="AL8" s="176">
        <f t="shared" ref="AL8:AL23" si="1">AJ8-AK8</f>
        <v>0</v>
      </c>
      <c r="AM8" s="176">
        <f>SUM(D8,I8,J8,O8,P8,U8,V8,AA8,AB8,AG8,AH8)</f>
        <v>0</v>
      </c>
      <c r="AN8" s="176">
        <f>SUM(D8,E8,K8,Q8,W8,AC8)</f>
        <v>0</v>
      </c>
      <c r="AO8" s="176">
        <f>SUM(AN8-AM8)</f>
        <v>0</v>
      </c>
    </row>
    <row r="9" spans="1:49" ht="16.5" customHeight="1">
      <c r="A9" s="366"/>
      <c r="B9" s="175">
        <v>50130</v>
      </c>
      <c r="C9" s="175" t="s">
        <v>88</v>
      </c>
      <c r="D9" s="176">
        <f>'TOTAL DEVELOPMENT COSTS'!D9</f>
        <v>0</v>
      </c>
      <c r="E9" s="176">
        <f>'TOTAL DEVELOPMENT COSTS'!E9</f>
        <v>0</v>
      </c>
      <c r="F9" s="176">
        <f>E9-G9</f>
        <v>0</v>
      </c>
      <c r="G9" s="176">
        <f>'CAPITAL DEV. COSTS-THIS REQUEST'!E9</f>
        <v>0</v>
      </c>
      <c r="H9" s="176">
        <f t="shared" si="0"/>
        <v>0</v>
      </c>
      <c r="I9" s="177"/>
      <c r="J9" s="177"/>
      <c r="K9" s="176">
        <f>'TOTAL DEVELOPMENT COSTS'!F9</f>
        <v>0</v>
      </c>
      <c r="L9" s="176">
        <f>K9-M9</f>
        <v>0</v>
      </c>
      <c r="M9" s="176">
        <f>'CAPITAL DEV. COSTS-THIS REQUEST'!F9</f>
        <v>0</v>
      </c>
      <c r="N9" s="176">
        <v>0</v>
      </c>
      <c r="O9" s="178"/>
      <c r="P9" s="178"/>
      <c r="Q9" s="176">
        <f>'TOTAL DEVELOPMENT COSTS'!G9</f>
        <v>0</v>
      </c>
      <c r="R9" s="176">
        <f t="shared" ref="R9:R10" si="2">Q9-S9</f>
        <v>0</v>
      </c>
      <c r="S9" s="176">
        <f>'CAPITAL DEV. COSTS-THIS REQUEST'!G9</f>
        <v>0</v>
      </c>
      <c r="T9" s="176">
        <v>0</v>
      </c>
      <c r="U9" s="178"/>
      <c r="V9" s="178"/>
      <c r="W9" s="176">
        <f>'TOTAL DEVELOPMENT COSTS'!H9</f>
        <v>0</v>
      </c>
      <c r="X9" s="176">
        <f t="shared" ref="X9:X21" si="3">W9-Y9</f>
        <v>0</v>
      </c>
      <c r="Y9" s="176">
        <f>'CAPITAL DEV. COSTS-THIS REQUEST'!H9</f>
        <v>0</v>
      </c>
      <c r="Z9" s="176">
        <v>0</v>
      </c>
      <c r="AA9" s="178"/>
      <c r="AB9" s="178"/>
      <c r="AC9" s="176">
        <f>'TOTAL DEVELOPMENT COSTS'!I9</f>
        <v>0</v>
      </c>
      <c r="AD9" s="176">
        <f t="shared" ref="AD9:AD21" si="4">AC9-AE9</f>
        <v>0</v>
      </c>
      <c r="AE9" s="176">
        <f>'CAPITAL DEV. COSTS-THIS REQUEST'!I9</f>
        <v>0</v>
      </c>
      <c r="AF9" s="176">
        <v>0</v>
      </c>
      <c r="AG9" s="178"/>
      <c r="AH9" s="178"/>
      <c r="AI9" s="176">
        <f t="shared" ref="AI9:AJ21" si="5">G9+M9+S9+Y9+AE9</f>
        <v>0</v>
      </c>
      <c r="AJ9" s="176">
        <f t="shared" si="5"/>
        <v>0</v>
      </c>
      <c r="AK9" s="176">
        <f>J9+P9+V9+AB9+AH9</f>
        <v>0</v>
      </c>
      <c r="AL9" s="176">
        <f t="shared" si="1"/>
        <v>0</v>
      </c>
      <c r="AM9" s="176">
        <f t="shared" ref="AM9:AM21" si="6">SUM(D9,I9,J9,O9,P9,U9,V9,AA9,AB9,AG9,AH9)</f>
        <v>0</v>
      </c>
      <c r="AN9" s="176">
        <f t="shared" ref="AN9:AN21" si="7">SUM(D9,E9,K9,Q9,W9,AC9)</f>
        <v>0</v>
      </c>
      <c r="AO9" s="176">
        <f>SUM(AN9-AM9)</f>
        <v>0</v>
      </c>
    </row>
    <row r="10" spans="1:49" ht="16.5" customHeight="1" thickBot="1">
      <c r="A10" s="366"/>
      <c r="B10" s="175">
        <v>50170</v>
      </c>
      <c r="C10" s="175" t="s">
        <v>89</v>
      </c>
      <c r="D10" s="176">
        <f>'TOTAL DEVELOPMENT COSTS'!D10</f>
        <v>15000</v>
      </c>
      <c r="E10" s="176">
        <f>'TOTAL DEVELOPMENT COSTS'!E10</f>
        <v>15000</v>
      </c>
      <c r="F10" s="176">
        <f>E10-G10</f>
        <v>15000</v>
      </c>
      <c r="G10" s="176">
        <f>'CAPITAL DEV. COSTS-THIS REQUEST'!E10</f>
        <v>0</v>
      </c>
      <c r="H10" s="176">
        <f t="shared" si="0"/>
        <v>0</v>
      </c>
      <c r="I10" s="177"/>
      <c r="J10" s="177"/>
      <c r="K10" s="176">
        <f>'TOTAL DEVELOPMENT COSTS'!F10</f>
        <v>15000</v>
      </c>
      <c r="L10" s="176">
        <f>K10-M10</f>
        <v>15000</v>
      </c>
      <c r="M10" s="176">
        <f>'CAPITAL DEV. COSTS-THIS REQUEST'!F10</f>
        <v>0</v>
      </c>
      <c r="N10" s="176">
        <v>0</v>
      </c>
      <c r="O10" s="178"/>
      <c r="P10" s="178"/>
      <c r="Q10" s="176">
        <f>'TOTAL DEVELOPMENT COSTS'!G10</f>
        <v>15000</v>
      </c>
      <c r="R10" s="176">
        <f t="shared" si="2"/>
        <v>15000</v>
      </c>
      <c r="S10" s="176">
        <f>'CAPITAL DEV. COSTS-THIS REQUEST'!G10</f>
        <v>0</v>
      </c>
      <c r="T10" s="176">
        <v>0</v>
      </c>
      <c r="U10" s="178"/>
      <c r="V10" s="178"/>
      <c r="W10" s="176">
        <f>'TOTAL DEVELOPMENT COSTS'!H10</f>
        <v>0</v>
      </c>
      <c r="X10" s="176">
        <f t="shared" si="3"/>
        <v>0</v>
      </c>
      <c r="Y10" s="176">
        <f>'CAPITAL DEV. COSTS-THIS REQUEST'!H10</f>
        <v>0</v>
      </c>
      <c r="Z10" s="176">
        <v>0</v>
      </c>
      <c r="AA10" s="178"/>
      <c r="AB10" s="178"/>
      <c r="AC10" s="176">
        <f>'TOTAL DEVELOPMENT COSTS'!I10</f>
        <v>0</v>
      </c>
      <c r="AD10" s="176">
        <f t="shared" si="4"/>
        <v>0</v>
      </c>
      <c r="AE10" s="176">
        <f>'CAPITAL DEV. COSTS-THIS REQUEST'!I10</f>
        <v>0</v>
      </c>
      <c r="AF10" s="176">
        <v>0</v>
      </c>
      <c r="AG10" s="178"/>
      <c r="AH10" s="178"/>
      <c r="AI10" s="176">
        <f t="shared" si="5"/>
        <v>0</v>
      </c>
      <c r="AJ10" s="176">
        <f t="shared" si="5"/>
        <v>0</v>
      </c>
      <c r="AK10" s="176">
        <f>J10+P10+V10+AB10+AH10</f>
        <v>0</v>
      </c>
      <c r="AL10" s="176">
        <f t="shared" si="1"/>
        <v>0</v>
      </c>
      <c r="AM10" s="176">
        <f t="shared" si="6"/>
        <v>15000</v>
      </c>
      <c r="AN10" s="176">
        <f t="shared" si="7"/>
        <v>60000</v>
      </c>
      <c r="AO10" s="176">
        <f t="shared" ref="AO10:AO23" si="8">SUM(AN10-AM10)</f>
        <v>45000</v>
      </c>
    </row>
    <row r="11" spans="1:49" ht="16.5" customHeight="1" thickTop="1" thickBot="1">
      <c r="A11" s="367"/>
      <c r="B11" s="179" t="s">
        <v>16</v>
      </c>
      <c r="C11" s="179"/>
      <c r="D11" s="180">
        <f t="shared" ref="D11:J11" si="9">SUM(D8:D10)</f>
        <v>15000</v>
      </c>
      <c r="E11" s="180">
        <f t="shared" si="9"/>
        <v>15000</v>
      </c>
      <c r="F11" s="180">
        <f t="shared" si="9"/>
        <v>15000</v>
      </c>
      <c r="G11" s="180">
        <f t="shared" si="9"/>
        <v>0</v>
      </c>
      <c r="H11" s="180">
        <f t="shared" si="9"/>
        <v>0</v>
      </c>
      <c r="I11" s="181">
        <f t="shared" si="9"/>
        <v>0</v>
      </c>
      <c r="J11" s="181">
        <f t="shared" si="9"/>
        <v>0</v>
      </c>
      <c r="K11" s="180">
        <f t="shared" ref="K11:Q11" si="10">SUM(K8:K10)</f>
        <v>15000</v>
      </c>
      <c r="L11" s="180">
        <f>SUM(L8:L10)</f>
        <v>15000</v>
      </c>
      <c r="M11" s="180">
        <f>SUM(M8:M10)</f>
        <v>0</v>
      </c>
      <c r="N11" s="180">
        <f>SUM(N8:N10)</f>
        <v>0</v>
      </c>
      <c r="O11" s="181">
        <f t="shared" si="10"/>
        <v>0</v>
      </c>
      <c r="P11" s="181">
        <f t="shared" si="10"/>
        <v>0</v>
      </c>
      <c r="Q11" s="180">
        <f t="shared" si="10"/>
        <v>15000</v>
      </c>
      <c r="R11" s="180">
        <f>SUM(R8:R10)</f>
        <v>15000</v>
      </c>
      <c r="S11" s="180">
        <f>SUM(S8:S10)</f>
        <v>0</v>
      </c>
      <c r="T11" s="180">
        <f>SUM(T8:T10)</f>
        <v>0</v>
      </c>
      <c r="U11" s="181">
        <f t="shared" ref="U11:W11" si="11">SUM(U8:U10)</f>
        <v>0</v>
      </c>
      <c r="V11" s="181">
        <f t="shared" si="11"/>
        <v>0</v>
      </c>
      <c r="W11" s="180">
        <f t="shared" si="11"/>
        <v>0</v>
      </c>
      <c r="X11" s="180">
        <f>SUM(X8:X10)</f>
        <v>0</v>
      </c>
      <c r="Y11" s="180">
        <f>SUM(Y8:Y10)</f>
        <v>0</v>
      </c>
      <c r="Z11" s="180">
        <f>SUM(Z8:Z10)</f>
        <v>0</v>
      </c>
      <c r="AA11" s="181">
        <f t="shared" ref="AA11:AC11" si="12">SUM(AA8:AA10)</f>
        <v>0</v>
      </c>
      <c r="AB11" s="181">
        <f t="shared" si="12"/>
        <v>0</v>
      </c>
      <c r="AC11" s="180">
        <f t="shared" si="12"/>
        <v>0</v>
      </c>
      <c r="AD11" s="180">
        <f>SUM(AD8:AD10)</f>
        <v>0</v>
      </c>
      <c r="AE11" s="180">
        <f>SUM(AE8:AE10)</f>
        <v>0</v>
      </c>
      <c r="AF11" s="180">
        <f>SUM(AF8:AF10)</f>
        <v>0</v>
      </c>
      <c r="AG11" s="181">
        <f t="shared" ref="AG11:AN11" si="13">SUM(AG8:AG10)</f>
        <v>0</v>
      </c>
      <c r="AH11" s="181">
        <f t="shared" si="13"/>
        <v>0</v>
      </c>
      <c r="AI11" s="180">
        <f t="shared" si="13"/>
        <v>0</v>
      </c>
      <c r="AJ11" s="180">
        <f t="shared" si="13"/>
        <v>0</v>
      </c>
      <c r="AK11" s="180">
        <f t="shared" si="13"/>
        <v>0</v>
      </c>
      <c r="AL11" s="180">
        <f t="shared" si="13"/>
        <v>0</v>
      </c>
      <c r="AM11" s="180">
        <f t="shared" si="13"/>
        <v>15000</v>
      </c>
      <c r="AN11" s="180">
        <f t="shared" si="13"/>
        <v>60000</v>
      </c>
      <c r="AO11" s="180">
        <f t="shared" si="8"/>
        <v>45000</v>
      </c>
    </row>
    <row r="12" spans="1:49" ht="16.5" customHeight="1" thickTop="1">
      <c r="A12" s="368" t="s">
        <v>85</v>
      </c>
      <c r="B12" s="175">
        <v>53715</v>
      </c>
      <c r="C12" s="175" t="s">
        <v>90</v>
      </c>
      <c r="D12" s="176">
        <f>'TOTAL DEVELOPMENT COSTS'!D12</f>
        <v>0</v>
      </c>
      <c r="E12" s="176">
        <f>'TOTAL DEVELOPMENT COSTS'!E12</f>
        <v>163800.79999999999</v>
      </c>
      <c r="F12" s="176">
        <f t="shared" ref="F12:F17" si="14">E12-G12</f>
        <v>0</v>
      </c>
      <c r="G12" s="176">
        <f>'CAPITAL DEV. COSTS-THIS REQUEST'!E12</f>
        <v>163800.79999999999</v>
      </c>
      <c r="H12" s="176">
        <f t="shared" si="0"/>
        <v>163800.79999999999</v>
      </c>
      <c r="I12" s="177"/>
      <c r="J12" s="177"/>
      <c r="K12" s="176">
        <f>'TOTAL DEVELOPMENT COSTS'!F12</f>
        <v>50000</v>
      </c>
      <c r="L12" s="176">
        <f t="shared" ref="L12:L17" si="15">K12-M12</f>
        <v>0</v>
      </c>
      <c r="M12" s="176">
        <f>'CAPITAL DEV. COSTS-THIS REQUEST'!F12</f>
        <v>50000</v>
      </c>
      <c r="N12" s="176">
        <v>0</v>
      </c>
      <c r="O12" s="178"/>
      <c r="P12" s="178"/>
      <c r="Q12" s="176">
        <f>'TOTAL DEVELOPMENT COSTS'!G12</f>
        <v>0</v>
      </c>
      <c r="R12" s="176">
        <f t="shared" ref="R12:R17" si="16">Q12-S12</f>
        <v>0</v>
      </c>
      <c r="S12" s="176">
        <f>'CAPITAL DEV. COSTS-THIS REQUEST'!G12</f>
        <v>0</v>
      </c>
      <c r="T12" s="176">
        <v>0</v>
      </c>
      <c r="U12" s="178"/>
      <c r="V12" s="178"/>
      <c r="W12" s="176">
        <f>'TOTAL DEVELOPMENT COSTS'!H12</f>
        <v>0</v>
      </c>
      <c r="X12" s="176">
        <f t="shared" si="3"/>
        <v>0</v>
      </c>
      <c r="Y12" s="176">
        <f>'CAPITAL DEV. COSTS-THIS REQUEST'!H12</f>
        <v>0</v>
      </c>
      <c r="Z12" s="176">
        <v>0</v>
      </c>
      <c r="AA12" s="178"/>
      <c r="AB12" s="178"/>
      <c r="AC12" s="176">
        <f>'TOTAL DEVELOPMENT COSTS'!I12</f>
        <v>0</v>
      </c>
      <c r="AD12" s="176">
        <f t="shared" si="4"/>
        <v>0</v>
      </c>
      <c r="AE12" s="176">
        <f>'CAPITAL DEV. COSTS-THIS REQUEST'!I12</f>
        <v>0</v>
      </c>
      <c r="AF12" s="176">
        <v>0</v>
      </c>
      <c r="AG12" s="178"/>
      <c r="AH12" s="178"/>
      <c r="AI12" s="176">
        <f t="shared" si="5"/>
        <v>213800.8</v>
      </c>
      <c r="AJ12" s="176">
        <f t="shared" si="5"/>
        <v>163800.79999999999</v>
      </c>
      <c r="AK12" s="176">
        <f>J12+P12+V12+AB12+AH12</f>
        <v>0</v>
      </c>
      <c r="AL12" s="176">
        <f t="shared" si="1"/>
        <v>163800.79999999999</v>
      </c>
      <c r="AM12" s="176">
        <f t="shared" si="6"/>
        <v>0</v>
      </c>
      <c r="AN12" s="176">
        <f t="shared" si="7"/>
        <v>213800.8</v>
      </c>
      <c r="AO12" s="176">
        <f t="shared" si="8"/>
        <v>213800.8</v>
      </c>
    </row>
    <row r="13" spans="1:49" ht="16.5" customHeight="1">
      <c r="A13" s="366"/>
      <c r="B13" s="175">
        <v>53720</v>
      </c>
      <c r="C13" s="175" t="s">
        <v>91</v>
      </c>
      <c r="D13" s="176">
        <f>'TOTAL DEVELOPMENT COSTS'!D13</f>
        <v>0</v>
      </c>
      <c r="E13" s="176">
        <f>'TOTAL DEVELOPMENT COSTS'!E13</f>
        <v>0</v>
      </c>
      <c r="F13" s="176">
        <f t="shared" si="14"/>
        <v>0</v>
      </c>
      <c r="G13" s="176">
        <f>'CAPITAL DEV. COSTS-THIS REQUEST'!E13</f>
        <v>0</v>
      </c>
      <c r="H13" s="176">
        <f t="shared" si="0"/>
        <v>0</v>
      </c>
      <c r="I13" s="177"/>
      <c r="J13" s="177"/>
      <c r="K13" s="176">
        <f>'TOTAL DEVELOPMENT COSTS'!F13</f>
        <v>0</v>
      </c>
      <c r="L13" s="176">
        <f t="shared" si="15"/>
        <v>0</v>
      </c>
      <c r="M13" s="176">
        <f>'CAPITAL DEV. COSTS-THIS REQUEST'!F13</f>
        <v>0</v>
      </c>
      <c r="N13" s="176">
        <v>0</v>
      </c>
      <c r="O13" s="178"/>
      <c r="P13" s="178"/>
      <c r="Q13" s="176">
        <f>'TOTAL DEVELOPMENT COSTS'!G13</f>
        <v>0</v>
      </c>
      <c r="R13" s="176">
        <f t="shared" si="16"/>
        <v>0</v>
      </c>
      <c r="S13" s="176">
        <f>'CAPITAL DEV. COSTS-THIS REQUEST'!G13</f>
        <v>0</v>
      </c>
      <c r="T13" s="176">
        <v>0</v>
      </c>
      <c r="U13" s="178"/>
      <c r="V13" s="178"/>
      <c r="W13" s="176">
        <f>'TOTAL DEVELOPMENT COSTS'!H13</f>
        <v>0</v>
      </c>
      <c r="X13" s="176">
        <f t="shared" si="3"/>
        <v>0</v>
      </c>
      <c r="Y13" s="176">
        <f>'CAPITAL DEV. COSTS-THIS REQUEST'!H13</f>
        <v>0</v>
      </c>
      <c r="Z13" s="176">
        <v>0</v>
      </c>
      <c r="AA13" s="178"/>
      <c r="AB13" s="178"/>
      <c r="AC13" s="176">
        <f>'TOTAL DEVELOPMENT COSTS'!I13</f>
        <v>0</v>
      </c>
      <c r="AD13" s="176">
        <f t="shared" si="4"/>
        <v>0</v>
      </c>
      <c r="AE13" s="176">
        <f>'CAPITAL DEV. COSTS-THIS REQUEST'!I13</f>
        <v>0</v>
      </c>
      <c r="AF13" s="176">
        <v>0</v>
      </c>
      <c r="AG13" s="178"/>
      <c r="AH13" s="178"/>
      <c r="AI13" s="176">
        <f t="shared" si="5"/>
        <v>0</v>
      </c>
      <c r="AJ13" s="176">
        <f t="shared" si="5"/>
        <v>0</v>
      </c>
      <c r="AK13" s="176">
        <f t="shared" ref="AK13:AK21" si="17">J13+P13+V13+AB13+AH13</f>
        <v>0</v>
      </c>
      <c r="AL13" s="176">
        <f t="shared" si="1"/>
        <v>0</v>
      </c>
      <c r="AM13" s="176">
        <f t="shared" si="6"/>
        <v>0</v>
      </c>
      <c r="AN13" s="176">
        <f t="shared" si="7"/>
        <v>0</v>
      </c>
      <c r="AO13" s="176">
        <f t="shared" si="8"/>
        <v>0</v>
      </c>
    </row>
    <row r="14" spans="1:49" ht="16.5" customHeight="1">
      <c r="A14" s="366"/>
      <c r="B14" s="175">
        <v>53735</v>
      </c>
      <c r="C14" s="175" t="s">
        <v>92</v>
      </c>
      <c r="D14" s="176">
        <f>'TOTAL DEVELOPMENT COSTS'!D14</f>
        <v>31195.98</v>
      </c>
      <c r="E14" s="176">
        <f>'TOTAL DEVELOPMENT COSTS'!E14</f>
        <v>8634.1</v>
      </c>
      <c r="F14" s="176">
        <f t="shared" si="14"/>
        <v>8634.1</v>
      </c>
      <c r="G14" s="176">
        <f>'CAPITAL DEV. COSTS-THIS REQUEST'!E14</f>
        <v>0</v>
      </c>
      <c r="H14" s="176">
        <f t="shared" si="0"/>
        <v>0</v>
      </c>
      <c r="I14" s="177"/>
      <c r="J14" s="177"/>
      <c r="K14" s="176">
        <f>'TOTAL DEVELOPMENT COSTS'!F14</f>
        <v>0</v>
      </c>
      <c r="L14" s="176">
        <f t="shared" si="15"/>
        <v>0</v>
      </c>
      <c r="M14" s="176">
        <f>'CAPITAL DEV. COSTS-THIS REQUEST'!F14</f>
        <v>0</v>
      </c>
      <c r="N14" s="176">
        <v>0</v>
      </c>
      <c r="O14" s="178"/>
      <c r="P14" s="178"/>
      <c r="Q14" s="176">
        <f>'TOTAL DEVELOPMENT COSTS'!G14</f>
        <v>0</v>
      </c>
      <c r="R14" s="176">
        <f t="shared" si="16"/>
        <v>0</v>
      </c>
      <c r="S14" s="176">
        <f>'CAPITAL DEV. COSTS-THIS REQUEST'!G14</f>
        <v>0</v>
      </c>
      <c r="T14" s="176">
        <v>0</v>
      </c>
      <c r="U14" s="178"/>
      <c r="V14" s="178"/>
      <c r="W14" s="176"/>
      <c r="X14" s="176">
        <f t="shared" si="3"/>
        <v>0</v>
      </c>
      <c r="Y14" s="176">
        <v>0</v>
      </c>
      <c r="Z14" s="176">
        <v>0</v>
      </c>
      <c r="AA14" s="178"/>
      <c r="AB14" s="178"/>
      <c r="AC14" s="176">
        <f>'TOTAL DEVELOPMENT COSTS'!I14</f>
        <v>0</v>
      </c>
      <c r="AD14" s="176">
        <f t="shared" si="4"/>
        <v>0</v>
      </c>
      <c r="AE14" s="176">
        <f>'CAPITAL DEV. COSTS-THIS REQUEST'!I14</f>
        <v>0</v>
      </c>
      <c r="AF14" s="176">
        <v>0</v>
      </c>
      <c r="AG14" s="178"/>
      <c r="AH14" s="178"/>
      <c r="AI14" s="176">
        <f t="shared" si="5"/>
        <v>0</v>
      </c>
      <c r="AJ14" s="176">
        <f t="shared" si="5"/>
        <v>0</v>
      </c>
      <c r="AK14" s="176">
        <f t="shared" si="17"/>
        <v>0</v>
      </c>
      <c r="AL14" s="176">
        <f t="shared" si="1"/>
        <v>0</v>
      </c>
      <c r="AM14" s="176">
        <f t="shared" si="6"/>
        <v>31195.98</v>
      </c>
      <c r="AN14" s="176">
        <f t="shared" si="7"/>
        <v>39830.080000000002</v>
      </c>
      <c r="AO14" s="176">
        <f t="shared" si="8"/>
        <v>8634.1000000000022</v>
      </c>
    </row>
    <row r="15" spans="1:49" ht="16.5" customHeight="1">
      <c r="A15" s="366"/>
      <c r="B15" s="175">
        <v>53740</v>
      </c>
      <c r="C15" s="175" t="s">
        <v>93</v>
      </c>
      <c r="D15" s="176">
        <f>'TOTAL DEVELOPMENT COSTS'!D15</f>
        <v>0</v>
      </c>
      <c r="E15" s="176">
        <f>'TOTAL DEVELOPMENT COSTS'!E15</f>
        <v>0</v>
      </c>
      <c r="F15" s="176">
        <f t="shared" si="14"/>
        <v>0</v>
      </c>
      <c r="G15" s="176">
        <f>'CAPITAL DEV. COSTS-THIS REQUEST'!E15</f>
        <v>0</v>
      </c>
      <c r="H15" s="176">
        <f t="shared" si="0"/>
        <v>0</v>
      </c>
      <c r="I15" s="177">
        <f>4158</f>
        <v>4158</v>
      </c>
      <c r="J15" s="177"/>
      <c r="K15" s="176">
        <f>'TOTAL DEVELOPMENT COSTS'!F15</f>
        <v>0</v>
      </c>
      <c r="L15" s="176">
        <f t="shared" si="15"/>
        <v>0</v>
      </c>
      <c r="M15" s="176">
        <f>'CAPITAL DEV. COSTS-THIS REQUEST'!F15</f>
        <v>0</v>
      </c>
      <c r="N15" s="176">
        <v>0</v>
      </c>
      <c r="O15" s="178"/>
      <c r="P15" s="178"/>
      <c r="Q15" s="176">
        <f>'TOTAL DEVELOPMENT COSTS'!G15</f>
        <v>0</v>
      </c>
      <c r="R15" s="176">
        <f t="shared" si="16"/>
        <v>0</v>
      </c>
      <c r="S15" s="176">
        <f>'CAPITAL DEV. COSTS-THIS REQUEST'!G15</f>
        <v>0</v>
      </c>
      <c r="T15" s="176">
        <v>0</v>
      </c>
      <c r="U15" s="178"/>
      <c r="V15" s="178"/>
      <c r="W15" s="176">
        <f>'TOTAL DEVELOPMENT COSTS'!H15</f>
        <v>0</v>
      </c>
      <c r="X15" s="176">
        <f t="shared" si="3"/>
        <v>0</v>
      </c>
      <c r="Y15" s="176">
        <f>'CAPITAL DEV. COSTS-THIS REQUEST'!H15</f>
        <v>0</v>
      </c>
      <c r="Z15" s="176">
        <v>0</v>
      </c>
      <c r="AA15" s="178"/>
      <c r="AB15" s="178"/>
      <c r="AC15" s="176">
        <f>'TOTAL DEVELOPMENT COSTS'!I15</f>
        <v>0</v>
      </c>
      <c r="AD15" s="176">
        <f t="shared" si="4"/>
        <v>0</v>
      </c>
      <c r="AE15" s="176">
        <f>'CAPITAL DEV. COSTS-THIS REQUEST'!I15</f>
        <v>0</v>
      </c>
      <c r="AF15" s="176">
        <v>0</v>
      </c>
      <c r="AG15" s="178"/>
      <c r="AH15" s="178"/>
      <c r="AI15" s="176">
        <f t="shared" si="5"/>
        <v>0</v>
      </c>
      <c r="AJ15" s="176">
        <f t="shared" si="5"/>
        <v>0</v>
      </c>
      <c r="AK15" s="176">
        <f t="shared" si="17"/>
        <v>0</v>
      </c>
      <c r="AL15" s="176">
        <f t="shared" si="1"/>
        <v>0</v>
      </c>
      <c r="AM15" s="176">
        <f t="shared" si="6"/>
        <v>4158</v>
      </c>
      <c r="AN15" s="176">
        <f t="shared" si="7"/>
        <v>0</v>
      </c>
      <c r="AO15" s="176">
        <f t="shared" si="8"/>
        <v>-4158</v>
      </c>
    </row>
    <row r="16" spans="1:49" ht="16.5" customHeight="1">
      <c r="A16" s="366"/>
      <c r="B16" s="175">
        <v>53755</v>
      </c>
      <c r="C16" s="175" t="s">
        <v>94</v>
      </c>
      <c r="D16" s="176">
        <f>'TOTAL DEVELOPMENT COSTS'!D16</f>
        <v>0</v>
      </c>
      <c r="E16" s="176">
        <f>'TOTAL DEVELOPMENT COSTS'!E16</f>
        <v>316260</v>
      </c>
      <c r="F16" s="176">
        <f t="shared" si="14"/>
        <v>0</v>
      </c>
      <c r="G16" s="176">
        <f>'CAPITAL DEV. COSTS-THIS REQUEST'!E16</f>
        <v>316260</v>
      </c>
      <c r="H16" s="176">
        <f t="shared" si="0"/>
        <v>316260</v>
      </c>
      <c r="I16" s="177"/>
      <c r="J16" s="177"/>
      <c r="K16" s="176">
        <f>'TOTAL DEVELOPMENT COSTS'!F16</f>
        <v>0</v>
      </c>
      <c r="L16" s="176">
        <f t="shared" si="15"/>
        <v>0</v>
      </c>
      <c r="M16" s="176">
        <f>'CAPITAL DEV. COSTS-THIS REQUEST'!F16</f>
        <v>0</v>
      </c>
      <c r="N16" s="176">
        <v>0</v>
      </c>
      <c r="O16" s="178"/>
      <c r="P16" s="178"/>
      <c r="Q16" s="176">
        <f>'TOTAL DEVELOPMENT COSTS'!G16</f>
        <v>0</v>
      </c>
      <c r="R16" s="176">
        <f t="shared" si="16"/>
        <v>0</v>
      </c>
      <c r="S16" s="176">
        <f>'CAPITAL DEV. COSTS-THIS REQUEST'!G16</f>
        <v>0</v>
      </c>
      <c r="T16" s="176">
        <v>0</v>
      </c>
      <c r="U16" s="178"/>
      <c r="V16" s="178"/>
      <c r="W16" s="176">
        <f>'TOTAL DEVELOPMENT COSTS'!H16</f>
        <v>0</v>
      </c>
      <c r="X16" s="176">
        <f t="shared" si="3"/>
        <v>0</v>
      </c>
      <c r="Y16" s="176">
        <f>'CAPITAL DEV. COSTS-THIS REQUEST'!H16</f>
        <v>0</v>
      </c>
      <c r="Z16" s="176">
        <v>0</v>
      </c>
      <c r="AA16" s="178"/>
      <c r="AB16" s="178"/>
      <c r="AC16" s="176">
        <f>'TOTAL DEVELOPMENT COSTS'!I16</f>
        <v>0</v>
      </c>
      <c r="AD16" s="176">
        <f t="shared" si="4"/>
        <v>0</v>
      </c>
      <c r="AE16" s="176">
        <f>'CAPITAL DEV. COSTS-THIS REQUEST'!I16</f>
        <v>0</v>
      </c>
      <c r="AF16" s="176">
        <v>0</v>
      </c>
      <c r="AG16" s="178"/>
      <c r="AH16" s="178"/>
      <c r="AI16" s="176">
        <f t="shared" si="5"/>
        <v>316260</v>
      </c>
      <c r="AJ16" s="176">
        <f t="shared" si="5"/>
        <v>316260</v>
      </c>
      <c r="AK16" s="176">
        <f t="shared" si="17"/>
        <v>0</v>
      </c>
      <c r="AL16" s="176">
        <f t="shared" si="1"/>
        <v>316260</v>
      </c>
      <c r="AM16" s="176">
        <f t="shared" si="6"/>
        <v>0</v>
      </c>
      <c r="AN16" s="176">
        <f t="shared" si="7"/>
        <v>316260</v>
      </c>
      <c r="AO16" s="176">
        <f t="shared" si="8"/>
        <v>316260</v>
      </c>
    </row>
    <row r="17" spans="1:41" ht="16.5" customHeight="1" thickBot="1">
      <c r="A17" s="366"/>
      <c r="B17" s="175">
        <v>53760</v>
      </c>
      <c r="C17" s="175" t="s">
        <v>95</v>
      </c>
      <c r="D17" s="176">
        <f>'TOTAL DEVELOPMENT COSTS'!D17</f>
        <v>0</v>
      </c>
      <c r="E17" s="176">
        <f>'TOTAL DEVELOPMENT COSTS'!E17</f>
        <v>0</v>
      </c>
      <c r="F17" s="176">
        <f t="shared" si="14"/>
        <v>0</v>
      </c>
      <c r="G17" s="176">
        <f>'CAPITAL DEV. COSTS-THIS REQUEST'!E17</f>
        <v>0</v>
      </c>
      <c r="H17" s="176">
        <f t="shared" si="0"/>
        <v>0</v>
      </c>
      <c r="I17" s="177"/>
      <c r="J17" s="177"/>
      <c r="K17" s="176">
        <f>'TOTAL DEVELOPMENT COSTS'!F17</f>
        <v>0</v>
      </c>
      <c r="L17" s="176">
        <f t="shared" si="15"/>
        <v>0</v>
      </c>
      <c r="M17" s="176">
        <f>'CAPITAL DEV. COSTS-THIS REQUEST'!F17</f>
        <v>0</v>
      </c>
      <c r="N17" s="176">
        <v>0</v>
      </c>
      <c r="O17" s="178"/>
      <c r="P17" s="178"/>
      <c r="Q17" s="176">
        <f>'TOTAL DEVELOPMENT COSTS'!G17</f>
        <v>0</v>
      </c>
      <c r="R17" s="176">
        <f t="shared" si="16"/>
        <v>0</v>
      </c>
      <c r="S17" s="176">
        <f>'CAPITAL DEV. COSTS-THIS REQUEST'!G17</f>
        <v>0</v>
      </c>
      <c r="T17" s="176">
        <v>0</v>
      </c>
      <c r="U17" s="178"/>
      <c r="V17" s="178"/>
      <c r="W17" s="176">
        <f>'TOTAL DEVELOPMENT COSTS'!H17</f>
        <v>0</v>
      </c>
      <c r="X17" s="176">
        <f t="shared" si="3"/>
        <v>0</v>
      </c>
      <c r="Y17" s="176">
        <f>'CAPITAL DEV. COSTS-THIS REQUEST'!H17</f>
        <v>0</v>
      </c>
      <c r="Z17" s="176">
        <v>0</v>
      </c>
      <c r="AA17" s="178"/>
      <c r="AB17" s="178"/>
      <c r="AC17" s="176">
        <f>'TOTAL DEVELOPMENT COSTS'!I17</f>
        <v>0</v>
      </c>
      <c r="AD17" s="176">
        <f t="shared" si="4"/>
        <v>0</v>
      </c>
      <c r="AE17" s="176">
        <f>'CAPITAL DEV. COSTS-THIS REQUEST'!I17</f>
        <v>0</v>
      </c>
      <c r="AF17" s="176">
        <v>0</v>
      </c>
      <c r="AG17" s="178"/>
      <c r="AH17" s="178"/>
      <c r="AI17" s="176">
        <f t="shared" si="5"/>
        <v>0</v>
      </c>
      <c r="AJ17" s="176">
        <f t="shared" si="5"/>
        <v>0</v>
      </c>
      <c r="AK17" s="176">
        <f t="shared" si="17"/>
        <v>0</v>
      </c>
      <c r="AL17" s="176">
        <f t="shared" si="1"/>
        <v>0</v>
      </c>
      <c r="AM17" s="176">
        <f t="shared" si="6"/>
        <v>0</v>
      </c>
      <c r="AN17" s="176">
        <f t="shared" si="7"/>
        <v>0</v>
      </c>
      <c r="AO17" s="176">
        <f t="shared" si="8"/>
        <v>0</v>
      </c>
    </row>
    <row r="18" spans="1:41" ht="16.5" customHeight="1" thickTop="1" thickBot="1">
      <c r="A18" s="367"/>
      <c r="B18" s="179" t="s">
        <v>16</v>
      </c>
      <c r="C18" s="179"/>
      <c r="D18" s="180">
        <f t="shared" ref="D18:Q18" si="18">SUM(D12:D17)</f>
        <v>31195.98</v>
      </c>
      <c r="E18" s="180">
        <f t="shared" si="18"/>
        <v>488694.9</v>
      </c>
      <c r="F18" s="180">
        <f t="shared" si="18"/>
        <v>8634.1</v>
      </c>
      <c r="G18" s="180">
        <f t="shared" si="18"/>
        <v>480060.8</v>
      </c>
      <c r="H18" s="180">
        <f t="shared" si="18"/>
        <v>480060.8</v>
      </c>
      <c r="I18" s="181">
        <f t="shared" si="18"/>
        <v>4158</v>
      </c>
      <c r="J18" s="181">
        <f t="shared" si="18"/>
        <v>0</v>
      </c>
      <c r="K18" s="180">
        <f t="shared" si="18"/>
        <v>50000</v>
      </c>
      <c r="L18" s="180">
        <f>SUM(L12:L17)</f>
        <v>0</v>
      </c>
      <c r="M18" s="180">
        <f>SUM(M12:M17)</f>
        <v>50000</v>
      </c>
      <c r="N18" s="180">
        <f>SUM(N12:N17)</f>
        <v>0</v>
      </c>
      <c r="O18" s="181">
        <f t="shared" si="18"/>
        <v>0</v>
      </c>
      <c r="P18" s="181">
        <f t="shared" si="18"/>
        <v>0</v>
      </c>
      <c r="Q18" s="180">
        <f t="shared" si="18"/>
        <v>0</v>
      </c>
      <c r="R18" s="180">
        <f>SUM(R12:R17)</f>
        <v>0</v>
      </c>
      <c r="S18" s="180">
        <f>SUM(S12:S17)</f>
        <v>0</v>
      </c>
      <c r="T18" s="180">
        <f>SUM(T12:T17)</f>
        <v>0</v>
      </c>
      <c r="U18" s="181">
        <f t="shared" ref="U18:W18" si="19">SUM(U12:U17)</f>
        <v>0</v>
      </c>
      <c r="V18" s="181">
        <f t="shared" si="19"/>
        <v>0</v>
      </c>
      <c r="W18" s="180">
        <f t="shared" si="19"/>
        <v>0</v>
      </c>
      <c r="X18" s="180">
        <f>SUM(X12:X17)</f>
        <v>0</v>
      </c>
      <c r="Y18" s="180">
        <f>SUM(Y12:Y17)</f>
        <v>0</v>
      </c>
      <c r="Z18" s="180">
        <f>SUM(Z12:Z17)</f>
        <v>0</v>
      </c>
      <c r="AA18" s="181">
        <f t="shared" ref="AA18:AC18" si="20">SUM(AA12:AA17)</f>
        <v>0</v>
      </c>
      <c r="AB18" s="181">
        <f t="shared" si="20"/>
        <v>0</v>
      </c>
      <c r="AC18" s="180">
        <f t="shared" si="20"/>
        <v>0</v>
      </c>
      <c r="AD18" s="180">
        <f>SUM(AD12:AD17)</f>
        <v>0</v>
      </c>
      <c r="AE18" s="180">
        <f>SUM(AE12:AE17)</f>
        <v>0</v>
      </c>
      <c r="AF18" s="180">
        <f>SUM(AF12:AF17)</f>
        <v>0</v>
      </c>
      <c r="AG18" s="181">
        <f t="shared" ref="AG18:AH18" si="21">SUM(AG12:AG17)</f>
        <v>0</v>
      </c>
      <c r="AH18" s="181">
        <f t="shared" si="21"/>
        <v>0</v>
      </c>
      <c r="AI18" s="180">
        <f>SUM(AI12:AI17)</f>
        <v>530060.80000000005</v>
      </c>
      <c r="AJ18" s="180">
        <f>SUM(AJ12:AJ17)</f>
        <v>480060.8</v>
      </c>
      <c r="AK18" s="180">
        <f>SUM(AK12:AK17)</f>
        <v>0</v>
      </c>
      <c r="AL18" s="180">
        <f t="shared" si="1"/>
        <v>480060.8</v>
      </c>
      <c r="AM18" s="180">
        <f>SUM(AM12:AM17)</f>
        <v>35353.979999999996</v>
      </c>
      <c r="AN18" s="180">
        <f>SUM(AN12:AN17)</f>
        <v>569890.88</v>
      </c>
      <c r="AO18" s="180">
        <f t="shared" si="8"/>
        <v>534536.9</v>
      </c>
    </row>
    <row r="19" spans="1:41" ht="16.5" customHeight="1" thickTop="1">
      <c r="A19" s="368" t="s">
        <v>96</v>
      </c>
      <c r="B19" s="235" t="s">
        <v>143</v>
      </c>
      <c r="C19" s="175" t="s">
        <v>97</v>
      </c>
      <c r="D19" s="176">
        <f>'TOTAL DEVELOPMENT COSTS'!D19</f>
        <v>247492.18</v>
      </c>
      <c r="E19" s="176">
        <f>'TOTAL DEVELOPMENT COSTS'!E19</f>
        <v>43000</v>
      </c>
      <c r="F19" s="176">
        <f>E19-G19</f>
        <v>43000</v>
      </c>
      <c r="G19" s="176">
        <f>'CAPITAL DEV. COSTS-THIS REQUEST'!E19</f>
        <v>0</v>
      </c>
      <c r="H19" s="176">
        <f>G19</f>
        <v>0</v>
      </c>
      <c r="I19" s="177">
        <f>115400+43042.52+6991.7+30109.33+6722+60598.7+49829.15+47489.15+21199+21199+19952+67906.11</f>
        <v>490438.66000000003</v>
      </c>
      <c r="J19" s="177">
        <f>32211.45+9370.82</f>
        <v>41582.270000000004</v>
      </c>
      <c r="K19" s="176">
        <f>'TOTAL DEVELOPMENT COSTS'!F19</f>
        <v>450000</v>
      </c>
      <c r="L19" s="176">
        <f>K19-M19</f>
        <v>0</v>
      </c>
      <c r="M19" s="176">
        <f>'CAPITAL DEV. COSTS-THIS REQUEST'!F19</f>
        <v>450000</v>
      </c>
      <c r="N19" s="176">
        <v>0</v>
      </c>
      <c r="O19" s="178"/>
      <c r="P19" s="178"/>
      <c r="Q19" s="176">
        <f>'TOTAL DEVELOPMENT COSTS'!G19</f>
        <v>0</v>
      </c>
      <c r="R19" s="176">
        <f>Q19-S19</f>
        <v>0</v>
      </c>
      <c r="S19" s="176">
        <f>'CAPITAL DEV. COSTS-THIS REQUEST'!G19</f>
        <v>0</v>
      </c>
      <c r="T19" s="176">
        <v>0</v>
      </c>
      <c r="U19" s="178"/>
      <c r="V19" s="178"/>
      <c r="W19" s="176">
        <f>'TOTAL DEVELOPMENT COSTS'!H19</f>
        <v>0</v>
      </c>
      <c r="X19" s="176">
        <f t="shared" si="3"/>
        <v>0</v>
      </c>
      <c r="Y19" s="176">
        <f>'CAPITAL DEV. COSTS-THIS REQUEST'!H19</f>
        <v>0</v>
      </c>
      <c r="Z19" s="176">
        <v>0</v>
      </c>
      <c r="AA19" s="178"/>
      <c r="AB19" s="178"/>
      <c r="AC19" s="176">
        <f>'TOTAL DEVELOPMENT COSTS'!I19</f>
        <v>0</v>
      </c>
      <c r="AD19" s="176">
        <f t="shared" si="4"/>
        <v>0</v>
      </c>
      <c r="AE19" s="176">
        <f>'CAPITAL DEV. COSTS-THIS REQUEST'!I19</f>
        <v>0</v>
      </c>
      <c r="AF19" s="176">
        <v>0</v>
      </c>
      <c r="AG19" s="178"/>
      <c r="AH19" s="178"/>
      <c r="AI19" s="176">
        <f t="shared" si="5"/>
        <v>450000</v>
      </c>
      <c r="AJ19" s="176">
        <f t="shared" si="5"/>
        <v>0</v>
      </c>
      <c r="AK19" s="176">
        <f t="shared" si="17"/>
        <v>41582.270000000004</v>
      </c>
      <c r="AL19" s="176">
        <f t="shared" si="1"/>
        <v>-41582.270000000004</v>
      </c>
      <c r="AM19" s="176">
        <f t="shared" si="6"/>
        <v>779513.1100000001</v>
      </c>
      <c r="AN19" s="176">
        <f t="shared" si="7"/>
        <v>740492.17999999993</v>
      </c>
      <c r="AO19" s="176">
        <f t="shared" si="8"/>
        <v>-39020.930000000168</v>
      </c>
    </row>
    <row r="20" spans="1:41" ht="16.5" customHeight="1">
      <c r="A20" s="365"/>
      <c r="B20" s="235" t="s">
        <v>144</v>
      </c>
      <c r="C20" s="175" t="s">
        <v>98</v>
      </c>
      <c r="D20" s="176">
        <f>'TOTAL DEVELOPMENT COSTS'!D20</f>
        <v>0</v>
      </c>
      <c r="E20" s="176">
        <f>'TOTAL DEVELOPMENT COSTS'!E20</f>
        <v>562839.33000000007</v>
      </c>
      <c r="F20" s="176">
        <f>E20-G20</f>
        <v>42900.330000000075</v>
      </c>
      <c r="G20" s="176">
        <f>'CAPITAL DEV. COSTS-THIS REQUEST'!E20</f>
        <v>519939</v>
      </c>
      <c r="H20" s="176">
        <f>G20</f>
        <v>519939</v>
      </c>
      <c r="I20" s="177"/>
      <c r="J20" s="177">
        <f>0</f>
        <v>0</v>
      </c>
      <c r="K20" s="176">
        <f>'TOTAL DEVELOPMENT COSTS'!F20</f>
        <v>0</v>
      </c>
      <c r="L20" s="176">
        <f>K20-M20</f>
        <v>0</v>
      </c>
      <c r="M20" s="176">
        <f>'CAPITAL DEV. COSTS-THIS REQUEST'!F20</f>
        <v>0</v>
      </c>
      <c r="N20" s="176">
        <v>0</v>
      </c>
      <c r="O20" s="178"/>
      <c r="P20" s="178"/>
      <c r="Q20" s="176">
        <f>'TOTAL DEVELOPMENT COSTS'!G20</f>
        <v>0</v>
      </c>
      <c r="R20" s="176">
        <f>Q20-S20</f>
        <v>0</v>
      </c>
      <c r="S20" s="176">
        <f>'CAPITAL DEV. COSTS-THIS REQUEST'!G20</f>
        <v>0</v>
      </c>
      <c r="T20" s="176">
        <v>0</v>
      </c>
      <c r="U20" s="178"/>
      <c r="V20" s="178"/>
      <c r="W20" s="176">
        <f>'TOTAL DEVELOPMENT COSTS'!H20</f>
        <v>0</v>
      </c>
      <c r="X20" s="176">
        <f t="shared" si="3"/>
        <v>0</v>
      </c>
      <c r="Y20" s="176">
        <f>'CAPITAL DEV. COSTS-THIS REQUEST'!H20</f>
        <v>0</v>
      </c>
      <c r="Z20" s="176">
        <v>0</v>
      </c>
      <c r="AA20" s="178"/>
      <c r="AB20" s="178"/>
      <c r="AC20" s="176">
        <f>'TOTAL DEVELOPMENT COSTS'!I20</f>
        <v>0</v>
      </c>
      <c r="AD20" s="176">
        <f t="shared" si="4"/>
        <v>0</v>
      </c>
      <c r="AE20" s="176">
        <f>'CAPITAL DEV. COSTS-THIS REQUEST'!I20</f>
        <v>0</v>
      </c>
      <c r="AF20" s="176">
        <v>0</v>
      </c>
      <c r="AG20" s="178"/>
      <c r="AH20" s="178"/>
      <c r="AI20" s="176">
        <f t="shared" si="5"/>
        <v>519939</v>
      </c>
      <c r="AJ20" s="176">
        <f t="shared" si="5"/>
        <v>519939</v>
      </c>
      <c r="AK20" s="176">
        <f t="shared" si="17"/>
        <v>0</v>
      </c>
      <c r="AL20" s="176">
        <f t="shared" si="1"/>
        <v>519939</v>
      </c>
      <c r="AM20" s="176">
        <f t="shared" si="6"/>
        <v>0</v>
      </c>
      <c r="AN20" s="176">
        <f t="shared" si="7"/>
        <v>562839.33000000007</v>
      </c>
      <c r="AO20" s="176">
        <f t="shared" si="8"/>
        <v>562839.33000000007</v>
      </c>
    </row>
    <row r="21" spans="1:41" ht="16.5" customHeight="1" thickBot="1">
      <c r="A21" s="365"/>
      <c r="B21" s="235" t="s">
        <v>145</v>
      </c>
      <c r="C21" s="175" t="s">
        <v>99</v>
      </c>
      <c r="D21" s="176">
        <f>'TOTAL DEVELOPMENT COSTS'!D21</f>
        <v>88096.61</v>
      </c>
      <c r="E21" s="176">
        <f>'TOTAL DEVELOPMENT COSTS'!E21</f>
        <v>0</v>
      </c>
      <c r="F21" s="176">
        <f>E21-G21</f>
        <v>0</v>
      </c>
      <c r="G21" s="176">
        <f>'CAPITAL DEV. COSTS-THIS REQUEST'!E21</f>
        <v>0</v>
      </c>
      <c r="H21" s="176">
        <f>G21</f>
        <v>0</v>
      </c>
      <c r="I21" s="177"/>
      <c r="J21" s="177">
        <f>377732.84</f>
        <v>377732.84</v>
      </c>
      <c r="K21" s="176">
        <f>'TOTAL DEVELOPMENT COSTS'!F21</f>
        <v>0</v>
      </c>
      <c r="L21" s="176">
        <f>K21-M21</f>
        <v>0</v>
      </c>
      <c r="M21" s="176">
        <f>'CAPITAL DEV. COSTS-THIS REQUEST'!F21</f>
        <v>0</v>
      </c>
      <c r="N21" s="176">
        <v>0</v>
      </c>
      <c r="O21" s="178"/>
      <c r="P21" s="178"/>
      <c r="Q21" s="176">
        <f>'TOTAL DEVELOPMENT COSTS'!G21</f>
        <v>0</v>
      </c>
      <c r="R21" s="176">
        <f>Q21-S21</f>
        <v>0</v>
      </c>
      <c r="S21" s="176">
        <f>'CAPITAL DEV. COSTS-THIS REQUEST'!G21</f>
        <v>0</v>
      </c>
      <c r="T21" s="176">
        <v>0</v>
      </c>
      <c r="U21" s="178"/>
      <c r="V21" s="178"/>
      <c r="W21" s="176">
        <f>'TOTAL DEVELOPMENT COSTS'!H21</f>
        <v>0</v>
      </c>
      <c r="X21" s="176">
        <f t="shared" si="3"/>
        <v>0</v>
      </c>
      <c r="Y21" s="176">
        <f>'CAPITAL DEV. COSTS-THIS REQUEST'!H21</f>
        <v>0</v>
      </c>
      <c r="Z21" s="176">
        <v>0</v>
      </c>
      <c r="AA21" s="178"/>
      <c r="AB21" s="178"/>
      <c r="AC21" s="176">
        <f>'TOTAL DEVELOPMENT COSTS'!I21</f>
        <v>0</v>
      </c>
      <c r="AD21" s="176">
        <f t="shared" si="4"/>
        <v>0</v>
      </c>
      <c r="AE21" s="176">
        <f>'CAPITAL DEV. COSTS-THIS REQUEST'!I21</f>
        <v>0</v>
      </c>
      <c r="AF21" s="176">
        <v>0</v>
      </c>
      <c r="AG21" s="178"/>
      <c r="AH21" s="178"/>
      <c r="AI21" s="176">
        <f t="shared" si="5"/>
        <v>0</v>
      </c>
      <c r="AJ21" s="176">
        <f t="shared" si="5"/>
        <v>0</v>
      </c>
      <c r="AK21" s="176">
        <f t="shared" si="17"/>
        <v>377732.84</v>
      </c>
      <c r="AL21" s="176">
        <f t="shared" si="1"/>
        <v>-377732.84</v>
      </c>
      <c r="AM21" s="176">
        <f t="shared" si="6"/>
        <v>465829.45</v>
      </c>
      <c r="AN21" s="176">
        <f t="shared" si="7"/>
        <v>88096.61</v>
      </c>
      <c r="AO21" s="176">
        <f t="shared" si="8"/>
        <v>-377732.84</v>
      </c>
    </row>
    <row r="22" spans="1:41" ht="16.5" customHeight="1" thickTop="1" thickBot="1">
      <c r="A22" s="367"/>
      <c r="B22" s="179" t="s">
        <v>16</v>
      </c>
      <c r="C22" s="179"/>
      <c r="D22" s="180">
        <f t="shared" ref="D22:AH22" si="22">SUM(D19:D21)</f>
        <v>335588.79</v>
      </c>
      <c r="E22" s="180">
        <f t="shared" si="22"/>
        <v>605839.33000000007</v>
      </c>
      <c r="F22" s="180">
        <f t="shared" si="22"/>
        <v>85900.330000000075</v>
      </c>
      <c r="G22" s="180">
        <f>SUM(G19:G21)</f>
        <v>519939</v>
      </c>
      <c r="H22" s="180">
        <f>SUM(H19:H21)</f>
        <v>519939</v>
      </c>
      <c r="I22" s="180">
        <f t="shared" si="22"/>
        <v>490438.66000000003</v>
      </c>
      <c r="J22" s="180">
        <f t="shared" si="22"/>
        <v>419315.11000000004</v>
      </c>
      <c r="K22" s="180">
        <f t="shared" si="22"/>
        <v>450000</v>
      </c>
      <c r="L22" s="180">
        <f t="shared" si="22"/>
        <v>0</v>
      </c>
      <c r="M22" s="180">
        <f t="shared" si="22"/>
        <v>450000</v>
      </c>
      <c r="N22" s="180">
        <f t="shared" si="22"/>
        <v>0</v>
      </c>
      <c r="O22" s="180">
        <f t="shared" si="22"/>
        <v>0</v>
      </c>
      <c r="P22" s="180">
        <f t="shared" si="22"/>
        <v>0</v>
      </c>
      <c r="Q22" s="180">
        <f t="shared" si="22"/>
        <v>0</v>
      </c>
      <c r="R22" s="180">
        <f t="shared" si="22"/>
        <v>0</v>
      </c>
      <c r="S22" s="180">
        <f t="shared" si="22"/>
        <v>0</v>
      </c>
      <c r="T22" s="180">
        <f t="shared" si="22"/>
        <v>0</v>
      </c>
      <c r="U22" s="180">
        <f t="shared" si="22"/>
        <v>0</v>
      </c>
      <c r="V22" s="180">
        <f t="shared" si="22"/>
        <v>0</v>
      </c>
      <c r="W22" s="180">
        <f t="shared" si="22"/>
        <v>0</v>
      </c>
      <c r="X22" s="180">
        <f t="shared" si="22"/>
        <v>0</v>
      </c>
      <c r="Y22" s="180">
        <f t="shared" si="22"/>
        <v>0</v>
      </c>
      <c r="Z22" s="180">
        <f t="shared" si="22"/>
        <v>0</v>
      </c>
      <c r="AA22" s="180">
        <f t="shared" si="22"/>
        <v>0</v>
      </c>
      <c r="AB22" s="180">
        <f t="shared" si="22"/>
        <v>0</v>
      </c>
      <c r="AC22" s="180">
        <f t="shared" si="22"/>
        <v>0</v>
      </c>
      <c r="AD22" s="180">
        <f t="shared" si="22"/>
        <v>0</v>
      </c>
      <c r="AE22" s="180">
        <f t="shared" si="22"/>
        <v>0</v>
      </c>
      <c r="AF22" s="180">
        <f t="shared" si="22"/>
        <v>0</v>
      </c>
      <c r="AG22" s="180">
        <f t="shared" si="22"/>
        <v>0</v>
      </c>
      <c r="AH22" s="180">
        <f t="shared" si="22"/>
        <v>0</v>
      </c>
      <c r="AI22" s="180">
        <f>SUM(AI19:AI21)</f>
        <v>969939</v>
      </c>
      <c r="AJ22" s="180">
        <f>SUM(AJ19:AJ21)</f>
        <v>519939</v>
      </c>
      <c r="AK22" s="180">
        <f>SUM(AK19:AK21)</f>
        <v>419315.11000000004</v>
      </c>
      <c r="AL22" s="180">
        <f t="shared" si="1"/>
        <v>100623.88999999996</v>
      </c>
      <c r="AM22" s="180">
        <f>SUM(AM19:AM21)</f>
        <v>1245342.56</v>
      </c>
      <c r="AN22" s="180">
        <f>SUM(AN19:AN21)</f>
        <v>1391428.12</v>
      </c>
      <c r="AO22" s="180">
        <f t="shared" si="8"/>
        <v>146085.56000000006</v>
      </c>
    </row>
    <row r="23" spans="1:41" ht="16.5" customHeight="1" thickTop="1" thickBot="1">
      <c r="A23" s="369" t="s">
        <v>17</v>
      </c>
      <c r="B23" s="370"/>
      <c r="C23" s="371"/>
      <c r="D23" s="180">
        <f t="shared" ref="D23:AH23" si="23">D11+D18+D22</f>
        <v>381784.76999999996</v>
      </c>
      <c r="E23" s="180">
        <f t="shared" si="23"/>
        <v>1109534.23</v>
      </c>
      <c r="F23" s="180">
        <f t="shared" si="23"/>
        <v>109534.43000000008</v>
      </c>
      <c r="G23" s="180">
        <f t="shared" si="23"/>
        <v>999999.8</v>
      </c>
      <c r="H23" s="180">
        <f t="shared" si="23"/>
        <v>999999.8</v>
      </c>
      <c r="I23" s="180">
        <f t="shared" si="23"/>
        <v>494596.66000000003</v>
      </c>
      <c r="J23" s="180">
        <f t="shared" si="23"/>
        <v>419315.11000000004</v>
      </c>
      <c r="K23" s="180">
        <f t="shared" si="23"/>
        <v>515000</v>
      </c>
      <c r="L23" s="180">
        <f t="shared" si="23"/>
        <v>15000</v>
      </c>
      <c r="M23" s="180">
        <f t="shared" si="23"/>
        <v>500000</v>
      </c>
      <c r="N23" s="180">
        <f t="shared" si="23"/>
        <v>0</v>
      </c>
      <c r="O23" s="180">
        <f t="shared" si="23"/>
        <v>0</v>
      </c>
      <c r="P23" s="180">
        <f t="shared" si="23"/>
        <v>0</v>
      </c>
      <c r="Q23" s="180">
        <f t="shared" si="23"/>
        <v>15000</v>
      </c>
      <c r="R23" s="180">
        <f t="shared" si="23"/>
        <v>15000</v>
      </c>
      <c r="S23" s="180">
        <f t="shared" si="23"/>
        <v>0</v>
      </c>
      <c r="T23" s="180">
        <f t="shared" si="23"/>
        <v>0</v>
      </c>
      <c r="U23" s="180">
        <f t="shared" si="23"/>
        <v>0</v>
      </c>
      <c r="V23" s="180">
        <f t="shared" si="23"/>
        <v>0</v>
      </c>
      <c r="W23" s="180">
        <f t="shared" si="23"/>
        <v>0</v>
      </c>
      <c r="X23" s="180">
        <f t="shared" si="23"/>
        <v>0</v>
      </c>
      <c r="Y23" s="180">
        <f t="shared" si="23"/>
        <v>0</v>
      </c>
      <c r="Z23" s="180">
        <f t="shared" si="23"/>
        <v>0</v>
      </c>
      <c r="AA23" s="180">
        <f t="shared" si="23"/>
        <v>0</v>
      </c>
      <c r="AB23" s="180">
        <f t="shared" si="23"/>
        <v>0</v>
      </c>
      <c r="AC23" s="180">
        <f t="shared" si="23"/>
        <v>0</v>
      </c>
      <c r="AD23" s="180">
        <f t="shared" si="23"/>
        <v>0</v>
      </c>
      <c r="AE23" s="180">
        <f t="shared" si="23"/>
        <v>0</v>
      </c>
      <c r="AF23" s="180">
        <f t="shared" si="23"/>
        <v>0</v>
      </c>
      <c r="AG23" s="180">
        <f t="shared" si="23"/>
        <v>0</v>
      </c>
      <c r="AH23" s="180">
        <f t="shared" si="23"/>
        <v>0</v>
      </c>
      <c r="AI23" s="180">
        <f>SUM(AI11,AI18,AI22)</f>
        <v>1499999.8</v>
      </c>
      <c r="AJ23" s="180">
        <f>SUM(AJ11,AJ18,AJ22)</f>
        <v>999999.8</v>
      </c>
      <c r="AK23" s="180">
        <f>SUM(AK11,AK18,AK22)</f>
        <v>419315.11000000004</v>
      </c>
      <c r="AL23" s="180">
        <f t="shared" si="1"/>
        <v>580684.68999999994</v>
      </c>
      <c r="AM23" s="180">
        <f>SUM(AM11,AM18,AM22)</f>
        <v>1295696.54</v>
      </c>
      <c r="AN23" s="180">
        <f>SUM(AN11,AN18,AN22)</f>
        <v>2021319</v>
      </c>
      <c r="AO23" s="180">
        <f t="shared" si="8"/>
        <v>725622.46</v>
      </c>
    </row>
    <row r="24" spans="1:41" ht="13.5" thickTop="1"/>
    <row r="25" spans="1:41" ht="14.25">
      <c r="A25" s="161" t="s">
        <v>146</v>
      </c>
      <c r="G25" s="182"/>
      <c r="H25" s="182"/>
      <c r="J25" s="182"/>
    </row>
    <row r="26" spans="1:41" ht="14.25">
      <c r="A26" s="161" t="s">
        <v>147</v>
      </c>
    </row>
    <row r="27" spans="1:41" ht="14.25">
      <c r="A27" s="161" t="s">
        <v>148</v>
      </c>
    </row>
  </sheetData>
  <sheetProtection password="CAD5" sheet="1" objects="1" scenarios="1"/>
  <mergeCells count="18">
    <mergeCell ref="A1:C1"/>
    <mergeCell ref="D1:I1"/>
    <mergeCell ref="A2:C2"/>
    <mergeCell ref="D2:I2"/>
    <mergeCell ref="A3:C3"/>
    <mergeCell ref="D3:I3"/>
    <mergeCell ref="A8:A11"/>
    <mergeCell ref="A12:A18"/>
    <mergeCell ref="A19:A22"/>
    <mergeCell ref="A23:C23"/>
    <mergeCell ref="A5:AM5"/>
    <mergeCell ref="E6:J6"/>
    <mergeCell ref="K6:P6"/>
    <mergeCell ref="Q6:V6"/>
    <mergeCell ref="W6:AB6"/>
    <mergeCell ref="AC6:AH6"/>
    <mergeCell ref="AI6:AL6"/>
    <mergeCell ref="AM6:AO6"/>
  </mergeCells>
  <pageMargins left="0.25" right="0.25" top="0.25" bottom="0.25" header="0.3" footer="0.3"/>
  <pageSetup paperSize="5" orientation="landscape" r:id="rId1"/>
</worksheet>
</file>

<file path=xl/worksheets/sheet9.xml><?xml version="1.0" encoding="utf-8"?>
<worksheet xmlns="http://schemas.openxmlformats.org/spreadsheetml/2006/main" xmlns:r="http://schemas.openxmlformats.org/officeDocument/2006/relationships">
  <sheetPr codeName="Sheet9"/>
  <dimension ref="B1:C1"/>
  <sheetViews>
    <sheetView workbookViewId="0">
      <selection activeCell="C2" sqref="C2"/>
    </sheetView>
  </sheetViews>
  <sheetFormatPr defaultRowHeight="10.5"/>
  <cols>
    <col min="2" max="2" width="23.85546875" bestFit="1" customWidth="1"/>
  </cols>
  <sheetData>
    <row r="1" spans="2:3">
      <c r="B1" t="s">
        <v>42</v>
      </c>
      <c r="C1">
        <v>2013</v>
      </c>
    </row>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A9892B157AF44FBC24DBA951C0C009" ma:contentTypeVersion="0" ma:contentTypeDescription="Create a new document." ma:contentTypeScope="" ma:versionID="20ffc4a6d9176b01a14976bc8d8e60f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F17C085-9932-4A27-AFB6-0A034DA4E7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B3519EE9-2656-42B1-B014-BDB051858FB0}">
  <ds:schemaRefs>
    <ds:schemaRef ds:uri="http://schemas.microsoft.com/sharepoint/v3/contenttype/forms"/>
  </ds:schemaRefs>
</ds:datastoreItem>
</file>

<file path=customXml/itemProps3.xml><?xml version="1.0" encoding="utf-8"?>
<ds:datastoreItem xmlns:ds="http://schemas.openxmlformats.org/officeDocument/2006/customXml" ds:itemID="{4377B6F5-1085-42D8-B036-26C3E2DEA206}">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PROJECT ID|INSTRUCTIONS</vt:lpstr>
      <vt:lpstr>FINANCIAL BENEFITS</vt:lpstr>
      <vt:lpstr>TOTAL DEVELOPMENT COSTS</vt:lpstr>
      <vt:lpstr>CAPITAL DEV. COSTS-THIS REQUEST</vt:lpstr>
      <vt:lpstr> OBJECTIVES</vt:lpstr>
      <vt:lpstr>SUPPORT COSTS</vt:lpstr>
      <vt:lpstr>FUNDING SOURCES</vt:lpstr>
      <vt:lpstr>Actuals</vt:lpstr>
      <vt:lpstr>Settings</vt:lpstr>
      <vt:lpstr>'PROJECT ID|INSTRUCTIONS'!OLE_LINK2</vt:lpstr>
      <vt:lpstr>' OBJECTIVES'!Print_Area</vt:lpstr>
      <vt:lpstr>'PROJECT ID|INSTRUCTIONS'!Print_Area</vt:lpstr>
      <vt:lpstr>' OBJECTIVES'!Print_Titles</vt:lpstr>
      <vt:lpstr>'CAPITAL DEV. COSTS-THIS REQUEST'!Print_Titles</vt:lpstr>
      <vt:lpstr>'FINANCIAL BENEFITS'!Print_Titles</vt:lpstr>
      <vt:lpstr>'SUPPORT COSTS'!Print_Titles</vt:lpstr>
      <vt:lpstr>'TOTAL DEVELOPMENT COSTS'!Print_Titles</vt:lpstr>
    </vt:vector>
  </TitlesOfParts>
  <Company>ITMA,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Lazarus</dc:creator>
  <cp:lastModifiedBy>David Johnson</cp:lastModifiedBy>
  <cp:lastPrinted>2013-08-08T20:24:23Z</cp:lastPrinted>
  <dcterms:created xsi:type="dcterms:W3CDTF">2009-11-16T15:45:40Z</dcterms:created>
  <dcterms:modified xsi:type="dcterms:W3CDTF">2013-08-13T14:13:59Z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0x010100C6A9892B157AF44FBC24DBA951C0C009</vt:lpwstr>
  </property>
</Properties>
</file>