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757" firstSheet="2"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L9" i="5"/>
  <c r="L10"/>
  <c r="L11"/>
  <c r="L12"/>
  <c r="L13"/>
  <c r="L14"/>
  <c r="L15"/>
  <c r="L16"/>
  <c r="L17"/>
  <c r="L18"/>
  <c r="K9"/>
  <c r="K10"/>
  <c r="K11"/>
  <c r="K12"/>
  <c r="K13"/>
  <c r="K14"/>
  <c r="K15"/>
  <c r="K16"/>
  <c r="K17"/>
  <c r="K18"/>
  <c r="K8"/>
  <c r="J9"/>
  <c r="J10"/>
  <c r="J11"/>
  <c r="J12"/>
  <c r="J13"/>
  <c r="J14"/>
  <c r="J15"/>
  <c r="J16"/>
  <c r="J17"/>
  <c r="J18"/>
  <c r="J8"/>
  <c r="I11"/>
  <c r="H11"/>
  <c r="G11"/>
  <c r="E11"/>
  <c r="F11"/>
  <c r="J19" l="1"/>
  <c r="F12" i="2"/>
  <c r="F15" i="6" l="1"/>
  <c r="F11"/>
  <c r="F8"/>
  <c r="E8" l="1"/>
  <c r="H8"/>
  <c r="I8"/>
  <c r="J11" l="1"/>
  <c r="I15"/>
  <c r="I11"/>
  <c r="H15"/>
  <c r="H11"/>
  <c r="E17"/>
  <c r="E12"/>
  <c r="G23" i="2"/>
  <c r="G19"/>
  <c r="G16"/>
  <c r="F23"/>
  <c r="F19"/>
  <c r="F16"/>
  <c r="K21" i="1" l="1"/>
  <c r="D22" i="2" l="1"/>
  <c r="D15"/>
  <c r="D27" s="1"/>
  <c r="E15"/>
  <c r="F15"/>
  <c r="O12"/>
  <c r="O14"/>
  <c r="O13"/>
  <c r="O16"/>
  <c r="O17"/>
  <c r="O18"/>
  <c r="O19"/>
  <c r="O20"/>
  <c r="O21"/>
  <c r="O23"/>
  <c r="O25"/>
  <c r="O26" s="1"/>
  <c r="M15"/>
  <c r="M27" s="1"/>
  <c r="M22"/>
  <c r="M26"/>
  <c r="K11"/>
  <c r="J11"/>
  <c r="I11"/>
  <c r="H11"/>
  <c r="D36" i="10"/>
  <c r="K10" i="2"/>
  <c r="J10"/>
  <c r="I10"/>
  <c r="H10"/>
  <c r="G10"/>
  <c r="F10"/>
  <c r="H15"/>
  <c r="H27" s="1"/>
  <c r="J26"/>
  <c r="I26"/>
  <c r="H26"/>
  <c r="J22"/>
  <c r="I22"/>
  <c r="H22"/>
  <c r="J15"/>
  <c r="J27" s="1"/>
  <c r="I15"/>
  <c r="I27" s="1"/>
  <c r="D66" i="10"/>
  <c r="C3" i="5"/>
  <c r="C2"/>
  <c r="D4" i="2"/>
  <c r="D3"/>
  <c r="D2"/>
  <c r="C2" i="10"/>
  <c r="C4"/>
  <c r="C3"/>
  <c r="D4" i="6"/>
  <c r="D3"/>
  <c r="D2"/>
  <c r="D2" i="1"/>
  <c r="D4"/>
  <c r="D3"/>
  <c r="C2" i="4"/>
  <c r="C3"/>
  <c r="A37" i="10"/>
  <c r="D7" i="5"/>
  <c r="E7"/>
  <c r="F7"/>
  <c r="G7"/>
  <c r="H7"/>
  <c r="I7"/>
  <c r="J7"/>
  <c r="K7"/>
  <c r="L8"/>
  <c r="D14" i="6"/>
  <c r="E14"/>
  <c r="D18"/>
  <c r="E18"/>
  <c r="F14"/>
  <c r="F18"/>
  <c r="G14"/>
  <c r="G18"/>
  <c r="H14"/>
  <c r="H18"/>
  <c r="I14"/>
  <c r="I18"/>
  <c r="J14"/>
  <c r="J18"/>
  <c r="G15" i="2"/>
  <c r="K15"/>
  <c r="E22"/>
  <c r="F22"/>
  <c r="G22"/>
  <c r="K22"/>
  <c r="D26"/>
  <c r="E26"/>
  <c r="F26"/>
  <c r="G26"/>
  <c r="K26"/>
  <c r="A20" i="10"/>
  <c r="A9"/>
  <c r="E7" i="6"/>
  <c r="F7"/>
  <c r="G7"/>
  <c r="H7"/>
  <c r="I7"/>
  <c r="J7"/>
  <c r="K8"/>
  <c r="K9"/>
  <c r="K10"/>
  <c r="K11"/>
  <c r="K12"/>
  <c r="K13"/>
  <c r="K15"/>
  <c r="K17"/>
  <c r="E7" i="1"/>
  <c r="F7"/>
  <c r="G7"/>
  <c r="H7"/>
  <c r="I7"/>
  <c r="J7"/>
  <c r="K8"/>
  <c r="K9"/>
  <c r="K10"/>
  <c r="D11"/>
  <c r="E11"/>
  <c r="E18"/>
  <c r="F11"/>
  <c r="G11"/>
  <c r="H11"/>
  <c r="I11"/>
  <c r="J11"/>
  <c r="J18"/>
  <c r="K12"/>
  <c r="K13"/>
  <c r="K14"/>
  <c r="K15"/>
  <c r="K16"/>
  <c r="K17"/>
  <c r="D18"/>
  <c r="F18"/>
  <c r="G18"/>
  <c r="H18"/>
  <c r="I18"/>
  <c r="K19"/>
  <c r="D22"/>
  <c r="E22"/>
  <c r="F22"/>
  <c r="G22"/>
  <c r="H22"/>
  <c r="I22"/>
  <c r="J22"/>
  <c r="D27" i="4"/>
  <c r="F27"/>
  <c r="D19" i="5"/>
  <c r="E23" i="1" l="1"/>
  <c r="K11"/>
  <c r="K27" i="2"/>
  <c r="G27"/>
  <c r="F27"/>
  <c r="E27"/>
  <c r="J19" i="6"/>
  <c r="I19"/>
  <c r="G19"/>
  <c r="F19"/>
  <c r="E19"/>
  <c r="K18" i="1"/>
  <c r="K22"/>
  <c r="H19" i="6"/>
  <c r="G19" i="5" s="1"/>
  <c r="D19" i="6"/>
  <c r="C13" i="5" s="1"/>
  <c r="C19" s="1"/>
  <c r="O22" i="2"/>
  <c r="O15"/>
  <c r="O27" s="1"/>
  <c r="I19" i="5"/>
  <c r="H19"/>
  <c r="K14" i="6"/>
  <c r="K18"/>
  <c r="J23" i="1"/>
  <c r="I21" i="5" s="1"/>
  <c r="H23" i="1"/>
  <c r="G21" i="5" s="1"/>
  <c r="F23" i="1"/>
  <c r="E21" i="5" s="1"/>
  <c r="D21"/>
  <c r="D23" s="1"/>
  <c r="I23" i="1"/>
  <c r="H21" i="5" s="1"/>
  <c r="G23" i="1"/>
  <c r="D23"/>
  <c r="C21" i="5" s="1"/>
  <c r="K19" i="6" l="1"/>
  <c r="K23" i="1"/>
  <c r="G23" i="5"/>
  <c r="I23"/>
  <c r="H23"/>
  <c r="F21"/>
  <c r="E19"/>
  <c r="E23" s="1"/>
  <c r="L19" l="1"/>
  <c r="F19"/>
  <c r="F23" s="1"/>
  <c r="C25" s="1"/>
  <c r="K19"/>
</calcChain>
</file>

<file path=xl/sharedStrings.xml><?xml version="1.0" encoding="utf-8"?>
<sst xmlns="http://schemas.openxmlformats.org/spreadsheetml/2006/main" count="243" uniqueCount="121">
  <si>
    <t>Total</t>
  </si>
  <si>
    <t>Starts in What FY?</t>
  </si>
  <si>
    <t>Annual Amount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</si>
  <si>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</si>
  <si>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</si>
  <si>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</si>
  <si>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</si>
  <si>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</si>
  <si>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</si>
  <si>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</si>
  <si>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</si>
  <si>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</si>
  <si>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</si>
  <si>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</si>
  <si>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</si>
  <si>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</si>
  <si>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</si>
  <si>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</si>
  <si>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</si>
  <si>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</si>
  <si>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</si>
  <si>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</si>
  <si>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</si>
  <si>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</si>
  <si>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</si>
  <si>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</si>
  <si>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</si>
  <si>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</si>
  <si>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</si>
  <si>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</si>
  <si>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</si>
  <si>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</si>
  <si>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</si>
  <si>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</si>
  <si>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</si>
  <si>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</si>
  <si>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</si>
  <si>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</si>
  <si>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</si>
  <si>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</si>
  <si>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</si>
  <si>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</si>
  <si>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</si>
  <si>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</si>
  <si>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</si>
  <si>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</si>
  <si>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</si>
  <si>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</si>
  <si>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</si>
  <si>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</si>
  <si>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</si>
  <si>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</si>
  <si>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</si>
  <si>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</si>
  <si>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</si>
  <si>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</si>
  <si>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</si>
  <si>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</si>
  <si>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</si>
  <si>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</si>
  <si>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</si>
  <si>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</si>
  <si>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</si>
  <si>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</si>
  <si>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</si>
  <si>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</si>
  <si>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</si>
  <si>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</si>
  <si>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</si>
  <si>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</si>
  <si>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</si>
  <si>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</si>
  <si>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</si>
  <si>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</si>
  <si>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</si>
  <si>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</si>
  <si>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</si>
  <si>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</si>
  <si>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</si>
  <si>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</si>
  <si>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</si>
  <si>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</si>
  <si>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</si>
  <si>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</si>
  <si>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</si>
  <si>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</si>
  <si>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</si>
  <si>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</si>
  <si>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</si>
  <si>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</si>
  <si>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</si>
  <si>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</si>
  <si>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</si>
  <si>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</si>
  <si>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</si>
  <si>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</si>
  <si>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</si>
  <si>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</si>
  <si>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</si>
  <si>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</si>
  <si>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</si>
  <si>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</si>
  <si>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</si>
  <si>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</si>
  <si>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</si>
  <si>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</si>
  <si>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DDS Home and Community Based Management System</t>
  </si>
  <si>
    <t>9/4/2013</t>
  </si>
  <si>
    <t>Mary Fuller</t>
  </si>
  <si>
    <t>860-418-6163</t>
  </si>
  <si>
    <t>Mary.Fuller @ct.gov</t>
  </si>
  <si>
    <t>Salaries &amp; Wages - Full Time</t>
  </si>
  <si>
    <t>Prior Fiscal Years Actual</t>
  </si>
  <si>
    <t>2014</t>
  </si>
  <si>
    <t>One time benefit of enhanced revenue</t>
  </si>
  <si>
    <t>2016</t>
  </si>
  <si>
    <t>Monetary Value of Agency Wide Productivity Savings</t>
  </si>
  <si>
    <t>2015</t>
  </si>
  <si>
    <t>Transition Costs 2016</t>
  </si>
  <si>
    <t>Transition Costs 2017</t>
  </si>
  <si>
    <t>Transition Costs 2018</t>
  </si>
</sst>
</file>

<file path=xl/styles.xml><?xml version="1.0" encoding="utf-8"?>
<styleSheet xmlns="http://schemas.openxmlformats.org/spreadsheetml/2006/main">
  <numFmts count="2">
    <numFmt numFmtId="164" formatCode="&quot;$&quot;#,##0"/>
    <numFmt numFmtId="165" formatCode="[$-409]mmmm\ d\,\ yyyy;@"/>
  </numFmts>
  <fonts count="45">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7"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8"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69"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7"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69"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1" xfId="0" applyFont="1" applyFill="1" applyBorder="1" applyAlignment="1" applyProtection="1">
      <alignment vertical="top"/>
    </xf>
    <xf numFmtId="0" fontId="7" fillId="26" borderId="72" xfId="0" applyFont="1" applyFill="1" applyBorder="1" applyAlignment="1" applyProtection="1">
      <alignment horizontal="left"/>
    </xf>
    <xf numFmtId="0" fontId="7" fillId="26" borderId="73" xfId="0" applyFont="1" applyFill="1" applyBorder="1" applyAlignment="1" applyProtection="1">
      <alignment horizontal="center" wrapText="1"/>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6"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68"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79"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0"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1" xfId="38" applyFont="1" applyFill="1" applyBorder="1" applyAlignment="1" applyProtection="1">
      <alignment horizontal="center" vertical="center"/>
    </xf>
    <xf numFmtId="0" fontId="37" fillId="26" borderId="82" xfId="0" applyFont="1" applyFill="1" applyBorder="1" applyAlignment="1" applyProtection="1">
      <protection locked="0"/>
    </xf>
    <xf numFmtId="0" fontId="37" fillId="26" borderId="13" xfId="0" applyFont="1" applyFill="1" applyBorder="1" applyAlignment="1" applyProtection="1">
      <protection locked="0"/>
    </xf>
    <xf numFmtId="0" fontId="37" fillId="26" borderId="83" xfId="0" applyFont="1" applyFill="1" applyBorder="1" applyAlignment="1" applyProtection="1">
      <protection locked="0"/>
    </xf>
    <xf numFmtId="0" fontId="37" fillId="26" borderId="71" xfId="0" applyFont="1" applyFill="1" applyBorder="1" applyAlignment="1" applyProtection="1">
      <protection locked="0"/>
    </xf>
    <xf numFmtId="0" fontId="37" fillId="26" borderId="83" xfId="0" applyFont="1" applyFill="1" applyBorder="1" applyProtection="1">
      <protection locked="0"/>
    </xf>
    <xf numFmtId="0" fontId="44" fillId="0" borderId="0" xfId="0" applyFont="1" applyBorder="1" applyProtection="1"/>
    <xf numFmtId="0" fontId="37" fillId="26" borderId="71" xfId="0" applyFont="1" applyFill="1" applyBorder="1" applyProtection="1">
      <protection locked="0"/>
    </xf>
    <xf numFmtId="0" fontId="10" fillId="0" borderId="76" xfId="34" applyFill="1" applyBorder="1" applyAlignment="1" applyProtection="1">
      <alignment horizontal="left" vertical="center" wrapText="1"/>
      <protection locked="0"/>
    </xf>
    <xf numFmtId="3" fontId="5" fillId="25" borderId="84" xfId="0" applyNumberFormat="1" applyFont="1" applyFill="1" applyBorder="1" applyAlignment="1" applyProtection="1">
      <alignment horizontal="right" vertical="center" indent="1"/>
    </xf>
    <xf numFmtId="3" fontId="5" fillId="25" borderId="130"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14" fontId="9" fillId="0" borderId="0" xfId="0" applyNumberFormat="1" applyFont="1" applyBorder="1" applyAlignment="1" applyProtection="1">
      <alignment vertical="center" wrapText="1"/>
    </xf>
    <xf numFmtId="14" fontId="8" fillId="0" borderId="0" xfId="0" applyNumberFormat="1" applyFont="1" applyProtection="1"/>
    <xf numFmtId="49" fontId="5" fillId="24" borderId="131" xfId="0" applyNumberFormat="1" applyFont="1" applyFill="1" applyBorder="1" applyAlignment="1" applyProtection="1">
      <alignment horizontal="center" vertical="center" wrapText="1"/>
      <protection locked="0"/>
    </xf>
    <xf numFmtId="0" fontId="4" fillId="0" borderId="34" xfId="0" applyFont="1" applyBorder="1" applyAlignment="1" applyProtection="1">
      <alignment wrapText="1"/>
    </xf>
    <xf numFmtId="0" fontId="8" fillId="30" borderId="82"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6" xfId="0" applyFont="1" applyFill="1" applyBorder="1" applyAlignment="1" applyProtection="1">
      <alignment horizontal="center"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2"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4" xfId="0" applyFont="1" applyFill="1" applyBorder="1" applyAlignment="1" applyProtection="1">
      <alignment horizontal="center"/>
      <protection locked="0"/>
    </xf>
    <xf numFmtId="0" fontId="7" fillId="26" borderId="89" xfId="0" applyFont="1" applyFill="1" applyBorder="1" applyAlignment="1" applyProtection="1">
      <alignment vertical="center"/>
    </xf>
    <xf numFmtId="0" fontId="7" fillId="26" borderId="90"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33" fillId="26" borderId="83" xfId="0" applyFont="1" applyFill="1" applyBorder="1" applyAlignment="1" applyProtection="1">
      <alignment horizontal="center"/>
    </xf>
    <xf numFmtId="0" fontId="33" fillId="26" borderId="93" xfId="0" applyFont="1" applyFill="1" applyBorder="1" applyAlignment="1" applyProtection="1">
      <alignment horizontal="center"/>
    </xf>
    <xf numFmtId="0" fontId="33" fillId="26" borderId="85"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6" xfId="0" applyFont="1" applyFill="1" applyBorder="1" applyAlignment="1" applyProtection="1">
      <alignment horizontal="center" vertical="center"/>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3" xfId="0" applyFont="1" applyFill="1" applyBorder="1" applyAlignment="1" applyProtection="1">
      <alignment horizontal="left" wrapText="1"/>
      <protection locked="0"/>
    </xf>
    <xf numFmtId="0" fontId="8" fillId="30" borderId="93" xfId="0" applyFont="1" applyFill="1" applyBorder="1" applyAlignment="1" applyProtection="1">
      <alignment horizontal="left" wrapText="1"/>
      <protection locked="0"/>
    </xf>
    <xf numFmtId="0" fontId="8" fillId="30" borderId="85" xfId="0" applyFont="1" applyFill="1" applyBorder="1" applyAlignment="1" applyProtection="1">
      <alignment horizontal="left" wrapText="1"/>
      <protection locked="0"/>
    </xf>
    <xf numFmtId="0" fontId="9" fillId="30" borderId="83" xfId="0" applyFont="1" applyFill="1" applyBorder="1" applyAlignment="1" applyProtection="1">
      <alignment horizontal="left" wrapText="1"/>
      <protection locked="0"/>
    </xf>
    <xf numFmtId="0" fontId="9" fillId="30" borderId="85" xfId="0" applyFont="1" applyFill="1" applyBorder="1" applyAlignment="1" applyProtection="1">
      <alignment horizontal="left" wrapText="1"/>
      <protection locked="0"/>
    </xf>
    <xf numFmtId="0" fontId="5" fillId="25" borderId="95" xfId="0" applyFont="1" applyFill="1" applyBorder="1" applyAlignment="1" applyProtection="1">
      <alignment vertical="center"/>
    </xf>
    <xf numFmtId="0" fontId="5" fillId="25" borderId="96" xfId="0" applyFont="1" applyFill="1" applyBorder="1" applyAlignment="1" applyProtection="1">
      <alignment vertic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7" fillId="26" borderId="97" xfId="0" applyFont="1" applyFill="1" applyBorder="1" applyAlignment="1" applyProtection="1">
      <alignment vertical="center"/>
    </xf>
    <xf numFmtId="0" fontId="7" fillId="26"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9" fillId="25" borderId="104" xfId="0" applyNumberFormat="1" applyFont="1" applyFill="1" applyBorder="1" applyAlignment="1" applyProtection="1">
      <alignment vertical="center" wrapText="1"/>
    </xf>
    <xf numFmtId="0" fontId="9" fillId="25" borderId="105"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7" xfId="0" applyNumberFormat="1" applyFont="1" applyFill="1" applyBorder="1" applyAlignment="1" applyProtection="1">
      <alignment horizontal="left" vertical="center" wrapText="1"/>
    </xf>
    <xf numFmtId="165" fontId="9" fillId="25" borderId="108"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09" xfId="0" applyFont="1" applyFill="1" applyBorder="1" applyAlignment="1" applyProtection="1">
      <alignment vertical="center"/>
    </xf>
    <xf numFmtId="0" fontId="33" fillId="26" borderId="97" xfId="0" applyFont="1" applyFill="1" applyBorder="1" applyAlignment="1" applyProtection="1">
      <alignment horizont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0" xfId="0" applyBorder="1" applyAlignment="1" applyProtection="1">
      <alignment horizontal="center" vertical="center" textRotation="90" wrapText="1"/>
    </xf>
    <xf numFmtId="0" fontId="9" fillId="25" borderId="110" xfId="0" applyFont="1" applyFill="1" applyBorder="1" applyAlignment="1" applyProtection="1">
      <alignment horizontal="center" vertical="center" textRotation="90" wrapText="1"/>
    </xf>
    <xf numFmtId="0" fontId="7" fillId="26" borderId="111" xfId="0" applyFont="1" applyFill="1" applyBorder="1" applyAlignment="1" applyProtection="1">
      <alignment vertical="center"/>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0" fillId="25" borderId="105"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6"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8"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19" xfId="0" applyFont="1" applyFill="1" applyBorder="1" applyAlignment="1" applyProtection="1">
      <alignment horizontal="center"/>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40" fillId="29" borderId="71"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126" xfId="38" applyFont="1" applyFill="1" applyBorder="1" applyAlignment="1" applyProtection="1">
      <alignment horizontal="center" vertical="center"/>
    </xf>
    <xf numFmtId="0" fontId="40" fillId="29" borderId="83" xfId="38" applyFont="1" applyFill="1" applyBorder="1" applyAlignment="1" applyProtection="1">
      <alignment horizontal="center" vertical="center"/>
    </xf>
    <xf numFmtId="0" fontId="40" fillId="29" borderId="93" xfId="38" applyFont="1" applyFill="1" applyBorder="1" applyAlignment="1" applyProtection="1">
      <alignment horizontal="center" vertical="center"/>
    </xf>
    <xf numFmtId="0" fontId="40" fillId="29" borderId="85"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09" xfId="38" applyNumberFormat="1" applyFont="1" applyFill="1" applyBorder="1" applyAlignment="1" applyProtection="1">
      <alignment horizontal="center"/>
    </xf>
    <xf numFmtId="0" fontId="9" fillId="25" borderId="105"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6"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8"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7" xfId="0" applyFont="1" applyFill="1" applyBorder="1" applyAlignment="1" applyProtection="1">
      <alignment horizontal="left" vertical="center"/>
    </xf>
    <xf numFmtId="0" fontId="7" fillId="26" borderId="98" xfId="0" applyFont="1" applyFill="1" applyBorder="1" applyAlignment="1" applyProtection="1">
      <alignment horizontal="left" vertical="center"/>
    </xf>
    <xf numFmtId="0" fontId="7" fillId="26" borderId="100" xfId="0" applyFont="1" applyFill="1" applyBorder="1" applyAlignment="1" applyProtection="1">
      <alignment horizontal="left" vertical="center"/>
    </xf>
    <xf numFmtId="0" fontId="7" fillId="26" borderId="115" xfId="0" applyFont="1" applyFill="1" applyBorder="1" applyAlignment="1" applyProtection="1">
      <alignment horizontal="left" vertical="center"/>
    </xf>
    <xf numFmtId="0" fontId="7" fillId="26" borderId="102" xfId="0" applyFont="1" applyFill="1" applyBorder="1" applyAlignment="1" applyProtection="1">
      <alignment horizontal="left" vertical="center"/>
    </xf>
    <xf numFmtId="0" fontId="7" fillId="26" borderId="122" xfId="0" applyFont="1" applyFill="1" applyBorder="1" applyAlignment="1" applyProtection="1">
      <alignment horizontal="left" vertical="center"/>
    </xf>
    <xf numFmtId="0" fontId="7" fillId="26" borderId="98" xfId="0" applyFont="1" applyFill="1" applyBorder="1" applyAlignment="1" applyProtection="1">
      <alignment vertical="center"/>
    </xf>
    <xf numFmtId="0" fontId="7" fillId="26" borderId="122" xfId="0" applyFont="1" applyFill="1" applyBorder="1" applyAlignment="1" applyProtection="1">
      <alignment vertical="center"/>
    </xf>
    <xf numFmtId="0" fontId="33" fillId="26" borderId="97" xfId="0" applyFont="1" applyFill="1" applyBorder="1" applyAlignment="1" applyProtection="1">
      <alignment horizontal="center" wrapText="1"/>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5"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6"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14" fontId="7" fillId="24" borderId="0" xfId="0" applyNumberFormat="1" applyFont="1" applyFill="1" applyBorder="1" applyAlignment="1" applyProtection="1">
      <alignment vertical="center" wrapText="1"/>
    </xf>
    <xf numFmtId="0" fontId="7" fillId="24" borderId="0" xfId="0" applyNumberFormat="1" applyFont="1" applyFill="1" applyBorder="1" applyAlignment="1" applyProtection="1">
      <alignment vertical="center" wrapText="1"/>
    </xf>
    <xf numFmtId="0" fontId="41" fillId="26" borderId="97" xfId="0" applyFont="1" applyFill="1" applyBorder="1" applyAlignment="1" applyProtection="1">
      <alignment horizontal="center"/>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9" fillId="25" borderId="83" xfId="0" applyNumberFormat="1" applyFont="1" applyFill="1" applyBorder="1" applyAlignment="1" applyProtection="1">
      <alignment horizontal="left" vertical="center" wrapText="1"/>
    </xf>
    <xf numFmtId="0" fontId="9" fillId="25" borderId="85" xfId="0" applyNumberFormat="1" applyFont="1" applyFill="1" applyBorder="1" applyAlignment="1" applyProtection="1">
      <alignment horizontal="left" vertical="center" wrapText="1"/>
    </xf>
    <xf numFmtId="0" fontId="9" fillId="25" borderId="83" xfId="0" applyFont="1" applyFill="1" applyBorder="1" applyAlignment="1" applyProtection="1">
      <alignment horizontal="left" vertical="center" wrapText="1"/>
    </xf>
    <xf numFmtId="0" fontId="9" fillId="25" borderId="85" xfId="0" applyFont="1" applyFill="1" applyBorder="1" applyAlignment="1" applyProtection="1">
      <alignment horizontal="left" vertical="center" wrapText="1"/>
    </xf>
    <xf numFmtId="0" fontId="9" fillId="0" borderId="127" xfId="0" applyFont="1" applyBorder="1" applyAlignment="1" applyProtection="1">
      <alignment horizontal="center"/>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3">
    <dxf>
      <fill>
        <patternFill>
          <bgColor indexed="10"/>
        </patternFill>
      </fill>
    </dxf>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showRuler="0" topLeftCell="A28" zoomScaleNormal="100" zoomScaleSheetLayoutView="100" workbookViewId="0">
      <selection activeCell="C8" sqref="C8"/>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13" t="s">
        <v>71</v>
      </c>
      <c r="B2" s="213"/>
      <c r="C2" s="214"/>
    </row>
    <row r="3" spans="1:7" s="156" customFormat="1" ht="16.5" customHeight="1">
      <c r="A3" s="218" t="s">
        <v>24</v>
      </c>
      <c r="B3" s="219"/>
      <c r="C3" s="186"/>
    </row>
    <row r="4" spans="1:7" s="156" customFormat="1" ht="16.5" customHeight="1">
      <c r="A4" s="218" t="s">
        <v>21</v>
      </c>
      <c r="B4" s="219"/>
      <c r="C4" s="187" t="s">
        <v>106</v>
      </c>
    </row>
    <row r="5" spans="1:7" s="156" customFormat="1" ht="16.5" customHeight="1">
      <c r="A5" s="218" t="s">
        <v>25</v>
      </c>
      <c r="B5" s="219"/>
      <c r="C5" s="48">
        <v>41521</v>
      </c>
    </row>
    <row r="6" spans="1:7" s="156" customFormat="1" ht="16.5" customHeight="1">
      <c r="A6" s="218" t="s">
        <v>26</v>
      </c>
      <c r="B6" s="219"/>
      <c r="C6" s="187" t="s">
        <v>108</v>
      </c>
      <c r="E6" s="234" t="s">
        <v>78</v>
      </c>
      <c r="F6" s="234"/>
      <c r="G6" s="234"/>
    </row>
    <row r="7" spans="1:7" s="156" customFormat="1" ht="16.5" customHeight="1">
      <c r="A7" s="218" t="s">
        <v>22</v>
      </c>
      <c r="B7" s="219"/>
      <c r="C7" s="187" t="s">
        <v>109</v>
      </c>
      <c r="E7" s="234"/>
      <c r="F7" s="234"/>
      <c r="G7" s="234"/>
    </row>
    <row r="8" spans="1:7" s="157" customFormat="1" ht="16.5" customHeight="1">
      <c r="A8" s="221" t="s">
        <v>23</v>
      </c>
      <c r="B8" s="222"/>
      <c r="C8" s="198" t="s">
        <v>110</v>
      </c>
      <c r="E8" s="234"/>
      <c r="F8" s="234"/>
      <c r="G8" s="234"/>
    </row>
    <row r="9" spans="1:7" ht="15.75" customHeight="1">
      <c r="A9" s="223" t="s">
        <v>72</v>
      </c>
      <c r="B9" s="224"/>
      <c r="C9" s="225"/>
    </row>
    <row r="10" spans="1:7" ht="26.25" customHeight="1">
      <c r="A10" s="235" t="s">
        <v>102</v>
      </c>
      <c r="B10" s="236"/>
      <c r="C10" s="237"/>
    </row>
    <row r="11" spans="1:7" ht="16.5" customHeight="1">
      <c r="A11" s="197">
        <v>1</v>
      </c>
      <c r="B11" s="220" t="s">
        <v>66</v>
      </c>
      <c r="C11" s="220"/>
      <c r="D11" s="196"/>
      <c r="E11" s="196"/>
    </row>
    <row r="12" spans="1:7" ht="16.5" customHeight="1">
      <c r="A12" s="195">
        <v>2</v>
      </c>
      <c r="B12" s="220" t="s">
        <v>29</v>
      </c>
      <c r="C12" s="220"/>
      <c r="D12" s="196"/>
      <c r="E12" s="196"/>
    </row>
    <row r="13" spans="1:7" ht="16.5" customHeight="1">
      <c r="A13" s="195">
        <v>3</v>
      </c>
      <c r="B13" s="220" t="s">
        <v>30</v>
      </c>
      <c r="C13" s="220"/>
      <c r="D13" s="196"/>
      <c r="E13" s="196"/>
    </row>
    <row r="14" spans="1:7" ht="16.5" customHeight="1">
      <c r="A14" s="195">
        <v>4</v>
      </c>
      <c r="B14" s="220" t="s">
        <v>64</v>
      </c>
      <c r="C14" s="220"/>
      <c r="D14" s="196"/>
      <c r="E14" s="196"/>
    </row>
    <row r="15" spans="1:7" ht="16.5" customHeight="1">
      <c r="A15" s="195">
        <v>6</v>
      </c>
      <c r="B15" s="220" t="s">
        <v>65</v>
      </c>
      <c r="C15" s="220"/>
      <c r="D15" s="196"/>
      <c r="E15" s="196"/>
    </row>
    <row r="16" spans="1:7" ht="18" customHeight="1">
      <c r="A16" s="195">
        <v>7</v>
      </c>
      <c r="B16" s="220" t="s">
        <v>31</v>
      </c>
      <c r="C16" s="220"/>
      <c r="D16" s="196"/>
      <c r="E16" s="196"/>
    </row>
    <row r="17" spans="1:3" ht="15.75" customHeight="1">
      <c r="A17" s="215" t="s">
        <v>44</v>
      </c>
      <c r="B17" s="216"/>
      <c r="C17" s="217"/>
    </row>
    <row r="18" spans="1:3" ht="14.25" customHeight="1">
      <c r="A18" s="192">
        <v>3</v>
      </c>
      <c r="B18" s="238" t="s">
        <v>82</v>
      </c>
      <c r="C18" s="239"/>
    </row>
    <row r="19" spans="1:3" ht="14.25" customHeight="1">
      <c r="A19" s="208" t="s">
        <v>19</v>
      </c>
      <c r="B19" s="209"/>
      <c r="C19" s="210"/>
    </row>
    <row r="20" spans="1:3" ht="12.75">
      <c r="A20" s="191">
        <v>1</v>
      </c>
      <c r="B20" s="206" t="s">
        <v>32</v>
      </c>
      <c r="C20" s="206"/>
    </row>
    <row r="21" spans="1:3" ht="93" customHeight="1">
      <c r="A21" s="192">
        <v>2</v>
      </c>
      <c r="B21" s="207" t="s">
        <v>45</v>
      </c>
      <c r="C21" s="207"/>
    </row>
    <row r="22" spans="1:3" ht="12.75">
      <c r="A22" s="192">
        <v>3</v>
      </c>
      <c r="B22" s="207" t="s">
        <v>99</v>
      </c>
      <c r="C22" s="207"/>
    </row>
    <row r="23" spans="1:3" ht="12.75">
      <c r="A23" s="192">
        <v>4</v>
      </c>
      <c r="B23" s="207" t="s">
        <v>100</v>
      </c>
      <c r="C23" s="207"/>
    </row>
    <row r="24" spans="1:3" ht="15.75" customHeight="1">
      <c r="A24" s="230" t="s">
        <v>43</v>
      </c>
      <c r="B24" s="230"/>
      <c r="C24" s="230"/>
    </row>
    <row r="25" spans="1:3" ht="12.75" customHeight="1">
      <c r="A25" s="191">
        <v>1</v>
      </c>
      <c r="B25" s="212" t="s">
        <v>33</v>
      </c>
      <c r="C25" s="212"/>
    </row>
    <row r="26" spans="1:3" ht="12.75">
      <c r="A26" s="192">
        <v>2</v>
      </c>
      <c r="B26" s="211" t="s">
        <v>34</v>
      </c>
      <c r="C26" s="211"/>
    </row>
    <row r="27" spans="1:3" ht="12.75" customHeight="1">
      <c r="A27" s="192">
        <v>3</v>
      </c>
      <c r="B27" s="207" t="s">
        <v>99</v>
      </c>
      <c r="C27" s="207"/>
    </row>
    <row r="28" spans="1:3" ht="13.5" customHeight="1">
      <c r="A28" s="227" t="s">
        <v>48</v>
      </c>
      <c r="B28" s="228"/>
      <c r="C28" s="229"/>
    </row>
    <row r="29" spans="1:3" ht="12.75">
      <c r="A29" s="191">
        <v>1</v>
      </c>
      <c r="B29" s="212" t="s">
        <v>33</v>
      </c>
      <c r="C29" s="212"/>
    </row>
    <row r="30" spans="1:3" ht="12.75">
      <c r="A30" s="192">
        <v>2</v>
      </c>
      <c r="B30" s="211" t="s">
        <v>34</v>
      </c>
      <c r="C30" s="211"/>
    </row>
    <row r="31" spans="1:3" ht="12.75" customHeight="1">
      <c r="A31" s="192">
        <v>3</v>
      </c>
      <c r="B31" s="207" t="s">
        <v>99</v>
      </c>
      <c r="C31" s="207"/>
    </row>
    <row r="32" spans="1:3" ht="13.5" customHeight="1">
      <c r="A32" s="227" t="s">
        <v>52</v>
      </c>
      <c r="B32" s="228"/>
      <c r="C32" s="229"/>
    </row>
    <row r="33" spans="1:3" ht="64.5" customHeight="1">
      <c r="A33" s="191">
        <v>1</v>
      </c>
      <c r="B33" s="231" t="s">
        <v>79</v>
      </c>
      <c r="C33" s="232"/>
    </row>
    <row r="34" spans="1:3" ht="117.75" customHeight="1">
      <c r="A34" s="192">
        <v>2</v>
      </c>
      <c r="B34" s="231" t="s">
        <v>101</v>
      </c>
      <c r="C34" s="232"/>
    </row>
    <row r="35" spans="1:3" ht="54.75" customHeight="1">
      <c r="A35" s="192">
        <v>3</v>
      </c>
      <c r="B35" s="231" t="s">
        <v>80</v>
      </c>
      <c r="C35" s="232"/>
    </row>
    <row r="36" spans="1:3" ht="32.25" customHeight="1">
      <c r="A36" s="192">
        <v>4</v>
      </c>
      <c r="B36" s="231" t="s">
        <v>57</v>
      </c>
      <c r="C36" s="232"/>
    </row>
    <row r="37" spans="1:3" ht="15.75" customHeight="1">
      <c r="A37" s="192">
        <v>5</v>
      </c>
      <c r="B37" s="207" t="s">
        <v>67</v>
      </c>
      <c r="C37" s="207"/>
    </row>
    <row r="38" spans="1:3" ht="107.25" customHeight="1">
      <c r="A38" s="192">
        <v>6</v>
      </c>
      <c r="B38" s="233" t="s">
        <v>98</v>
      </c>
      <c r="C38" s="207"/>
    </row>
    <row r="39" spans="1:3" ht="13.5" customHeight="1">
      <c r="A39" s="227" t="s">
        <v>20</v>
      </c>
      <c r="B39" s="228"/>
      <c r="C39" s="229"/>
    </row>
    <row r="40" spans="1:3" ht="12.75" customHeight="1">
      <c r="A40" s="191">
        <v>1</v>
      </c>
      <c r="B40" s="206" t="s">
        <v>35</v>
      </c>
      <c r="C40" s="206"/>
    </row>
    <row r="41" spans="1:3" ht="27.75" customHeight="1">
      <c r="A41" s="192">
        <v>2</v>
      </c>
      <c r="B41" s="207" t="s">
        <v>73</v>
      </c>
      <c r="C41" s="207"/>
    </row>
    <row r="42" spans="1:3" ht="15.75" customHeight="1">
      <c r="A42" s="193">
        <v>3</v>
      </c>
      <c r="B42" s="207" t="s">
        <v>36</v>
      </c>
      <c r="C42" s="207"/>
    </row>
    <row r="43" spans="1:3" ht="43.5" customHeight="1">
      <c r="A43" s="194">
        <v>4</v>
      </c>
      <c r="B43" s="226" t="s">
        <v>77</v>
      </c>
      <c r="C43" s="207"/>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legacyDrawing r:id="rId2"/>
  <legacyDrawingHF r:id="rId3"/>
  <oleObjects>
    <oleObject progId="Visio.Drawing.11" shapeId="10276" r:id="rId4"/>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topLeftCell="A2" zoomScaleNormal="100" workbookViewId="0">
      <selection activeCell="K16" sqref="K16"/>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45" t="s">
        <v>24</v>
      </c>
      <c r="B2" s="246"/>
      <c r="C2" s="251" t="str">
        <f>IF(ISBLANK('PROJECT ID|INSTRUCTIONS'!C3)," ",'PROJECT ID|INSTRUCTIONS'!C3)</f>
        <v xml:space="preserve"> </v>
      </c>
      <c r="D2" s="252"/>
      <c r="E2" s="252"/>
      <c r="F2" s="253"/>
    </row>
    <row r="3" spans="1:6" s="19" customFormat="1" ht="16.5" customHeight="1">
      <c r="A3" s="247" t="s">
        <v>21</v>
      </c>
      <c r="B3" s="248"/>
      <c r="C3" s="254" t="str">
        <f>IF(ISBLANK('PROJECT ID|INSTRUCTIONS'!C4)," ",'PROJECT ID|INSTRUCTIONS'!C4)</f>
        <v>DDS Home and Community Based Management System</v>
      </c>
      <c r="D3" s="255"/>
      <c r="E3" s="255"/>
      <c r="F3" s="256"/>
    </row>
    <row r="4" spans="1:6" s="19" customFormat="1" ht="16.5" customHeight="1">
      <c r="A4" s="249" t="s">
        <v>25</v>
      </c>
      <c r="B4" s="250"/>
      <c r="C4" s="257">
        <v>41521</v>
      </c>
      <c r="D4" s="258"/>
      <c r="E4" s="258"/>
      <c r="F4" s="259"/>
    </row>
    <row r="5" spans="1:6" s="20" customFormat="1" ht="12" customHeight="1">
      <c r="C5" s="203"/>
    </row>
    <row r="6" spans="1:6" s="20" customFormat="1" ht="18.75" customHeight="1">
      <c r="A6" s="242" t="s">
        <v>19</v>
      </c>
      <c r="B6" s="243"/>
      <c r="C6" s="243"/>
      <c r="D6" s="243"/>
      <c r="E6" s="243"/>
      <c r="F6" s="244"/>
    </row>
    <row r="7" spans="1:6" ht="14.25" customHeight="1">
      <c r="A7" s="30"/>
      <c r="B7" s="21"/>
      <c r="C7" s="22"/>
      <c r="D7" s="22"/>
      <c r="E7" s="22" t="s">
        <v>3</v>
      </c>
      <c r="F7" s="31"/>
    </row>
    <row r="8" spans="1:6" ht="16.5" customHeight="1" thickBot="1">
      <c r="A8" s="32"/>
      <c r="B8" s="23"/>
      <c r="C8" s="24" t="s">
        <v>5</v>
      </c>
      <c r="D8" s="24" t="s">
        <v>4</v>
      </c>
      <c r="E8" s="24" t="s">
        <v>1</v>
      </c>
      <c r="F8" s="33" t="s">
        <v>2</v>
      </c>
    </row>
    <row r="9" spans="1:6" ht="18" customHeight="1" thickTop="1">
      <c r="A9" s="34" t="s">
        <v>9</v>
      </c>
      <c r="B9" s="35"/>
      <c r="C9" s="25"/>
      <c r="D9" s="26"/>
      <c r="E9" s="25"/>
      <c r="F9" s="26"/>
    </row>
    <row r="10" spans="1:6" s="27" customFormat="1">
      <c r="A10" s="96"/>
      <c r="B10" s="121" t="s">
        <v>114</v>
      </c>
      <c r="C10" s="13" t="s">
        <v>113</v>
      </c>
      <c r="D10" s="14">
        <v>1356741</v>
      </c>
      <c r="E10" s="12"/>
      <c r="F10" s="15"/>
    </row>
    <row r="11" spans="1:6" s="27" customFormat="1">
      <c r="A11" s="96"/>
      <c r="B11" s="121"/>
      <c r="C11" s="13" t="s">
        <v>117</v>
      </c>
      <c r="D11" s="14">
        <v>1651360</v>
      </c>
      <c r="E11" s="13"/>
      <c r="F11" s="14"/>
    </row>
    <row r="12" spans="1:6" s="27" customFormat="1">
      <c r="A12" s="96"/>
      <c r="B12" s="121"/>
      <c r="C12" s="13"/>
      <c r="D12" s="14">
        <v>624552</v>
      </c>
      <c r="E12" s="13"/>
      <c r="F12" s="14"/>
    </row>
    <row r="13" spans="1:6" s="27" customFormat="1">
      <c r="A13" s="96"/>
      <c r="B13" s="121"/>
      <c r="C13" s="12"/>
      <c r="D13" s="15"/>
      <c r="E13" s="12"/>
      <c r="F13" s="15"/>
    </row>
    <row r="14" spans="1:6" s="27" customFormat="1">
      <c r="A14" s="96"/>
      <c r="B14" s="121"/>
      <c r="C14" s="12"/>
      <c r="D14" s="15"/>
      <c r="E14" s="12"/>
      <c r="F14" s="15"/>
    </row>
    <row r="15" spans="1:6" ht="15" customHeight="1">
      <c r="A15" s="34" t="s">
        <v>10</v>
      </c>
      <c r="B15" s="35"/>
      <c r="C15" s="99"/>
      <c r="D15" s="100"/>
      <c r="E15" s="99"/>
      <c r="F15" s="100"/>
    </row>
    <row r="16" spans="1:6" s="27" customFormat="1">
      <c r="A16" s="96"/>
      <c r="B16" s="121" t="s">
        <v>116</v>
      </c>
      <c r="C16" s="205"/>
      <c r="D16" s="14"/>
      <c r="E16" s="13" t="s">
        <v>115</v>
      </c>
      <c r="F16" s="14">
        <v>16625179</v>
      </c>
    </row>
    <row r="17" spans="1:6" s="27" customFormat="1">
      <c r="A17" s="96"/>
      <c r="B17" s="121"/>
      <c r="C17" s="204"/>
      <c r="D17" s="14"/>
      <c r="E17" s="13"/>
      <c r="F17" s="14"/>
    </row>
    <row r="18" spans="1:6" s="27" customFormat="1">
      <c r="A18" s="96"/>
      <c r="B18" s="121"/>
      <c r="C18" s="13"/>
      <c r="D18" s="14"/>
      <c r="E18" s="13"/>
      <c r="F18" s="14"/>
    </row>
    <row r="19" spans="1:6" s="27" customFormat="1">
      <c r="A19" s="96"/>
      <c r="B19" s="121"/>
      <c r="C19" s="12"/>
      <c r="D19" s="15"/>
      <c r="E19" s="12"/>
      <c r="F19" s="15"/>
    </row>
    <row r="20" spans="1:6" s="27" customFormat="1">
      <c r="A20" s="96"/>
      <c r="B20" s="121"/>
      <c r="C20" s="16"/>
      <c r="D20" s="17"/>
      <c r="E20" s="16"/>
      <c r="F20" s="17"/>
    </row>
    <row r="21" spans="1:6" ht="15" customHeight="1">
      <c r="A21" s="34" t="s">
        <v>11</v>
      </c>
      <c r="B21" s="35"/>
      <c r="C21" s="97"/>
      <c r="D21" s="98"/>
      <c r="E21" s="181"/>
      <c r="F21" s="98"/>
    </row>
    <row r="22" spans="1:6" s="27" customFormat="1">
      <c r="A22" s="36"/>
      <c r="B22" s="122"/>
      <c r="C22" s="13"/>
      <c r="D22" s="14"/>
      <c r="E22" s="13"/>
      <c r="F22" s="14"/>
    </row>
    <row r="23" spans="1:6" s="27" customFormat="1">
      <c r="A23" s="36"/>
      <c r="B23" s="123"/>
      <c r="C23" s="13"/>
      <c r="D23" s="14"/>
      <c r="E23" s="13"/>
      <c r="F23" s="14"/>
    </row>
    <row r="24" spans="1:6" s="27" customFormat="1">
      <c r="A24" s="36"/>
      <c r="B24" s="123"/>
      <c r="C24" s="13"/>
      <c r="D24" s="14"/>
      <c r="E24" s="13"/>
      <c r="F24" s="14"/>
    </row>
    <row r="25" spans="1:6" s="27" customFormat="1">
      <c r="A25" s="36"/>
      <c r="B25" s="122"/>
      <c r="C25" s="12"/>
      <c r="D25" s="15"/>
      <c r="E25" s="12"/>
      <c r="F25" s="15"/>
    </row>
    <row r="26" spans="1:6" s="27" customFormat="1" ht="12.75" thickBot="1">
      <c r="A26" s="36"/>
      <c r="B26" s="124"/>
      <c r="C26" s="16"/>
      <c r="D26" s="17"/>
      <c r="E26" s="16"/>
      <c r="F26" s="17"/>
    </row>
    <row r="27" spans="1:6" ht="18" customHeight="1" thickTop="1" thickBot="1">
      <c r="A27" s="240" t="s">
        <v>0</v>
      </c>
      <c r="B27" s="241"/>
      <c r="C27" s="28"/>
      <c r="D27" s="29">
        <f>SUM(D9:D26)</f>
        <v>3632653</v>
      </c>
      <c r="E27" s="28"/>
      <c r="F27" s="29">
        <f>SUM(F9:F26)</f>
        <v>16625179</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90" zoomScaleNormal="90" workbookViewId="0">
      <selection activeCell="K23" sqref="K23"/>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70" t="s">
        <v>24</v>
      </c>
      <c r="B2" s="271"/>
      <c r="C2" s="272"/>
      <c r="D2" s="251" t="str">
        <f>IF(ISBLANK('PROJECT ID|INSTRUCTIONS'!C3)," ",'PROJECT ID|INSTRUCTIONS'!C3)</f>
        <v xml:space="preserve"> </v>
      </c>
      <c r="E2" s="252"/>
      <c r="F2" s="252"/>
      <c r="G2" s="252"/>
      <c r="H2" s="252"/>
      <c r="I2" s="253"/>
    </row>
    <row r="3" spans="1:11" ht="16.5" customHeight="1">
      <c r="A3" s="273" t="s">
        <v>21</v>
      </c>
      <c r="B3" s="274"/>
      <c r="C3" s="248"/>
      <c r="D3" s="254" t="str">
        <f>IF(ISBLANK('PROJECT ID|INSTRUCTIONS'!C4)," ",'PROJECT ID|INSTRUCTIONS'!C4)</f>
        <v>DDS Home and Community Based Management System</v>
      </c>
      <c r="E3" s="255"/>
      <c r="F3" s="255"/>
      <c r="G3" s="255"/>
      <c r="H3" s="255"/>
      <c r="I3" s="256"/>
    </row>
    <row r="4" spans="1:11" ht="16.5" customHeight="1">
      <c r="A4" s="275" t="s">
        <v>25</v>
      </c>
      <c r="B4" s="276"/>
      <c r="C4" s="277"/>
      <c r="D4" s="257">
        <f>IF(ISBLANK('PROJECT ID|INSTRUCTIONS'!C5)," ",'PROJECT ID|INSTRUCTIONS'!C5)</f>
        <v>41521</v>
      </c>
      <c r="E4" s="258"/>
      <c r="F4" s="258"/>
      <c r="G4" s="258"/>
      <c r="H4" s="258"/>
      <c r="I4" s="259"/>
    </row>
    <row r="5" spans="1:11" s="50" customFormat="1" ht="12" customHeight="1">
      <c r="A5" s="49" t="s">
        <v>46</v>
      </c>
      <c r="B5" s="49"/>
      <c r="C5" s="49" t="s">
        <v>107</v>
      </c>
      <c r="D5" s="49"/>
      <c r="E5" s="49"/>
      <c r="F5" s="49"/>
      <c r="G5" s="49"/>
    </row>
    <row r="6" spans="1:11" s="51" customFormat="1" ht="18" customHeight="1">
      <c r="A6" s="263" t="s">
        <v>53</v>
      </c>
      <c r="B6" s="264"/>
      <c r="C6" s="264"/>
      <c r="D6" s="264"/>
      <c r="E6" s="264"/>
      <c r="F6" s="264"/>
      <c r="G6" s="264"/>
      <c r="H6" s="264"/>
      <c r="I6" s="264"/>
      <c r="J6" s="264"/>
      <c r="K6" s="265"/>
    </row>
    <row r="7" spans="1:11" s="51" customFormat="1" ht="25.5">
      <c r="A7" s="52"/>
      <c r="B7" s="53" t="s">
        <v>13</v>
      </c>
      <c r="C7" s="54" t="s">
        <v>109</v>
      </c>
      <c r="D7" s="55" t="s">
        <v>12</v>
      </c>
      <c r="E7" s="55" t="str">
        <f>CONCATENATE("FY ",Settings!$C$1)</f>
        <v>FY 2014</v>
      </c>
      <c r="F7" s="55" t="str">
        <f>CONCATENATE("FY ",Settings!$C$1+1)</f>
        <v>FY 2015</v>
      </c>
      <c r="G7" s="55" t="str">
        <f>CONCATENATE("FY ",Settings!$C$1+2)</f>
        <v>FY 2016</v>
      </c>
      <c r="H7" s="55" t="str">
        <f>CONCATENATE("FY ",Settings!$C$1+3)</f>
        <v>FY 2017</v>
      </c>
      <c r="I7" s="55" t="str">
        <f>CONCATENATE("FY ",Settings!$C$1+4)</f>
        <v>FY 2018</v>
      </c>
      <c r="J7" s="55" t="str">
        <f>CONCATENATE("Out Years after FY",Settings!$C$1+4)</f>
        <v>Out Years after FY2018</v>
      </c>
      <c r="K7" s="56" t="s">
        <v>0</v>
      </c>
    </row>
    <row r="8" spans="1:11" ht="16.5" customHeight="1">
      <c r="A8" s="266" t="s">
        <v>84</v>
      </c>
      <c r="B8" s="57">
        <v>50110</v>
      </c>
      <c r="C8" s="57" t="s">
        <v>111</v>
      </c>
      <c r="D8" s="3"/>
      <c r="E8" s="3">
        <v>350555</v>
      </c>
      <c r="F8" s="3">
        <v>1274018</v>
      </c>
      <c r="G8" s="3">
        <v>1033485</v>
      </c>
      <c r="H8" s="3">
        <v>967706</v>
      </c>
      <c r="I8" s="3">
        <v>939424</v>
      </c>
      <c r="J8" s="3">
        <v>1200402</v>
      </c>
      <c r="K8" s="173">
        <f>SUM(D8:J8)</f>
        <v>5765590</v>
      </c>
    </row>
    <row r="9" spans="1:11" ht="16.5" customHeight="1">
      <c r="A9" s="267"/>
      <c r="B9" s="57">
        <v>50130</v>
      </c>
      <c r="C9" s="57" t="s">
        <v>86</v>
      </c>
      <c r="D9" s="1"/>
      <c r="E9" s="1">
        <v>208394</v>
      </c>
      <c r="F9" s="1">
        <v>416788</v>
      </c>
      <c r="G9" s="1">
        <v>458467</v>
      </c>
      <c r="H9" s="1">
        <v>550160</v>
      </c>
      <c r="I9" s="1">
        <v>660192</v>
      </c>
      <c r="J9" s="1">
        <v>720210</v>
      </c>
      <c r="K9" s="98">
        <f t="shared" ref="K9:K19" si="0">SUM(D9:J9)</f>
        <v>3014211</v>
      </c>
    </row>
    <row r="10" spans="1:11" ht="16.5" customHeight="1">
      <c r="A10" s="267"/>
      <c r="B10" s="57">
        <v>50170</v>
      </c>
      <c r="C10" s="57" t="s">
        <v>87</v>
      </c>
      <c r="D10" s="2"/>
      <c r="E10" s="2"/>
      <c r="F10" s="2"/>
      <c r="G10" s="2"/>
      <c r="H10" s="2"/>
      <c r="I10" s="2"/>
      <c r="J10" s="2"/>
      <c r="K10" s="180">
        <f t="shared" si="0"/>
        <v>0</v>
      </c>
    </row>
    <row r="11" spans="1:11" ht="16.5" customHeight="1" thickBot="1">
      <c r="A11" s="268"/>
      <c r="B11" s="58" t="s">
        <v>15</v>
      </c>
      <c r="C11" s="58"/>
      <c r="D11" s="59">
        <f>SUM(D8:D10)</f>
        <v>0</v>
      </c>
      <c r="E11" s="59">
        <f t="shared" ref="E11:J11" si="1">SUM(E8:E10)</f>
        <v>558949</v>
      </c>
      <c r="F11" s="59">
        <f t="shared" si="1"/>
        <v>1690806</v>
      </c>
      <c r="G11" s="59">
        <f t="shared" si="1"/>
        <v>1491952</v>
      </c>
      <c r="H11" s="59">
        <f t="shared" si="1"/>
        <v>1517866</v>
      </c>
      <c r="I11" s="59">
        <f t="shared" si="1"/>
        <v>1599616</v>
      </c>
      <c r="J11" s="59">
        <f t="shared" si="1"/>
        <v>1920612</v>
      </c>
      <c r="K11" s="60">
        <f t="shared" si="0"/>
        <v>8779801</v>
      </c>
    </row>
    <row r="12" spans="1:11" ht="16.5" customHeight="1" thickTop="1">
      <c r="A12" s="269" t="s">
        <v>83</v>
      </c>
      <c r="B12" s="57">
        <v>53715</v>
      </c>
      <c r="C12" s="57" t="s">
        <v>88</v>
      </c>
      <c r="D12" s="3">
        <v>0</v>
      </c>
      <c r="E12" s="3">
        <v>1580040</v>
      </c>
      <c r="F12" s="3">
        <v>3174500</v>
      </c>
      <c r="G12" s="3">
        <v>2375500</v>
      </c>
      <c r="H12" s="3">
        <v>868000</v>
      </c>
      <c r="I12" s="3">
        <v>64000</v>
      </c>
      <c r="J12" s="3">
        <v>5000</v>
      </c>
      <c r="K12" s="179">
        <f t="shared" si="0"/>
        <v>8067040</v>
      </c>
    </row>
    <row r="13" spans="1:11" ht="16.5" customHeight="1">
      <c r="A13" s="267"/>
      <c r="B13" s="57">
        <v>53720</v>
      </c>
      <c r="C13" s="57" t="s">
        <v>89</v>
      </c>
      <c r="D13" s="1"/>
      <c r="E13" s="1"/>
      <c r="F13" s="1"/>
      <c r="G13" s="1"/>
      <c r="H13" s="1"/>
      <c r="I13" s="1"/>
      <c r="J13" s="1"/>
      <c r="K13" s="98">
        <f t="shared" si="0"/>
        <v>0</v>
      </c>
    </row>
    <row r="14" spans="1:11" ht="16.5" customHeight="1">
      <c r="A14" s="267"/>
      <c r="B14" s="57">
        <v>53735</v>
      </c>
      <c r="C14" s="57" t="s">
        <v>90</v>
      </c>
      <c r="D14" s="1"/>
      <c r="E14" s="1"/>
      <c r="F14" s="1"/>
      <c r="G14" s="1"/>
      <c r="H14" s="1"/>
      <c r="I14" s="1"/>
      <c r="J14" s="1"/>
      <c r="K14" s="98">
        <f t="shared" si="0"/>
        <v>0</v>
      </c>
    </row>
    <row r="15" spans="1:11" ht="16.5" customHeight="1">
      <c r="A15" s="267"/>
      <c r="B15" s="57">
        <v>53740</v>
      </c>
      <c r="C15" s="57" t="s">
        <v>91</v>
      </c>
      <c r="D15" s="1"/>
      <c r="E15" s="1"/>
      <c r="F15" s="1">
        <v>18000</v>
      </c>
      <c r="G15" s="1">
        <v>36000</v>
      </c>
      <c r="H15" s="1">
        <v>108000</v>
      </c>
      <c r="I15" s="1">
        <v>108000</v>
      </c>
      <c r="J15" s="1">
        <v>108000</v>
      </c>
      <c r="K15" s="98">
        <f t="shared" si="0"/>
        <v>378000</v>
      </c>
    </row>
    <row r="16" spans="1:11" ht="16.5" customHeight="1">
      <c r="A16" s="267"/>
      <c r="B16" s="57">
        <v>53755</v>
      </c>
      <c r="C16" s="57" t="s">
        <v>92</v>
      </c>
      <c r="D16" s="1"/>
      <c r="E16" s="1">
        <v>1894491</v>
      </c>
      <c r="F16" s="1">
        <v>0</v>
      </c>
      <c r="G16" s="1">
        <v>0</v>
      </c>
      <c r="H16" s="1">
        <v>0</v>
      </c>
      <c r="I16" s="1">
        <v>0</v>
      </c>
      <c r="J16" s="1">
        <v>0</v>
      </c>
      <c r="K16" s="98">
        <f t="shared" si="0"/>
        <v>1894491</v>
      </c>
    </row>
    <row r="17" spans="1:11" ht="16.5" customHeight="1">
      <c r="A17" s="267"/>
      <c r="B17" s="57">
        <v>53760</v>
      </c>
      <c r="C17" s="57" t="s">
        <v>93</v>
      </c>
      <c r="D17" s="1"/>
      <c r="E17" s="1"/>
      <c r="F17" s="1"/>
      <c r="G17" s="1"/>
      <c r="H17" s="1"/>
      <c r="I17" s="1"/>
      <c r="J17" s="1"/>
      <c r="K17" s="180">
        <f t="shared" si="0"/>
        <v>0</v>
      </c>
    </row>
    <row r="18" spans="1:11" ht="16.5" customHeight="1" thickBot="1">
      <c r="A18" s="268"/>
      <c r="B18" s="58" t="s">
        <v>15</v>
      </c>
      <c r="C18" s="58"/>
      <c r="D18" s="59">
        <f>SUM(D12:D17)</f>
        <v>0</v>
      </c>
      <c r="E18" s="59">
        <f t="shared" ref="E18:J18" si="2">SUM(E12:E17)</f>
        <v>3474531</v>
      </c>
      <c r="F18" s="59">
        <f t="shared" si="2"/>
        <v>3192500</v>
      </c>
      <c r="G18" s="59">
        <f t="shared" si="2"/>
        <v>2411500</v>
      </c>
      <c r="H18" s="59">
        <f t="shared" si="2"/>
        <v>976000</v>
      </c>
      <c r="I18" s="59">
        <f t="shared" si="2"/>
        <v>172000</v>
      </c>
      <c r="J18" s="59">
        <f t="shared" si="2"/>
        <v>113000</v>
      </c>
      <c r="K18" s="60">
        <f>SUM(D18:J18)</f>
        <v>10339531</v>
      </c>
    </row>
    <row r="19" spans="1:11" ht="16.5" customHeight="1" thickTop="1">
      <c r="A19" s="269" t="s">
        <v>94</v>
      </c>
      <c r="B19" s="57">
        <v>55700</v>
      </c>
      <c r="C19" s="57" t="s">
        <v>95</v>
      </c>
      <c r="D19" s="1"/>
      <c r="E19" s="1">
        <v>0</v>
      </c>
      <c r="F19" s="1">
        <v>245140</v>
      </c>
      <c r="G19" s="1">
        <v>0</v>
      </c>
      <c r="H19" s="1">
        <v>115500</v>
      </c>
      <c r="I19" s="1">
        <v>115500</v>
      </c>
      <c r="J19" s="1">
        <v>0</v>
      </c>
      <c r="K19" s="179">
        <f t="shared" si="0"/>
        <v>476140</v>
      </c>
    </row>
    <row r="20" spans="1:11" ht="16.5" customHeight="1">
      <c r="A20" s="266"/>
      <c r="B20" s="57">
        <v>55710</v>
      </c>
      <c r="C20" s="57" t="s">
        <v>96</v>
      </c>
      <c r="D20" s="1"/>
      <c r="E20" s="1"/>
      <c r="F20" s="1"/>
      <c r="G20" s="1"/>
      <c r="H20" s="1"/>
      <c r="I20" s="1"/>
      <c r="J20" s="1"/>
      <c r="K20" s="199"/>
    </row>
    <row r="21" spans="1:11" ht="48" customHeight="1">
      <c r="A21" s="266"/>
      <c r="B21" s="57">
        <v>55730</v>
      </c>
      <c r="C21" s="57" t="s">
        <v>97</v>
      </c>
      <c r="D21" s="1"/>
      <c r="E21" s="1">
        <v>180000</v>
      </c>
      <c r="F21" s="1"/>
      <c r="G21" s="1"/>
      <c r="H21" s="1"/>
      <c r="I21" s="1"/>
      <c r="J21" s="1"/>
      <c r="K21" s="199">
        <f>E21</f>
        <v>180000</v>
      </c>
    </row>
    <row r="22" spans="1:11" ht="16.5" customHeight="1" thickBot="1">
      <c r="A22" s="268"/>
      <c r="B22" s="58" t="s">
        <v>15</v>
      </c>
      <c r="C22" s="58"/>
      <c r="D22" s="59">
        <f t="shared" ref="D22:J22" si="3">SUM(D19:D21)</f>
        <v>0</v>
      </c>
      <c r="E22" s="59">
        <f t="shared" si="3"/>
        <v>180000</v>
      </c>
      <c r="F22" s="59">
        <f t="shared" si="3"/>
        <v>245140</v>
      </c>
      <c r="G22" s="59">
        <f t="shared" si="3"/>
        <v>0</v>
      </c>
      <c r="H22" s="59">
        <f t="shared" si="3"/>
        <v>115500</v>
      </c>
      <c r="I22" s="59">
        <f t="shared" si="3"/>
        <v>115500</v>
      </c>
      <c r="J22" s="59">
        <f t="shared" si="3"/>
        <v>0</v>
      </c>
      <c r="K22" s="60">
        <f>SUM(D22:J22)</f>
        <v>656140</v>
      </c>
    </row>
    <row r="23" spans="1:11" ht="16.5" customHeight="1" thickTop="1" thickBot="1">
      <c r="A23" s="260" t="s">
        <v>16</v>
      </c>
      <c r="B23" s="261"/>
      <c r="C23" s="262"/>
      <c r="D23" s="29">
        <f t="shared" ref="D23:J23" si="4">D11+D18+D22</f>
        <v>0</v>
      </c>
      <c r="E23" s="29">
        <f>E11+E18+E22</f>
        <v>4213480</v>
      </c>
      <c r="F23" s="29">
        <f t="shared" si="4"/>
        <v>5128446</v>
      </c>
      <c r="G23" s="29">
        <f t="shared" si="4"/>
        <v>3903452</v>
      </c>
      <c r="H23" s="29">
        <f t="shared" si="4"/>
        <v>2609366</v>
      </c>
      <c r="I23" s="29">
        <f t="shared" si="4"/>
        <v>1887116</v>
      </c>
      <c r="J23" s="29">
        <f t="shared" si="4"/>
        <v>2033612</v>
      </c>
      <c r="K23" s="29">
        <f>SUM(D23:J23)</f>
        <v>19775472</v>
      </c>
    </row>
    <row r="24" spans="1:11" ht="13.5" thickTop="1"/>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0"/>
  <sheetViews>
    <sheetView showGridLines="0" zoomScale="90" zoomScaleNormal="90" workbookViewId="0">
      <selection activeCell="E19" sqref="E19"/>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4" customFormat="1" ht="16.5" customHeight="1">
      <c r="A2" s="270" t="s">
        <v>24</v>
      </c>
      <c r="B2" s="271"/>
      <c r="C2" s="271"/>
      <c r="D2" s="252" t="str">
        <f>IF(ISBLANK('PROJECT ID|INSTRUCTIONS'!C3)," ",'PROJECT ID|INSTRUCTIONS'!C3)</f>
        <v xml:space="preserve"> </v>
      </c>
      <c r="E2" s="278"/>
      <c r="F2" s="278"/>
      <c r="G2" s="278"/>
      <c r="H2" s="278"/>
      <c r="I2" s="279"/>
    </row>
    <row r="3" spans="1:11" s="64" customFormat="1" ht="16.5" customHeight="1">
      <c r="A3" s="273" t="s">
        <v>21</v>
      </c>
      <c r="B3" s="274"/>
      <c r="C3" s="274"/>
      <c r="D3" s="255" t="str">
        <f>IF(ISBLANK('PROJECT ID|INSTRUCTIONS'!C4)," ",'PROJECT ID|INSTRUCTIONS'!C4)</f>
        <v>DDS Home and Community Based Management System</v>
      </c>
      <c r="E3" s="280"/>
      <c r="F3" s="280"/>
      <c r="G3" s="280"/>
      <c r="H3" s="280"/>
      <c r="I3" s="281"/>
    </row>
    <row r="4" spans="1:11" s="64" customFormat="1" ht="16.5" customHeight="1">
      <c r="A4" s="275" t="s">
        <v>25</v>
      </c>
      <c r="B4" s="276"/>
      <c r="C4" s="276"/>
      <c r="D4" s="258">
        <f>IF(ISBLANK('PROJECT ID|INSTRUCTIONS'!C5)," ",'PROJECT ID|INSTRUCTIONS'!C5)</f>
        <v>41521</v>
      </c>
      <c r="E4" s="282"/>
      <c r="F4" s="282"/>
      <c r="G4" s="282"/>
      <c r="H4" s="282"/>
      <c r="I4" s="283"/>
    </row>
    <row r="5" spans="1:11" s="64" customFormat="1" ht="12" customHeight="1">
      <c r="A5" s="65"/>
      <c r="B5" s="65"/>
      <c r="C5" s="202">
        <v>41521</v>
      </c>
      <c r="D5" s="65"/>
      <c r="E5" s="66"/>
      <c r="F5" s="66"/>
      <c r="G5" s="66"/>
      <c r="H5" s="66"/>
      <c r="I5" s="66"/>
    </row>
    <row r="6" spans="1:11" ht="18" customHeight="1">
      <c r="A6" s="284" t="s">
        <v>54</v>
      </c>
      <c r="B6" s="285"/>
      <c r="C6" s="285"/>
      <c r="D6" s="285"/>
      <c r="E6" s="285"/>
      <c r="F6" s="285"/>
      <c r="G6" s="285"/>
      <c r="H6" s="285"/>
      <c r="I6" s="285"/>
      <c r="J6" s="285"/>
      <c r="K6" s="286"/>
    </row>
    <row r="7" spans="1:11" ht="26.25" thickBot="1">
      <c r="A7" s="67"/>
      <c r="B7" s="68" t="s">
        <v>13</v>
      </c>
      <c r="C7" s="68" t="s">
        <v>109</v>
      </c>
      <c r="D7" s="69" t="s">
        <v>12</v>
      </c>
      <c r="E7" s="69" t="str">
        <f>CONCATENATE("FY ",Settings!$C$1)</f>
        <v>FY 2014</v>
      </c>
      <c r="F7" s="69" t="str">
        <f>CONCATENATE("FY ",Settings!$C$1+1)</f>
        <v>FY 2015</v>
      </c>
      <c r="G7" s="69" t="str">
        <f>CONCATENATE("FY ",Settings!$C$1+2)</f>
        <v>FY 2016</v>
      </c>
      <c r="H7" s="69" t="str">
        <f>CONCATENATE("FY ",Settings!$C$1+3)</f>
        <v>FY 2017</v>
      </c>
      <c r="I7" s="69" t="str">
        <f>CONCATENATE("FY ",Settings!$C$1+4)</f>
        <v>FY 2018</v>
      </c>
      <c r="J7" s="69" t="str">
        <f>CONCATENATE("Out Years after FY",Settings!$C$1+4)</f>
        <v>Out Years after FY2018</v>
      </c>
      <c r="K7" s="70" t="s">
        <v>0</v>
      </c>
    </row>
    <row r="8" spans="1:11" ht="16.5" customHeight="1" thickTop="1">
      <c r="A8" s="269" t="s">
        <v>83</v>
      </c>
      <c r="B8" s="57">
        <v>53715</v>
      </c>
      <c r="C8" s="57" t="s">
        <v>88</v>
      </c>
      <c r="D8" s="3"/>
      <c r="E8" s="3">
        <f>1580040*0.178</f>
        <v>281247.12</v>
      </c>
      <c r="F8" s="3">
        <f>3174500*0.178</f>
        <v>565061</v>
      </c>
      <c r="G8" s="3">
        <v>805295</v>
      </c>
      <c r="H8" s="3">
        <f>868000*0.5</f>
        <v>434000</v>
      </c>
      <c r="I8" s="3">
        <f>64000*0.5</f>
        <v>32000</v>
      </c>
      <c r="J8" s="40">
        <v>2500</v>
      </c>
      <c r="K8" s="178">
        <f t="shared" ref="K8:K19" si="0">SUM(D8:J8)</f>
        <v>2120103.12</v>
      </c>
    </row>
    <row r="9" spans="1:11" ht="16.5" customHeight="1">
      <c r="A9" s="267"/>
      <c r="B9" s="57">
        <v>53720</v>
      </c>
      <c r="C9" s="57" t="s">
        <v>89</v>
      </c>
      <c r="D9" s="1"/>
      <c r="E9" s="1"/>
      <c r="F9" s="1"/>
      <c r="G9" s="1"/>
      <c r="H9" s="1"/>
      <c r="I9" s="1"/>
      <c r="J9" s="41"/>
      <c r="K9" s="176">
        <f t="shared" si="0"/>
        <v>0</v>
      </c>
    </row>
    <row r="10" spans="1:11" ht="16.5" customHeight="1">
      <c r="A10" s="267"/>
      <c r="B10" s="57">
        <v>53735</v>
      </c>
      <c r="C10" s="57" t="s">
        <v>90</v>
      </c>
      <c r="D10" s="1"/>
      <c r="E10" s="1"/>
      <c r="F10" s="1"/>
      <c r="G10" s="1"/>
      <c r="H10" s="1"/>
      <c r="I10" s="1"/>
      <c r="J10" s="41"/>
      <c r="K10" s="176">
        <f t="shared" si="0"/>
        <v>0</v>
      </c>
    </row>
    <row r="11" spans="1:11" ht="16.5" customHeight="1">
      <c r="A11" s="267"/>
      <c r="B11" s="57">
        <v>53740</v>
      </c>
      <c r="C11" s="57" t="s">
        <v>91</v>
      </c>
      <c r="D11" s="1"/>
      <c r="E11" s="1"/>
      <c r="F11" s="1">
        <f>18000*0.178</f>
        <v>3204</v>
      </c>
      <c r="G11" s="1">
        <v>12204</v>
      </c>
      <c r="H11" s="1">
        <f>108000*0.5</f>
        <v>54000</v>
      </c>
      <c r="I11" s="1">
        <f>108000*0.5</f>
        <v>54000</v>
      </c>
      <c r="J11" s="41">
        <f>108000*0.5</f>
        <v>54000</v>
      </c>
      <c r="K11" s="176">
        <f t="shared" si="0"/>
        <v>177408</v>
      </c>
    </row>
    <row r="12" spans="1:11" ht="16.5" customHeight="1">
      <c r="A12" s="267"/>
      <c r="B12" s="57">
        <v>53755</v>
      </c>
      <c r="C12" s="57" t="s">
        <v>92</v>
      </c>
      <c r="D12" s="1"/>
      <c r="E12" s="1">
        <f>1894491*0.178</f>
        <v>337219.39799999999</v>
      </c>
      <c r="F12" s="1">
        <v>0</v>
      </c>
      <c r="G12" s="1">
        <v>0</v>
      </c>
      <c r="H12" s="1">
        <v>0</v>
      </c>
      <c r="I12" s="1">
        <v>0</v>
      </c>
      <c r="J12" s="41">
        <v>0</v>
      </c>
      <c r="K12" s="176">
        <f t="shared" si="0"/>
        <v>337219.39799999999</v>
      </c>
    </row>
    <row r="13" spans="1:11" ht="16.5" customHeight="1">
      <c r="A13" s="267"/>
      <c r="B13" s="57">
        <v>53760</v>
      </c>
      <c r="C13" s="57" t="s">
        <v>93</v>
      </c>
      <c r="D13" s="1"/>
      <c r="E13" s="1"/>
      <c r="F13" s="1"/>
      <c r="G13" s="1"/>
      <c r="H13" s="1"/>
      <c r="I13" s="1"/>
      <c r="J13" s="41"/>
      <c r="K13" s="177">
        <f t="shared" si="0"/>
        <v>0</v>
      </c>
    </row>
    <row r="14" spans="1:11" ht="16.5" customHeight="1" thickBot="1">
      <c r="A14" s="268"/>
      <c r="B14" s="58" t="s">
        <v>15</v>
      </c>
      <c r="C14" s="58"/>
      <c r="D14" s="59">
        <f>SUM(D8:D13)</f>
        <v>0</v>
      </c>
      <c r="E14" s="59">
        <f t="shared" ref="E14:J14" si="1">SUM(E8:E13)</f>
        <v>618466.51799999992</v>
      </c>
      <c r="F14" s="59">
        <f t="shared" si="1"/>
        <v>568265</v>
      </c>
      <c r="G14" s="59">
        <f t="shared" si="1"/>
        <v>817499</v>
      </c>
      <c r="H14" s="59">
        <f t="shared" si="1"/>
        <v>488000</v>
      </c>
      <c r="I14" s="59">
        <f t="shared" si="1"/>
        <v>86000</v>
      </c>
      <c r="J14" s="71">
        <f t="shared" si="1"/>
        <v>56500</v>
      </c>
      <c r="K14" s="61">
        <f t="shared" si="0"/>
        <v>2634730.5180000002</v>
      </c>
    </row>
    <row r="15" spans="1:11" ht="16.5" customHeight="1" thickTop="1">
      <c r="A15" s="269" t="s">
        <v>94</v>
      </c>
      <c r="B15" s="57">
        <v>55700</v>
      </c>
      <c r="C15" s="57" t="s">
        <v>95</v>
      </c>
      <c r="D15" s="1"/>
      <c r="E15" s="1">
        <v>0</v>
      </c>
      <c r="F15" s="1">
        <f>245140*0.178</f>
        <v>43634.92</v>
      </c>
      <c r="G15" s="1">
        <v>0</v>
      </c>
      <c r="H15" s="1">
        <f>115500*0.5</f>
        <v>57750</v>
      </c>
      <c r="I15" s="1">
        <f>115500*0.5</f>
        <v>57750</v>
      </c>
      <c r="J15" s="41">
        <v>0</v>
      </c>
      <c r="K15" s="178">
        <f t="shared" si="0"/>
        <v>159134.91999999998</v>
      </c>
    </row>
    <row r="16" spans="1:11" ht="16.5" customHeight="1">
      <c r="A16" s="266"/>
      <c r="B16" s="57">
        <v>55710</v>
      </c>
      <c r="C16" s="57" t="s">
        <v>96</v>
      </c>
      <c r="D16" s="1"/>
      <c r="E16" s="1"/>
      <c r="F16" s="1"/>
      <c r="G16" s="1"/>
      <c r="H16" s="1"/>
      <c r="I16" s="1"/>
      <c r="J16" s="41"/>
      <c r="K16" s="200"/>
    </row>
    <row r="17" spans="1:11" ht="15.75" customHeight="1">
      <c r="A17" s="266"/>
      <c r="B17" s="57">
        <v>55730</v>
      </c>
      <c r="C17" s="57" t="s">
        <v>97</v>
      </c>
      <c r="D17" s="1"/>
      <c r="E17" s="1">
        <f>180000*0.178</f>
        <v>32040</v>
      </c>
      <c r="F17" s="1">
        <v>0</v>
      </c>
      <c r="G17" s="1">
        <v>0</v>
      </c>
      <c r="H17" s="1">
        <v>0</v>
      </c>
      <c r="I17" s="1">
        <v>0</v>
      </c>
      <c r="J17" s="41">
        <v>0</v>
      </c>
      <c r="K17" s="177">
        <f t="shared" si="0"/>
        <v>32040</v>
      </c>
    </row>
    <row r="18" spans="1:11" ht="16.5" customHeight="1" thickBot="1">
      <c r="A18" s="268"/>
      <c r="B18" s="58" t="s">
        <v>15</v>
      </c>
      <c r="C18" s="58"/>
      <c r="D18" s="59">
        <f>SUM(D15:D17)</f>
        <v>0</v>
      </c>
      <c r="E18" s="59">
        <f t="shared" ref="E18:J18" si="2">SUM(E15:E17)</f>
        <v>32040</v>
      </c>
      <c r="F18" s="59">
        <f t="shared" si="2"/>
        <v>43634.92</v>
      </c>
      <c r="G18" s="59">
        <f t="shared" si="2"/>
        <v>0</v>
      </c>
      <c r="H18" s="59">
        <f t="shared" si="2"/>
        <v>57750</v>
      </c>
      <c r="I18" s="59">
        <f t="shared" si="2"/>
        <v>57750</v>
      </c>
      <c r="J18" s="71">
        <f t="shared" si="2"/>
        <v>0</v>
      </c>
      <c r="K18" s="61">
        <f t="shared" si="0"/>
        <v>191174.91999999998</v>
      </c>
    </row>
    <row r="19" spans="1:11" ht="16.5" customHeight="1" thickTop="1" thickBot="1">
      <c r="A19" s="62" t="s">
        <v>16</v>
      </c>
      <c r="B19" s="63"/>
      <c r="C19" s="72"/>
      <c r="D19" s="29">
        <f>D14+D18</f>
        <v>0</v>
      </c>
      <c r="E19" s="29">
        <f t="shared" ref="E19:J19" si="3">E14+E18</f>
        <v>650506.51799999992</v>
      </c>
      <c r="F19" s="29">
        <f t="shared" si="3"/>
        <v>611899.92000000004</v>
      </c>
      <c r="G19" s="29">
        <f t="shared" si="3"/>
        <v>817499</v>
      </c>
      <c r="H19" s="29">
        <f t="shared" si="3"/>
        <v>545750</v>
      </c>
      <c r="I19" s="29">
        <f t="shared" si="3"/>
        <v>143750</v>
      </c>
      <c r="J19" s="29">
        <f t="shared" si="3"/>
        <v>56500</v>
      </c>
      <c r="K19" s="29">
        <f t="shared" si="0"/>
        <v>2825905.4380000001</v>
      </c>
    </row>
    <row r="20" spans="1:11" ht="3.95" customHeight="1" thickTop="1">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row r="2" spans="1:5" ht="16.5" customHeight="1">
      <c r="A2" s="307" t="s">
        <v>24</v>
      </c>
      <c r="B2" s="308"/>
      <c r="C2" s="300" t="str">
        <f>IF(ISBLANK('PROJECT ID|INSTRUCTIONS'!C3)," ",'PROJECT ID|INSTRUCTIONS'!C3)</f>
        <v xml:space="preserve"> </v>
      </c>
      <c r="D2" s="300"/>
      <c r="E2" s="301"/>
    </row>
    <row r="3" spans="1:5" ht="16.5" customHeight="1">
      <c r="A3" s="309" t="s">
        <v>21</v>
      </c>
      <c r="B3" s="310"/>
      <c r="C3" s="302" t="str">
        <f>IF(ISBLANK('PROJECT ID|INSTRUCTIONS'!C4)," ",'PROJECT ID|INSTRUCTIONS'!C4)</f>
        <v>DDS Home and Community Based Management System</v>
      </c>
      <c r="D3" s="302"/>
      <c r="E3" s="303"/>
    </row>
    <row r="4" spans="1:5" ht="16.5" customHeight="1">
      <c r="A4" s="311" t="s">
        <v>25</v>
      </c>
      <c r="B4" s="312"/>
      <c r="C4" s="304">
        <f>IF(ISBLANK('PROJECT ID|INSTRUCTIONS'!C5)," ",'PROJECT ID|INSTRUCTIONS'!C5)</f>
        <v>41521</v>
      </c>
      <c r="D4" s="304"/>
      <c r="E4" s="305"/>
    </row>
    <row r="5" spans="1:5" ht="12" customHeight="1"/>
    <row r="6" spans="1:5" ht="15.75">
      <c r="A6" s="288" t="s">
        <v>69</v>
      </c>
      <c r="B6" s="289"/>
      <c r="C6" s="289"/>
      <c r="D6" s="289"/>
      <c r="E6" s="290"/>
    </row>
    <row r="7" spans="1:5" ht="15.75" customHeight="1">
      <c r="A7" s="190" t="s">
        <v>42</v>
      </c>
      <c r="B7" s="182" t="s">
        <v>47</v>
      </c>
      <c r="C7" s="183" t="s">
        <v>81</v>
      </c>
      <c r="D7" s="183" t="s">
        <v>49</v>
      </c>
      <c r="E7" s="184" t="s">
        <v>41</v>
      </c>
    </row>
    <row r="8" spans="1:5" ht="3.75" customHeight="1">
      <c r="A8" s="188"/>
      <c r="B8" s="188"/>
      <c r="C8" s="189"/>
      <c r="D8" s="189"/>
      <c r="E8" s="189"/>
    </row>
    <row r="9" spans="1:5" ht="15">
      <c r="A9" s="291" t="str">
        <f>CONCATENATE("FY ",Settings!$C$1-1)</f>
        <v>FY 2013</v>
      </c>
      <c r="B9" s="292"/>
      <c r="C9" s="292"/>
      <c r="D9" s="292"/>
      <c r="E9" s="293"/>
    </row>
    <row r="10" spans="1:5">
      <c r="A10" s="125">
        <v>2011</v>
      </c>
      <c r="B10" s="126">
        <v>1</v>
      </c>
      <c r="C10" s="169"/>
      <c r="D10" s="127"/>
      <c r="E10" s="128" t="s">
        <v>55</v>
      </c>
    </row>
    <row r="11" spans="1:5">
      <c r="A11" s="129">
        <v>2011</v>
      </c>
      <c r="B11" s="130">
        <v>2</v>
      </c>
      <c r="C11" s="170"/>
      <c r="D11" s="132"/>
      <c r="E11" s="133" t="s">
        <v>55</v>
      </c>
    </row>
    <row r="12" spans="1:5">
      <c r="A12" s="129">
        <v>2011</v>
      </c>
      <c r="B12" s="130">
        <v>3</v>
      </c>
      <c r="C12" s="171"/>
      <c r="D12" s="132"/>
      <c r="E12" s="133" t="s">
        <v>55</v>
      </c>
    </row>
    <row r="13" spans="1:5">
      <c r="A13" s="129">
        <v>2011</v>
      </c>
      <c r="B13" s="130">
        <v>4</v>
      </c>
      <c r="C13" s="171"/>
      <c r="D13" s="132"/>
      <c r="E13" s="133" t="s">
        <v>55</v>
      </c>
    </row>
    <row r="14" spans="1:5">
      <c r="A14" s="129">
        <v>2011</v>
      </c>
      <c r="B14" s="130">
        <v>5</v>
      </c>
      <c r="C14" s="171"/>
      <c r="D14" s="132"/>
      <c r="E14" s="133" t="s">
        <v>55</v>
      </c>
    </row>
    <row r="15" spans="1:5">
      <c r="A15" s="129">
        <v>2011</v>
      </c>
      <c r="B15" s="130">
        <v>6</v>
      </c>
      <c r="C15" s="171"/>
      <c r="D15" s="132"/>
      <c r="E15" s="133" t="s">
        <v>55</v>
      </c>
    </row>
    <row r="16" spans="1:5">
      <c r="A16" s="129">
        <v>2011</v>
      </c>
      <c r="B16" s="130">
        <v>7</v>
      </c>
      <c r="C16" s="171"/>
      <c r="D16" s="132"/>
      <c r="E16" s="133" t="s">
        <v>55</v>
      </c>
    </row>
    <row r="17" spans="1:5">
      <c r="A17" s="129">
        <v>2011</v>
      </c>
      <c r="B17" s="130">
        <v>8</v>
      </c>
      <c r="C17" s="171"/>
      <c r="D17" s="132"/>
      <c r="E17" s="133" t="s">
        <v>55</v>
      </c>
    </row>
    <row r="18" spans="1:5">
      <c r="A18" s="129">
        <v>2011</v>
      </c>
      <c r="B18" s="130">
        <v>9</v>
      </c>
      <c r="C18" s="171"/>
      <c r="D18" s="132"/>
      <c r="E18" s="133" t="s">
        <v>55</v>
      </c>
    </row>
    <row r="19" spans="1:5">
      <c r="A19" s="135">
        <v>2011</v>
      </c>
      <c r="B19" s="136">
        <v>10</v>
      </c>
      <c r="C19" s="172"/>
      <c r="D19" s="137"/>
      <c r="E19" s="138" t="s">
        <v>55</v>
      </c>
    </row>
    <row r="20" spans="1:5" ht="15">
      <c r="A20" s="294" t="str">
        <f>CONCATENATE("FY ",Settings!$C$1)</f>
        <v>FY 2014</v>
      </c>
      <c r="B20" s="295"/>
      <c r="C20" s="295"/>
      <c r="D20" s="295"/>
      <c r="E20" s="296"/>
    </row>
    <row r="21" spans="1:5">
      <c r="A21" s="125">
        <v>2012</v>
      </c>
      <c r="B21" s="126">
        <v>1</v>
      </c>
      <c r="C21" s="139"/>
      <c r="D21" s="163"/>
      <c r="E21" s="140" t="s">
        <v>74</v>
      </c>
    </row>
    <row r="22" spans="1:5">
      <c r="A22" s="129">
        <v>2012</v>
      </c>
      <c r="B22" s="130">
        <v>2</v>
      </c>
      <c r="C22" s="131"/>
      <c r="D22" s="164"/>
      <c r="E22" s="141" t="s">
        <v>74</v>
      </c>
    </row>
    <row r="23" spans="1:5">
      <c r="A23" s="129">
        <v>2012</v>
      </c>
      <c r="B23" s="130">
        <v>3</v>
      </c>
      <c r="C23" s="134"/>
      <c r="D23" s="164"/>
      <c r="E23" s="141" t="s">
        <v>74</v>
      </c>
    </row>
    <row r="24" spans="1:5">
      <c r="A24" s="129">
        <v>2012</v>
      </c>
      <c r="B24" s="130">
        <v>4</v>
      </c>
      <c r="C24" s="142"/>
      <c r="D24" s="164"/>
      <c r="E24" s="141" t="s">
        <v>74</v>
      </c>
    </row>
    <row r="25" spans="1:5">
      <c r="A25" s="129">
        <v>2012</v>
      </c>
      <c r="B25" s="130">
        <v>5</v>
      </c>
      <c r="C25" s="134"/>
      <c r="D25" s="164"/>
      <c r="E25" s="141" t="s">
        <v>74</v>
      </c>
    </row>
    <row r="26" spans="1:5">
      <c r="A26" s="129">
        <v>2012</v>
      </c>
      <c r="B26" s="130">
        <v>6</v>
      </c>
      <c r="C26" s="134"/>
      <c r="D26" s="164"/>
      <c r="E26" s="141" t="s">
        <v>74</v>
      </c>
    </row>
    <row r="27" spans="1:5">
      <c r="A27" s="129">
        <v>2012</v>
      </c>
      <c r="B27" s="130">
        <v>7</v>
      </c>
      <c r="C27" s="134"/>
      <c r="D27" s="164"/>
      <c r="E27" s="141" t="s">
        <v>74</v>
      </c>
    </row>
    <row r="28" spans="1:5">
      <c r="A28" s="129">
        <v>2012</v>
      </c>
      <c r="B28" s="130">
        <v>8</v>
      </c>
      <c r="C28" s="134"/>
      <c r="D28" s="164"/>
      <c r="E28" s="141" t="s">
        <v>74</v>
      </c>
    </row>
    <row r="29" spans="1:5">
      <c r="A29" s="129">
        <v>2012</v>
      </c>
      <c r="B29" s="130">
        <v>9</v>
      </c>
      <c r="C29" s="134"/>
      <c r="D29" s="164"/>
      <c r="E29" s="141" t="s">
        <v>74</v>
      </c>
    </row>
    <row r="30" spans="1:5">
      <c r="A30" s="129">
        <v>2012</v>
      </c>
      <c r="B30" s="130">
        <v>10</v>
      </c>
      <c r="C30" s="134"/>
      <c r="D30" s="164"/>
      <c r="E30" s="141" t="s">
        <v>74</v>
      </c>
    </row>
    <row r="31" spans="1:5">
      <c r="A31" s="129">
        <v>2012</v>
      </c>
      <c r="B31" s="130">
        <v>11</v>
      </c>
      <c r="C31" s="142"/>
      <c r="D31" s="164"/>
      <c r="E31" s="141" t="s">
        <v>74</v>
      </c>
    </row>
    <row r="32" spans="1:5">
      <c r="A32" s="129">
        <v>2012</v>
      </c>
      <c r="B32" s="130">
        <v>12</v>
      </c>
      <c r="C32" s="142"/>
      <c r="D32" s="164"/>
      <c r="E32" s="141" t="s">
        <v>74</v>
      </c>
    </row>
    <row r="33" spans="1:5">
      <c r="A33" s="129">
        <v>2012</v>
      </c>
      <c r="B33" s="130">
        <v>13</v>
      </c>
      <c r="C33" s="142"/>
      <c r="D33" s="164"/>
      <c r="E33" s="141" t="s">
        <v>74</v>
      </c>
    </row>
    <row r="34" spans="1:5">
      <c r="A34" s="129">
        <v>2012</v>
      </c>
      <c r="B34" s="130">
        <v>14</v>
      </c>
      <c r="C34" s="142"/>
      <c r="D34" s="164"/>
      <c r="E34" s="141" t="s">
        <v>74</v>
      </c>
    </row>
    <row r="35" spans="1:5" ht="13.5" thickBot="1">
      <c r="A35" s="143">
        <v>2012</v>
      </c>
      <c r="B35" s="144">
        <v>15</v>
      </c>
      <c r="C35" s="145"/>
      <c r="D35" s="165"/>
      <c r="E35" s="146" t="s">
        <v>74</v>
      </c>
    </row>
    <row r="36" spans="1:5" ht="14.25" thickTop="1" thickBot="1">
      <c r="A36" s="306" t="s">
        <v>37</v>
      </c>
      <c r="B36" s="306"/>
      <c r="C36" s="306"/>
      <c r="D36" s="185">
        <f>SUM(D21:D35)</f>
        <v>0</v>
      </c>
      <c r="E36" s="76"/>
    </row>
    <row r="37" spans="1:5" ht="15.75" customHeight="1" thickTop="1">
      <c r="A37" s="287" t="str">
        <f>CONCATENATE("FY ",Settings!$C$1+1, "+")</f>
        <v>FY 2015+</v>
      </c>
      <c r="B37" s="287"/>
      <c r="C37" s="287"/>
      <c r="D37" s="287"/>
      <c r="E37" s="287"/>
    </row>
    <row r="38" spans="1:5">
      <c r="A38" s="147">
        <v>2013</v>
      </c>
      <c r="B38" s="148">
        <v>1</v>
      </c>
      <c r="C38" s="149"/>
      <c r="D38" s="166"/>
      <c r="E38" s="140" t="s">
        <v>74</v>
      </c>
    </row>
    <row r="39" spans="1:5">
      <c r="A39" s="150">
        <v>2013</v>
      </c>
      <c r="B39" s="151">
        <v>2</v>
      </c>
      <c r="C39" s="142"/>
      <c r="D39" s="167"/>
      <c r="E39" s="141" t="s">
        <v>74</v>
      </c>
    </row>
    <row r="40" spans="1:5">
      <c r="A40" s="150">
        <v>2013</v>
      </c>
      <c r="B40" s="151">
        <v>3</v>
      </c>
      <c r="C40" s="134"/>
      <c r="D40" s="167"/>
      <c r="E40" s="141" t="s">
        <v>74</v>
      </c>
    </row>
    <row r="41" spans="1:5">
      <c r="A41" s="150">
        <v>2013</v>
      </c>
      <c r="B41" s="151">
        <v>4</v>
      </c>
      <c r="C41" s="142"/>
      <c r="D41" s="167"/>
      <c r="E41" s="141" t="s">
        <v>74</v>
      </c>
    </row>
    <row r="42" spans="1:5">
      <c r="A42" s="150">
        <v>2013</v>
      </c>
      <c r="B42" s="151">
        <v>5</v>
      </c>
      <c r="C42" s="131"/>
      <c r="D42" s="167"/>
      <c r="E42" s="141" t="s">
        <v>74</v>
      </c>
    </row>
    <row r="43" spans="1:5">
      <c r="A43" s="150">
        <v>2013</v>
      </c>
      <c r="B43" s="151">
        <v>6</v>
      </c>
      <c r="C43" s="134"/>
      <c r="D43" s="167"/>
      <c r="E43" s="141" t="s">
        <v>74</v>
      </c>
    </row>
    <row r="44" spans="1:5">
      <c r="A44" s="150">
        <v>2013</v>
      </c>
      <c r="B44" s="151">
        <v>7</v>
      </c>
      <c r="C44" s="152"/>
      <c r="D44" s="167"/>
      <c r="E44" s="141" t="s">
        <v>74</v>
      </c>
    </row>
    <row r="45" spans="1:5">
      <c r="A45" s="150">
        <v>2014</v>
      </c>
      <c r="B45" s="151">
        <v>1</v>
      </c>
      <c r="C45" s="152"/>
      <c r="D45" s="167"/>
      <c r="E45" s="141" t="s">
        <v>74</v>
      </c>
    </row>
    <row r="46" spans="1:5">
      <c r="A46" s="150">
        <v>2014</v>
      </c>
      <c r="B46" s="151">
        <v>2</v>
      </c>
      <c r="C46" s="152"/>
      <c r="D46" s="167"/>
      <c r="E46" s="141" t="s">
        <v>74</v>
      </c>
    </row>
    <row r="47" spans="1:5">
      <c r="A47" s="150">
        <v>2014</v>
      </c>
      <c r="B47" s="151">
        <v>3</v>
      </c>
      <c r="C47" s="152"/>
      <c r="D47" s="167"/>
      <c r="E47" s="141" t="s">
        <v>74</v>
      </c>
    </row>
    <row r="48" spans="1:5">
      <c r="A48" s="150">
        <v>2014</v>
      </c>
      <c r="B48" s="151">
        <v>4</v>
      </c>
      <c r="C48" s="152"/>
      <c r="D48" s="167"/>
      <c r="E48" s="141" t="s">
        <v>74</v>
      </c>
    </row>
    <row r="49" spans="1:5">
      <c r="A49" s="150">
        <v>2014</v>
      </c>
      <c r="B49" s="151">
        <v>5</v>
      </c>
      <c r="C49" s="152"/>
      <c r="D49" s="167"/>
      <c r="E49" s="141" t="s">
        <v>74</v>
      </c>
    </row>
    <row r="50" spans="1:5">
      <c r="A50" s="150">
        <v>2014</v>
      </c>
      <c r="B50" s="151">
        <v>6</v>
      </c>
      <c r="C50" s="152"/>
      <c r="D50" s="167"/>
      <c r="E50" s="141" t="s">
        <v>74</v>
      </c>
    </row>
    <row r="51" spans="1:5">
      <c r="A51" s="150">
        <v>2014</v>
      </c>
      <c r="B51" s="151">
        <v>7</v>
      </c>
      <c r="C51" s="152"/>
      <c r="D51" s="167"/>
      <c r="E51" s="141" t="s">
        <v>74</v>
      </c>
    </row>
    <row r="52" spans="1:5">
      <c r="A52" s="150">
        <v>2015</v>
      </c>
      <c r="B52" s="151">
        <v>1</v>
      </c>
      <c r="C52" s="152"/>
      <c r="D52" s="167"/>
      <c r="E52" s="141" t="s">
        <v>74</v>
      </c>
    </row>
    <row r="53" spans="1:5">
      <c r="A53" s="150">
        <v>2015</v>
      </c>
      <c r="B53" s="151">
        <v>2</v>
      </c>
      <c r="C53" s="152"/>
      <c r="D53" s="167"/>
      <c r="E53" s="141" t="s">
        <v>74</v>
      </c>
    </row>
    <row r="54" spans="1:5">
      <c r="A54" s="150">
        <v>2015</v>
      </c>
      <c r="B54" s="151">
        <v>3</v>
      </c>
      <c r="C54" s="152"/>
      <c r="D54" s="167"/>
      <c r="E54" s="141" t="s">
        <v>74</v>
      </c>
    </row>
    <row r="55" spans="1:5">
      <c r="A55" s="150">
        <v>2015</v>
      </c>
      <c r="B55" s="151">
        <v>4</v>
      </c>
      <c r="C55" s="152"/>
      <c r="D55" s="167"/>
      <c r="E55" s="141" t="s">
        <v>74</v>
      </c>
    </row>
    <row r="56" spans="1:5">
      <c r="A56" s="150">
        <v>2015</v>
      </c>
      <c r="B56" s="151">
        <v>5</v>
      </c>
      <c r="C56" s="152"/>
      <c r="D56" s="167"/>
      <c r="E56" s="141" t="s">
        <v>74</v>
      </c>
    </row>
    <row r="57" spans="1:5">
      <c r="A57" s="150">
        <v>2015</v>
      </c>
      <c r="B57" s="151">
        <v>6</v>
      </c>
      <c r="C57" s="152"/>
      <c r="D57" s="167"/>
      <c r="E57" s="141" t="s">
        <v>74</v>
      </c>
    </row>
    <row r="58" spans="1:5">
      <c r="A58" s="150">
        <v>2015</v>
      </c>
      <c r="B58" s="151">
        <v>7</v>
      </c>
      <c r="C58" s="152"/>
      <c r="D58" s="167"/>
      <c r="E58" s="141" t="s">
        <v>74</v>
      </c>
    </row>
    <row r="59" spans="1:5">
      <c r="A59" s="150">
        <v>2016</v>
      </c>
      <c r="B59" s="151">
        <v>1</v>
      </c>
      <c r="C59" s="152"/>
      <c r="D59" s="167"/>
      <c r="E59" s="141" t="s">
        <v>74</v>
      </c>
    </row>
    <row r="60" spans="1:5">
      <c r="A60" s="150">
        <v>2016</v>
      </c>
      <c r="B60" s="151">
        <v>2</v>
      </c>
      <c r="C60" s="152"/>
      <c r="D60" s="167"/>
      <c r="E60" s="141" t="s">
        <v>74</v>
      </c>
    </row>
    <row r="61" spans="1:5">
      <c r="A61" s="150">
        <v>2016</v>
      </c>
      <c r="B61" s="151">
        <v>3</v>
      </c>
      <c r="C61" s="152"/>
      <c r="D61" s="167"/>
      <c r="E61" s="141" t="s">
        <v>74</v>
      </c>
    </row>
    <row r="62" spans="1:5">
      <c r="A62" s="150">
        <v>2016</v>
      </c>
      <c r="B62" s="151">
        <v>4</v>
      </c>
      <c r="C62" s="152"/>
      <c r="D62" s="167"/>
      <c r="E62" s="141" t="s">
        <v>74</v>
      </c>
    </row>
    <row r="63" spans="1:5">
      <c r="A63" s="150">
        <v>2016</v>
      </c>
      <c r="B63" s="151">
        <v>5</v>
      </c>
      <c r="C63" s="152"/>
      <c r="D63" s="167"/>
      <c r="E63" s="141" t="s">
        <v>74</v>
      </c>
    </row>
    <row r="64" spans="1:5">
      <c r="A64" s="150">
        <v>2016</v>
      </c>
      <c r="B64" s="151">
        <v>6</v>
      </c>
      <c r="C64" s="152"/>
      <c r="D64" s="167"/>
      <c r="E64" s="141" t="s">
        <v>74</v>
      </c>
    </row>
    <row r="65" spans="1:5" ht="13.5" thickBot="1">
      <c r="A65" s="153">
        <v>2016</v>
      </c>
      <c r="B65" s="154">
        <v>7</v>
      </c>
      <c r="C65" s="155"/>
      <c r="D65" s="168"/>
      <c r="E65" s="146" t="s">
        <v>74</v>
      </c>
    </row>
    <row r="66" spans="1:5" ht="16.5" customHeight="1" thickTop="1" thickBot="1">
      <c r="A66" s="297" t="s">
        <v>37</v>
      </c>
      <c r="B66" s="298"/>
      <c r="C66" s="299"/>
      <c r="D66" s="185">
        <f>SUM(D38:D65)</f>
        <v>0</v>
      </c>
      <c r="E66" s="76"/>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election activeCell="F7" sqref="F7"/>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4" customFormat="1" ht="16.5" customHeight="1">
      <c r="A2" s="245" t="s">
        <v>24</v>
      </c>
      <c r="B2" s="313"/>
      <c r="C2" s="246"/>
      <c r="D2" s="251" t="str">
        <f>IF(ISBLANK('PROJECT ID|INSTRUCTIONS'!C3)," ",'PROJECT ID|INSTRUCTIONS'!C3)</f>
        <v xml:space="preserve"> </v>
      </c>
      <c r="E2" s="252"/>
      <c r="F2" s="252"/>
      <c r="G2" s="252"/>
      <c r="H2" s="252"/>
      <c r="I2" s="252"/>
      <c r="J2" s="252"/>
      <c r="K2" s="253"/>
    </row>
    <row r="3" spans="1:15" s="64" customFormat="1" ht="16.5" customHeight="1">
      <c r="A3" s="247" t="s">
        <v>21</v>
      </c>
      <c r="B3" s="274"/>
      <c r="C3" s="248"/>
      <c r="D3" s="254" t="str">
        <f>IF(ISBLANK('PROJECT ID|INSTRUCTIONS'!C4)," ",'PROJECT ID|INSTRUCTIONS'!C4)</f>
        <v>DDS Home and Community Based Management System</v>
      </c>
      <c r="E3" s="255"/>
      <c r="F3" s="255"/>
      <c r="G3" s="255"/>
      <c r="H3" s="255"/>
      <c r="I3" s="255"/>
      <c r="J3" s="255"/>
      <c r="K3" s="256"/>
    </row>
    <row r="4" spans="1:15" s="64" customFormat="1" ht="16.5" customHeight="1">
      <c r="A4" s="249" t="s">
        <v>25</v>
      </c>
      <c r="B4" s="314"/>
      <c r="C4" s="250"/>
      <c r="D4" s="257">
        <f>IF(ISBLANK('PROJECT ID|INSTRUCTIONS'!C5)," ",'PROJECT ID|INSTRUCTIONS'!C5)</f>
        <v>41521</v>
      </c>
      <c r="E4" s="258"/>
      <c r="F4" s="258"/>
      <c r="G4" s="258"/>
      <c r="H4" s="258"/>
      <c r="I4" s="258"/>
      <c r="J4" s="258"/>
      <c r="K4" s="259"/>
    </row>
    <row r="5" spans="1:15" s="50" customFormat="1" ht="12" customHeight="1">
      <c r="C5" s="50" t="s">
        <v>107</v>
      </c>
    </row>
    <row r="6" spans="1:15" ht="16.5" customHeight="1">
      <c r="A6" s="318" t="s">
        <v>50</v>
      </c>
      <c r="B6" s="318"/>
      <c r="C6" s="318"/>
      <c r="D6" s="318"/>
      <c r="E6" s="318"/>
      <c r="F6" s="94">
        <v>2019</v>
      </c>
      <c r="G6" s="50"/>
      <c r="H6" s="77"/>
      <c r="I6" s="50"/>
      <c r="J6" s="50"/>
      <c r="K6" s="50"/>
    </row>
    <row r="7" spans="1:15" ht="16.5" customHeight="1">
      <c r="A7" s="318" t="s">
        <v>51</v>
      </c>
      <c r="B7" s="318"/>
      <c r="C7" s="318"/>
      <c r="D7" s="318"/>
      <c r="E7" s="318"/>
      <c r="F7" s="95">
        <v>2019</v>
      </c>
      <c r="G7" s="50"/>
      <c r="H7" s="50"/>
      <c r="I7" s="50"/>
      <c r="J7" s="50"/>
      <c r="K7" s="50"/>
    </row>
    <row r="8" spans="1:15" ht="12" customHeight="1">
      <c r="A8" s="50"/>
      <c r="B8" s="50"/>
      <c r="C8" s="50" t="s">
        <v>110</v>
      </c>
      <c r="D8" s="50"/>
      <c r="E8" s="50"/>
      <c r="F8" s="50"/>
      <c r="G8" s="50"/>
      <c r="H8" s="50"/>
      <c r="I8" s="50"/>
      <c r="J8" s="50"/>
      <c r="K8" s="50"/>
    </row>
    <row r="9" spans="1:15" ht="31.5" customHeight="1">
      <c r="A9" s="284" t="s">
        <v>27</v>
      </c>
      <c r="B9" s="285"/>
      <c r="C9" s="285"/>
      <c r="D9" s="285"/>
      <c r="E9" s="285"/>
      <c r="F9" s="285"/>
      <c r="G9" s="285"/>
      <c r="H9" s="285"/>
      <c r="I9" s="285"/>
      <c r="J9" s="285"/>
      <c r="K9" s="286"/>
      <c r="M9" s="315" t="s">
        <v>68</v>
      </c>
      <c r="N9" s="316"/>
      <c r="O9" s="317"/>
    </row>
    <row r="10" spans="1:15" ht="12.75">
      <c r="A10" s="78"/>
      <c r="B10" s="79"/>
      <c r="C10" s="80"/>
      <c r="D10" s="81" t="s">
        <v>17</v>
      </c>
      <c r="E10" s="81" t="s">
        <v>18</v>
      </c>
      <c r="F10" s="82" t="str">
        <f>IF(OR(ISBLANK($F$7),ISBLANK($F$6)),"(c)",IF($F$7-$F$6&gt;1,"(c)",""))</f>
        <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(c)</v>
      </c>
      <c r="M10" s="84" t="s">
        <v>61</v>
      </c>
      <c r="N10" s="81" t="s">
        <v>62</v>
      </c>
      <c r="O10" s="85" t="s">
        <v>63</v>
      </c>
    </row>
    <row r="11" spans="1:15" ht="37.5" customHeight="1">
      <c r="A11" s="86"/>
      <c r="B11" s="87" t="s">
        <v>13</v>
      </c>
      <c r="C11" s="87" t="s">
        <v>14</v>
      </c>
      <c r="D11" s="88" t="s">
        <v>56</v>
      </c>
      <c r="E11" s="88" t="s">
        <v>118</v>
      </c>
      <c r="F11" s="88" t="s">
        <v>119</v>
      </c>
      <c r="G11" s="88" t="s">
        <v>120</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FY19 Support Costs</v>
      </c>
      <c r="L11" s="90"/>
      <c r="M11" s="91" t="s">
        <v>59</v>
      </c>
      <c r="N11" s="82" t="s">
        <v>70</v>
      </c>
      <c r="O11" s="83" t="s">
        <v>60</v>
      </c>
    </row>
    <row r="12" spans="1:15" ht="16.5" customHeight="1">
      <c r="A12" s="266" t="s">
        <v>84</v>
      </c>
      <c r="B12" s="57">
        <v>50110</v>
      </c>
      <c r="C12" s="57" t="s">
        <v>85</v>
      </c>
      <c r="D12" s="3"/>
      <c r="E12" s="3">
        <v>350353</v>
      </c>
      <c r="F12" s="3">
        <f>967706*0.5</f>
        <v>483853</v>
      </c>
      <c r="G12" s="3">
        <v>469712</v>
      </c>
      <c r="H12" s="3"/>
      <c r="I12" s="3"/>
      <c r="J12" s="3"/>
      <c r="K12" s="44">
        <v>600201</v>
      </c>
      <c r="L12" s="92"/>
      <c r="M12" s="45"/>
      <c r="N12" s="39"/>
      <c r="O12" s="173">
        <f>M12*N12</f>
        <v>0</v>
      </c>
    </row>
    <row r="13" spans="1:15" ht="16.5" customHeight="1">
      <c r="A13" s="267"/>
      <c r="B13" s="57">
        <v>50130</v>
      </c>
      <c r="C13" s="57" t="s">
        <v>86</v>
      </c>
      <c r="D13" s="1"/>
      <c r="E13" s="1">
        <v>155421</v>
      </c>
      <c r="F13" s="1">
        <v>275080</v>
      </c>
      <c r="G13" s="1">
        <v>330096</v>
      </c>
      <c r="H13" s="1"/>
      <c r="I13" s="1"/>
      <c r="J13" s="1"/>
      <c r="K13" s="42">
        <v>360105</v>
      </c>
      <c r="M13" s="46"/>
      <c r="N13" s="37"/>
      <c r="O13" s="173">
        <f>M13*N13</f>
        <v>0</v>
      </c>
    </row>
    <row r="14" spans="1:15" ht="16.5" customHeight="1">
      <c r="A14" s="267"/>
      <c r="B14" s="57">
        <v>50170</v>
      </c>
      <c r="C14" s="57" t="s">
        <v>87</v>
      </c>
      <c r="D14" s="2"/>
      <c r="E14" s="2"/>
      <c r="F14" s="2"/>
      <c r="G14" s="2"/>
      <c r="H14" s="2"/>
      <c r="I14" s="2"/>
      <c r="J14" s="2"/>
      <c r="K14" s="43"/>
      <c r="M14" s="47"/>
      <c r="N14" s="38"/>
      <c r="O14" s="173">
        <f>M14*N14</f>
        <v>0</v>
      </c>
    </row>
    <row r="15" spans="1:15" ht="16.5" customHeight="1" thickBot="1">
      <c r="A15" s="268"/>
      <c r="B15" s="58" t="s">
        <v>15</v>
      </c>
      <c r="C15" s="58"/>
      <c r="D15" s="59">
        <f t="shared" ref="D15:K15" si="0">SUM(D12:D14)</f>
        <v>0</v>
      </c>
      <c r="E15" s="59">
        <f t="shared" si="0"/>
        <v>505774</v>
      </c>
      <c r="F15" s="59">
        <f t="shared" si="0"/>
        <v>758933</v>
      </c>
      <c r="G15" s="59">
        <f t="shared" si="0"/>
        <v>799808</v>
      </c>
      <c r="H15" s="59">
        <f t="shared" si="0"/>
        <v>0</v>
      </c>
      <c r="I15" s="59">
        <f t="shared" si="0"/>
        <v>0</v>
      </c>
      <c r="J15" s="59">
        <f t="shared" si="0"/>
        <v>0</v>
      </c>
      <c r="K15" s="60">
        <f t="shared" si="0"/>
        <v>960306</v>
      </c>
      <c r="M15" s="93">
        <f>SUM(M12:M14)</f>
        <v>0</v>
      </c>
      <c r="N15" s="175" t="s">
        <v>58</v>
      </c>
      <c r="O15" s="60">
        <f>SUM(O12:O14)</f>
        <v>0</v>
      </c>
    </row>
    <row r="16" spans="1:15" ht="16.5" customHeight="1" thickTop="1">
      <c r="A16" s="269" t="s">
        <v>83</v>
      </c>
      <c r="B16" s="57">
        <v>53715</v>
      </c>
      <c r="C16" s="57" t="s">
        <v>88</v>
      </c>
      <c r="D16" s="3"/>
      <c r="E16" s="3">
        <v>805295</v>
      </c>
      <c r="F16" s="3">
        <f>868000*0.5</f>
        <v>434000</v>
      </c>
      <c r="G16" s="3">
        <f>64000*0.5</f>
        <v>32000</v>
      </c>
      <c r="H16" s="3"/>
      <c r="I16" s="3"/>
      <c r="J16" s="3"/>
      <c r="K16" s="44">
        <v>2500</v>
      </c>
      <c r="M16" s="45"/>
      <c r="N16" s="39"/>
      <c r="O16" s="173">
        <f t="shared" ref="O16:O21" si="1">M16*N16</f>
        <v>0</v>
      </c>
    </row>
    <row r="17" spans="1:15" ht="16.5" customHeight="1">
      <c r="A17" s="267"/>
      <c r="B17" s="57">
        <v>53720</v>
      </c>
      <c r="C17" s="57" t="s">
        <v>89</v>
      </c>
      <c r="D17" s="1"/>
      <c r="E17" s="1"/>
      <c r="F17" s="1"/>
      <c r="G17" s="1"/>
      <c r="H17" s="1"/>
      <c r="I17" s="1"/>
      <c r="J17" s="1"/>
      <c r="K17" s="42"/>
      <c r="M17" s="46"/>
      <c r="N17" s="37"/>
      <c r="O17" s="173">
        <f t="shared" si="1"/>
        <v>0</v>
      </c>
    </row>
    <row r="18" spans="1:15" ht="16.5" customHeight="1">
      <c r="A18" s="267"/>
      <c r="B18" s="57">
        <v>53735</v>
      </c>
      <c r="C18" s="57" t="s">
        <v>90</v>
      </c>
      <c r="D18" s="1"/>
      <c r="E18" s="1"/>
      <c r="F18" s="1"/>
      <c r="G18" s="1"/>
      <c r="H18" s="1"/>
      <c r="I18" s="1"/>
      <c r="J18" s="1"/>
      <c r="K18" s="42"/>
      <c r="M18" s="46"/>
      <c r="N18" s="37"/>
      <c r="O18" s="173">
        <f t="shared" si="1"/>
        <v>0</v>
      </c>
    </row>
    <row r="19" spans="1:15" ht="16.5" customHeight="1">
      <c r="A19" s="267"/>
      <c r="B19" s="57">
        <v>53740</v>
      </c>
      <c r="C19" s="57" t="s">
        <v>91</v>
      </c>
      <c r="D19" s="1"/>
      <c r="E19" s="1">
        <v>12204</v>
      </c>
      <c r="F19" s="1">
        <f>108000*0.5</f>
        <v>54000</v>
      </c>
      <c r="G19" s="1">
        <f>108000*0.5</f>
        <v>54000</v>
      </c>
      <c r="H19" s="1"/>
      <c r="I19" s="1"/>
      <c r="J19" s="1"/>
      <c r="K19" s="42">
        <v>54000</v>
      </c>
      <c r="M19" s="46"/>
      <c r="N19" s="37"/>
      <c r="O19" s="173">
        <f t="shared" si="1"/>
        <v>0</v>
      </c>
    </row>
    <row r="20" spans="1:15" ht="16.5" customHeight="1">
      <c r="A20" s="267"/>
      <c r="B20" s="57">
        <v>53755</v>
      </c>
      <c r="C20" s="57" t="s">
        <v>92</v>
      </c>
      <c r="D20" s="1"/>
      <c r="E20" s="1"/>
      <c r="F20" s="1"/>
      <c r="G20" s="1"/>
      <c r="H20" s="1"/>
      <c r="I20" s="1"/>
      <c r="J20" s="1"/>
      <c r="K20" s="42"/>
      <c r="M20" s="46"/>
      <c r="N20" s="37"/>
      <c r="O20" s="173">
        <f t="shared" si="1"/>
        <v>0</v>
      </c>
    </row>
    <row r="21" spans="1:15" ht="16.5" customHeight="1">
      <c r="A21" s="267"/>
      <c r="B21" s="57">
        <v>53760</v>
      </c>
      <c r="C21" s="57" t="s">
        <v>93</v>
      </c>
      <c r="D21" s="1"/>
      <c r="E21" s="1">
        <v>0</v>
      </c>
      <c r="F21" s="1"/>
      <c r="G21" s="1"/>
      <c r="H21" s="1"/>
      <c r="I21" s="1"/>
      <c r="J21" s="1"/>
      <c r="K21" s="42"/>
      <c r="M21" s="46"/>
      <c r="N21" s="37"/>
      <c r="O21" s="173">
        <f t="shared" si="1"/>
        <v>0</v>
      </c>
    </row>
    <row r="22" spans="1:15" ht="16.5" customHeight="1" thickBot="1">
      <c r="A22" s="268"/>
      <c r="B22" s="58" t="s">
        <v>15</v>
      </c>
      <c r="C22" s="58"/>
      <c r="D22" s="59">
        <f t="shared" ref="D22:K22" si="2">SUM(D16:D21)</f>
        <v>0</v>
      </c>
      <c r="E22" s="59">
        <f t="shared" si="2"/>
        <v>817499</v>
      </c>
      <c r="F22" s="59">
        <f t="shared" si="2"/>
        <v>488000</v>
      </c>
      <c r="G22" s="59">
        <f t="shared" si="2"/>
        <v>86000</v>
      </c>
      <c r="H22" s="59">
        <f t="shared" si="2"/>
        <v>0</v>
      </c>
      <c r="I22" s="59">
        <f t="shared" si="2"/>
        <v>0</v>
      </c>
      <c r="J22" s="59">
        <f t="shared" si="2"/>
        <v>0</v>
      </c>
      <c r="K22" s="60">
        <f t="shared" si="2"/>
        <v>56500</v>
      </c>
      <c r="M22" s="93">
        <f>SUM(M16:M21)</f>
        <v>0</v>
      </c>
      <c r="N22" s="175" t="s">
        <v>58</v>
      </c>
      <c r="O22" s="60">
        <f>SUM(O16:O21)</f>
        <v>0</v>
      </c>
    </row>
    <row r="23" spans="1:15" ht="16.5" customHeight="1" thickTop="1">
      <c r="A23" s="269" t="s">
        <v>94</v>
      </c>
      <c r="B23" s="57">
        <v>55700</v>
      </c>
      <c r="C23" s="57" t="s">
        <v>95</v>
      </c>
      <c r="D23" s="1"/>
      <c r="E23" s="1"/>
      <c r="F23" s="1">
        <f>115500*0.5</f>
        <v>57750</v>
      </c>
      <c r="G23" s="1">
        <f>115500*0.5</f>
        <v>57750</v>
      </c>
      <c r="H23" s="1"/>
      <c r="I23" s="1"/>
      <c r="J23" s="1"/>
      <c r="K23" s="42"/>
      <c r="M23" s="46"/>
      <c r="N23" s="37"/>
      <c r="O23" s="173">
        <f>M23*N23</f>
        <v>0</v>
      </c>
    </row>
    <row r="24" spans="1:15" ht="16.5" customHeight="1">
      <c r="A24" s="266"/>
      <c r="B24" s="57">
        <v>55710</v>
      </c>
      <c r="C24" s="57" t="s">
        <v>96</v>
      </c>
      <c r="D24" s="1"/>
      <c r="E24" s="1"/>
      <c r="F24" s="1"/>
      <c r="G24" s="1"/>
      <c r="H24" s="1"/>
      <c r="I24" s="1"/>
      <c r="J24" s="1"/>
      <c r="K24" s="42"/>
      <c r="M24" s="46"/>
      <c r="N24" s="37"/>
      <c r="O24" s="173"/>
    </row>
    <row r="25" spans="1:15" ht="16.5" customHeight="1">
      <c r="A25" s="266"/>
      <c r="B25" s="57">
        <v>55730</v>
      </c>
      <c r="C25" s="57" t="s">
        <v>97</v>
      </c>
      <c r="D25" s="1"/>
      <c r="E25" s="1"/>
      <c r="F25" s="1"/>
      <c r="G25" s="1"/>
      <c r="H25" s="1"/>
      <c r="I25" s="1"/>
      <c r="J25" s="1"/>
      <c r="K25" s="42"/>
      <c r="M25" s="46"/>
      <c r="N25" s="37"/>
      <c r="O25" s="173">
        <f>M25*N25</f>
        <v>0</v>
      </c>
    </row>
    <row r="26" spans="1:15" ht="16.5" customHeight="1" thickBot="1">
      <c r="A26" s="268"/>
      <c r="B26" s="58" t="s">
        <v>15</v>
      </c>
      <c r="C26" s="58"/>
      <c r="D26" s="59">
        <f t="shared" ref="D26:K26" si="3">SUM(D23:D25)</f>
        <v>0</v>
      </c>
      <c r="E26" s="59">
        <f t="shared" si="3"/>
        <v>0</v>
      </c>
      <c r="F26" s="59">
        <f t="shared" si="3"/>
        <v>57750</v>
      </c>
      <c r="G26" s="59">
        <f t="shared" si="3"/>
        <v>57750</v>
      </c>
      <c r="H26" s="59">
        <f t="shared" si="3"/>
        <v>0</v>
      </c>
      <c r="I26" s="59">
        <f t="shared" si="3"/>
        <v>0</v>
      </c>
      <c r="J26" s="59">
        <f t="shared" si="3"/>
        <v>0</v>
      </c>
      <c r="K26" s="60">
        <f t="shared" si="3"/>
        <v>0</v>
      </c>
      <c r="M26" s="93">
        <f>SUM(M23:M25)</f>
        <v>0</v>
      </c>
      <c r="N26" s="175" t="s">
        <v>58</v>
      </c>
      <c r="O26" s="60">
        <f>SUM(O23:O25)</f>
        <v>0</v>
      </c>
    </row>
    <row r="27" spans="1:15" ht="16.5" customHeight="1" thickTop="1" thickBot="1">
      <c r="A27" s="72" t="s">
        <v>16</v>
      </c>
      <c r="B27" s="72"/>
      <c r="C27" s="72"/>
      <c r="D27" s="29">
        <f t="shared" ref="D27:K27" si="4">D15+D22+D26</f>
        <v>0</v>
      </c>
      <c r="E27" s="29">
        <f t="shared" si="4"/>
        <v>1323273</v>
      </c>
      <c r="F27" s="29">
        <f t="shared" si="4"/>
        <v>1304683</v>
      </c>
      <c r="G27" s="29">
        <f t="shared" si="4"/>
        <v>943558</v>
      </c>
      <c r="H27" s="29">
        <f t="shared" si="4"/>
        <v>0</v>
      </c>
      <c r="I27" s="29">
        <f t="shared" si="4"/>
        <v>0</v>
      </c>
      <c r="J27" s="29">
        <f t="shared" si="4"/>
        <v>0</v>
      </c>
      <c r="K27" s="29">
        <f t="shared" si="4"/>
        <v>1016806</v>
      </c>
      <c r="M27" s="29">
        <f>M15+M22+M26</f>
        <v>0</v>
      </c>
      <c r="N27" s="174"/>
      <c r="O27" s="29">
        <f>O15+O22+O26</f>
        <v>0</v>
      </c>
    </row>
    <row r="28" spans="1:15" ht="3.95" customHeight="1" thickTop="1">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tabSelected="1" topLeftCell="A7" zoomScaleNormal="100" workbookViewId="0">
      <selection activeCell="G23" sqref="G23"/>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4" customFormat="1" ht="16.5" customHeight="1">
      <c r="A2" s="307" t="s">
        <v>24</v>
      </c>
      <c r="B2" s="308"/>
      <c r="C2" s="319" t="str">
        <f>IF(ISBLANK('PROJECT ID|INSTRUCTIONS'!C3)," ",'PROJECT ID|INSTRUCTIONS'!C3)</f>
        <v xml:space="preserve"> </v>
      </c>
      <c r="D2" s="319"/>
      <c r="E2" s="319"/>
      <c r="F2" s="319"/>
      <c r="G2" s="319"/>
      <c r="H2" s="319"/>
      <c r="I2" s="320"/>
    </row>
    <row r="3" spans="1:12" s="64" customFormat="1" ht="16.5" customHeight="1">
      <c r="A3" s="309" t="s">
        <v>21</v>
      </c>
      <c r="B3" s="310"/>
      <c r="C3" s="321" t="str">
        <f>IF(ISBLANK('PROJECT ID|INSTRUCTIONS'!C4)," ",'PROJECT ID|INSTRUCTIONS'!C4)</f>
        <v>DDS Home and Community Based Management System</v>
      </c>
      <c r="D3" s="321"/>
      <c r="E3" s="321"/>
      <c r="F3" s="321"/>
      <c r="G3" s="321"/>
      <c r="H3" s="321"/>
      <c r="I3" s="322"/>
    </row>
    <row r="4" spans="1:12" s="64" customFormat="1" ht="16.5" customHeight="1">
      <c r="A4" s="311" t="s">
        <v>25</v>
      </c>
      <c r="B4" s="312"/>
      <c r="C4" s="258">
        <v>41521</v>
      </c>
      <c r="D4" s="258"/>
      <c r="E4" s="258"/>
      <c r="F4" s="258"/>
      <c r="G4" s="258"/>
      <c r="H4" s="258"/>
      <c r="I4" s="259"/>
    </row>
    <row r="5" spans="1:12" s="105" customFormat="1" ht="12" customHeight="1">
      <c r="A5" s="101"/>
      <c r="B5" s="101"/>
      <c r="C5" s="323">
        <v>41521</v>
      </c>
      <c r="D5" s="324"/>
      <c r="E5" s="324"/>
      <c r="F5" s="324"/>
      <c r="G5" s="324"/>
      <c r="H5" s="324"/>
      <c r="I5" s="102"/>
      <c r="J5" s="103"/>
      <c r="K5" s="104"/>
    </row>
    <row r="6" spans="1:12" s="105" customFormat="1" ht="15" customHeight="1">
      <c r="A6" s="325" t="s">
        <v>20</v>
      </c>
      <c r="B6" s="326"/>
      <c r="C6" s="326"/>
      <c r="D6" s="326"/>
      <c r="E6" s="326"/>
      <c r="F6" s="326"/>
      <c r="G6" s="326"/>
      <c r="H6" s="326"/>
      <c r="I6" s="326"/>
      <c r="J6" s="326"/>
      <c r="K6" s="326"/>
      <c r="L6" s="327"/>
    </row>
    <row r="7" spans="1:12" ht="39" customHeight="1">
      <c r="A7" s="158"/>
      <c r="B7" s="159" t="s">
        <v>20</v>
      </c>
      <c r="C7" s="160" t="s">
        <v>112</v>
      </c>
      <c r="D7" s="161" t="str">
        <f>CONCATENATE("FY ",Settings!$C$1)</f>
        <v>FY 2014</v>
      </c>
      <c r="E7" s="161" t="str">
        <f>CONCATENATE("FY ",Settings!$C$1+1)</f>
        <v>FY 2015</v>
      </c>
      <c r="F7" s="161" t="str">
        <f>CONCATENATE("FY ",Settings!$C$1+2)</f>
        <v>FY 2016</v>
      </c>
      <c r="G7" s="161" t="str">
        <f>CONCATENATE("FY ",Settings!$C$1+3)</f>
        <v>FY 2017</v>
      </c>
      <c r="H7" s="161" t="str">
        <f>CONCATENATE("FY ",Settings!$C$1+4)</f>
        <v>FY 2018</v>
      </c>
      <c r="I7" s="161" t="str">
        <f>CONCATENATE("Out Years after FY",Settings!$C$1+4)</f>
        <v>Out Years after FY2018</v>
      </c>
      <c r="J7" s="161" t="str">
        <f>CONCATENATE("Total FY",Settings!$C$1," - FY",Settings!$C$1+4)</f>
        <v>Total FY2014 - FY2018</v>
      </c>
      <c r="K7" s="161" t="str">
        <f>CONCATENATE("Total FY",Settings!$C$1," - Out Years")</f>
        <v>Total FY2014 - Out Years</v>
      </c>
      <c r="L7" s="162" t="s">
        <v>28</v>
      </c>
    </row>
    <row r="8" spans="1:12" ht="16.5" customHeight="1">
      <c r="A8" s="106"/>
      <c r="B8" s="201" t="s">
        <v>103</v>
      </c>
      <c r="C8" s="6"/>
      <c r="D8" s="6">
        <v>99492</v>
      </c>
      <c r="E8" s="6">
        <v>301050</v>
      </c>
      <c r="F8" s="6">
        <v>507264</v>
      </c>
      <c r="G8" s="6">
        <v>758933</v>
      </c>
      <c r="H8" s="6">
        <v>799808</v>
      </c>
      <c r="I8" s="117">
        <v>960306</v>
      </c>
      <c r="J8" s="116">
        <f>SUM(D8:H8)</f>
        <v>2466547</v>
      </c>
      <c r="K8" s="114">
        <f>SUM(D8:I8)</f>
        <v>3426853</v>
      </c>
      <c r="L8" s="115">
        <f>SUM(C8:I8)</f>
        <v>3426853</v>
      </c>
    </row>
    <row r="9" spans="1:12" ht="16.5" customHeight="1">
      <c r="A9" s="106"/>
      <c r="B9" s="201" t="s">
        <v>104</v>
      </c>
      <c r="C9" s="4"/>
      <c r="D9" s="4"/>
      <c r="E9" s="4"/>
      <c r="F9" s="4"/>
      <c r="G9" s="4"/>
      <c r="H9" s="4"/>
      <c r="I9" s="4"/>
      <c r="J9" s="116">
        <f t="shared" ref="J9:J18" si="0">SUM(D9:H9)</f>
        <v>0</v>
      </c>
      <c r="K9" s="114">
        <f t="shared" ref="K9:K18" si="1">SUM(D9:I9)</f>
        <v>0</v>
      </c>
      <c r="L9" s="115">
        <f t="shared" ref="L9:L18" si="2">SUM(C9:I9)</f>
        <v>0</v>
      </c>
    </row>
    <row r="10" spans="1:12" ht="16.5" customHeight="1">
      <c r="A10" s="106"/>
      <c r="B10" s="201" t="s">
        <v>105</v>
      </c>
      <c r="C10" s="4"/>
      <c r="D10" s="4"/>
      <c r="E10" s="4"/>
      <c r="F10" s="4"/>
      <c r="G10" s="4"/>
      <c r="H10" s="4"/>
      <c r="I10" s="4"/>
      <c r="J10" s="116">
        <f t="shared" si="0"/>
        <v>0</v>
      </c>
      <c r="K10" s="114">
        <f t="shared" si="1"/>
        <v>0</v>
      </c>
      <c r="L10" s="115">
        <f t="shared" si="2"/>
        <v>0</v>
      </c>
    </row>
    <row r="11" spans="1:12" ht="16.5" customHeight="1">
      <c r="A11" s="106"/>
      <c r="B11" s="107" t="s">
        <v>6</v>
      </c>
      <c r="C11" s="4"/>
      <c r="D11" s="4">
        <v>3463481</v>
      </c>
      <c r="E11" s="4">
        <f>1927214+2288282</f>
        <v>4215496</v>
      </c>
      <c r="F11" s="4">
        <f>1434984+1143705</f>
        <v>2578689</v>
      </c>
      <c r="G11" s="4">
        <f>820830+483853</f>
        <v>1304683</v>
      </c>
      <c r="H11" s="4">
        <f>473846+469712</f>
        <v>943558</v>
      </c>
      <c r="I11" s="4">
        <f>414105+602701</f>
        <v>1016806</v>
      </c>
      <c r="J11" s="116">
        <f t="shared" si="0"/>
        <v>12505907</v>
      </c>
      <c r="K11" s="114">
        <f t="shared" si="1"/>
        <v>13522713</v>
      </c>
      <c r="L11" s="115">
        <f t="shared" si="2"/>
        <v>13522713</v>
      </c>
    </row>
    <row r="12" spans="1:12" ht="16.5" customHeight="1">
      <c r="A12" s="106"/>
      <c r="B12" s="107" t="s">
        <v>7</v>
      </c>
      <c r="C12" s="5"/>
      <c r="D12" s="5"/>
      <c r="E12" s="5"/>
      <c r="F12" s="5"/>
      <c r="G12" s="5"/>
      <c r="H12" s="5"/>
      <c r="I12" s="5"/>
      <c r="J12" s="116">
        <f t="shared" si="0"/>
        <v>0</v>
      </c>
      <c r="K12" s="114">
        <f t="shared" si="1"/>
        <v>0</v>
      </c>
      <c r="L12" s="115">
        <f t="shared" si="2"/>
        <v>0</v>
      </c>
    </row>
    <row r="13" spans="1:12" ht="24" customHeight="1">
      <c r="A13" s="108"/>
      <c r="B13" s="119" t="s">
        <v>8</v>
      </c>
      <c r="C13" s="120">
        <f>'CAPITAL DEV. COSTS-THIS REQUEST'!D19</f>
        <v>0</v>
      </c>
      <c r="D13" s="120">
        <v>650507</v>
      </c>
      <c r="E13" s="120">
        <v>611900</v>
      </c>
      <c r="F13" s="120">
        <v>817499</v>
      </c>
      <c r="G13" s="120">
        <v>545750</v>
      </c>
      <c r="H13" s="120">
        <v>143750</v>
      </c>
      <c r="I13" s="120">
        <v>56500</v>
      </c>
      <c r="J13" s="116">
        <f t="shared" si="0"/>
        <v>2769406</v>
      </c>
      <c r="K13" s="114">
        <f t="shared" si="1"/>
        <v>2825906</v>
      </c>
      <c r="L13" s="115">
        <f t="shared" si="2"/>
        <v>2825906</v>
      </c>
    </row>
    <row r="14" spans="1:12" ht="16.5" customHeight="1">
      <c r="A14" s="336" t="s">
        <v>75</v>
      </c>
      <c r="B14" s="337"/>
      <c r="C14" s="6"/>
      <c r="D14" s="6"/>
      <c r="E14" s="6"/>
      <c r="F14" s="6"/>
      <c r="G14" s="6"/>
      <c r="H14" s="6"/>
      <c r="I14" s="6"/>
      <c r="J14" s="116">
        <f t="shared" si="0"/>
        <v>0</v>
      </c>
      <c r="K14" s="114">
        <f t="shared" si="1"/>
        <v>0</v>
      </c>
      <c r="L14" s="115">
        <f t="shared" si="2"/>
        <v>0</v>
      </c>
    </row>
    <row r="15" spans="1:12" ht="16.5" customHeight="1">
      <c r="A15" s="106"/>
      <c r="B15" s="8"/>
      <c r="C15" s="4"/>
      <c r="D15" s="4"/>
      <c r="E15" s="4"/>
      <c r="F15" s="4"/>
      <c r="G15" s="4"/>
      <c r="H15" s="4"/>
      <c r="I15" s="4"/>
      <c r="J15" s="116">
        <f t="shared" si="0"/>
        <v>0</v>
      </c>
      <c r="K15" s="114">
        <f t="shared" si="1"/>
        <v>0</v>
      </c>
      <c r="L15" s="115">
        <f t="shared" si="2"/>
        <v>0</v>
      </c>
    </row>
    <row r="16" spans="1:12" ht="16.5" customHeight="1">
      <c r="A16" s="106"/>
      <c r="B16" s="8"/>
      <c r="C16" s="4"/>
      <c r="D16" s="4"/>
      <c r="E16" s="4"/>
      <c r="F16" s="4"/>
      <c r="G16" s="4"/>
      <c r="H16" s="4"/>
      <c r="I16" s="4"/>
      <c r="J16" s="116">
        <f t="shared" si="0"/>
        <v>0</v>
      </c>
      <c r="K16" s="114">
        <f t="shared" si="1"/>
        <v>0</v>
      </c>
      <c r="L16" s="115">
        <f t="shared" si="2"/>
        <v>0</v>
      </c>
    </row>
    <row r="17" spans="1:12" ht="16.5" customHeight="1">
      <c r="A17" s="106"/>
      <c r="B17" s="8"/>
      <c r="C17" s="4"/>
      <c r="D17" s="4"/>
      <c r="E17" s="4"/>
      <c r="F17" s="4"/>
      <c r="G17" s="4"/>
      <c r="H17" s="4"/>
      <c r="I17" s="4"/>
      <c r="J17" s="116">
        <f t="shared" si="0"/>
        <v>0</v>
      </c>
      <c r="K17" s="114">
        <f t="shared" si="1"/>
        <v>0</v>
      </c>
      <c r="L17" s="115">
        <f t="shared" si="2"/>
        <v>0</v>
      </c>
    </row>
    <row r="18" spans="1:12" ht="16.5" customHeight="1" thickBot="1">
      <c r="A18" s="106"/>
      <c r="B18" s="10"/>
      <c r="C18" s="5"/>
      <c r="D18" s="5"/>
      <c r="E18" s="5"/>
      <c r="F18" s="5"/>
      <c r="G18" s="5"/>
      <c r="H18" s="5"/>
      <c r="I18" s="118"/>
      <c r="J18" s="116">
        <f t="shared" si="0"/>
        <v>0</v>
      </c>
      <c r="K18" s="114">
        <f t="shared" si="1"/>
        <v>0</v>
      </c>
      <c r="L18" s="115">
        <f t="shared" si="2"/>
        <v>0</v>
      </c>
    </row>
    <row r="19" spans="1:12" ht="16.5" customHeight="1" thickTop="1" thickBot="1">
      <c r="A19" s="335" t="s">
        <v>39</v>
      </c>
      <c r="B19" s="335"/>
      <c r="C19" s="11">
        <f t="shared" ref="C19:L19" si="3">SUM(C8:C18)</f>
        <v>0</v>
      </c>
      <c r="D19" s="11">
        <f t="shared" si="3"/>
        <v>4213480</v>
      </c>
      <c r="E19" s="11">
        <f t="shared" si="3"/>
        <v>5128446</v>
      </c>
      <c r="F19" s="11">
        <f t="shared" si="3"/>
        <v>3903452</v>
      </c>
      <c r="G19" s="11">
        <f t="shared" si="3"/>
        <v>2609366</v>
      </c>
      <c r="H19" s="11">
        <f t="shared" si="3"/>
        <v>1887116</v>
      </c>
      <c r="I19" s="11">
        <f t="shared" si="3"/>
        <v>2033612</v>
      </c>
      <c r="J19" s="11">
        <f>SUM(J8:J18)</f>
        <v>17741860</v>
      </c>
      <c r="K19" s="11">
        <f t="shared" si="3"/>
        <v>19775472</v>
      </c>
      <c r="L19" s="11">
        <f t="shared" si="3"/>
        <v>19775472</v>
      </c>
    </row>
    <row r="20" spans="1:12" ht="12.6" customHeight="1" thickTop="1">
      <c r="A20" s="109"/>
      <c r="B20" s="110"/>
      <c r="C20" s="111"/>
      <c r="D20" s="111"/>
      <c r="E20" s="111"/>
      <c r="F20" s="111"/>
      <c r="G20" s="111"/>
      <c r="H20" s="111"/>
      <c r="I20" s="111"/>
    </row>
    <row r="21" spans="1:12" ht="26.25" customHeight="1">
      <c r="A21" s="328" t="s">
        <v>38</v>
      </c>
      <c r="B21" s="329"/>
      <c r="C21" s="7">
        <f>'TOTAL DEVELOPMENT COSTS'!D23</f>
        <v>0</v>
      </c>
      <c r="D21" s="7">
        <f>'TOTAL DEVELOPMENT COSTS'!E23</f>
        <v>4213480</v>
      </c>
      <c r="E21" s="7">
        <f>'TOTAL DEVELOPMENT COSTS'!F23</f>
        <v>5128446</v>
      </c>
      <c r="F21" s="7">
        <f>'TOTAL DEVELOPMENT COSTS'!G23</f>
        <v>3903452</v>
      </c>
      <c r="G21" s="7">
        <f>'TOTAL DEVELOPMENT COSTS'!H23</f>
        <v>2609366</v>
      </c>
      <c r="H21" s="7">
        <f>'TOTAL DEVELOPMENT COSTS'!I23</f>
        <v>1887116</v>
      </c>
      <c r="I21" s="7">
        <f>'TOTAL DEVELOPMENT COSTS'!J23</f>
        <v>2033612</v>
      </c>
    </row>
    <row r="22" spans="1:12" s="112" customFormat="1" ht="8.25" customHeight="1">
      <c r="A22" s="109"/>
      <c r="B22" s="110"/>
      <c r="C22" s="111"/>
      <c r="D22" s="111"/>
      <c r="E22" s="111"/>
      <c r="F22" s="111"/>
      <c r="G22" s="111"/>
      <c r="H22" s="111"/>
      <c r="I22" s="111"/>
      <c r="L22" s="113"/>
    </row>
    <row r="23" spans="1:12" ht="37.5" customHeight="1" thickBot="1">
      <c r="A23" s="330" t="s">
        <v>76</v>
      </c>
      <c r="B23" s="331"/>
      <c r="C23" s="175"/>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2" t="str">
        <f>IF(AND(D23=0,E23=0,F23=0,G23=0,H23=0,I23=0),"","Total Funding Source Must Equal Total Development Cost")</f>
        <v/>
      </c>
      <c r="D25" s="333"/>
      <c r="E25" s="333"/>
      <c r="F25" s="333"/>
      <c r="G25" s="333"/>
      <c r="H25" s="333"/>
      <c r="I25" s="334"/>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2" priority="1" stopIfTrue="1" operator="notEqual">
      <formula>""</formula>
    </cfRule>
  </conditionalFormatting>
  <conditionalFormatting sqref="C23:I23">
    <cfRule type="cellIs" dxfId="1"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E12" sqref="E12"/>
    </sheetView>
  </sheetViews>
  <sheetFormatPr defaultRowHeight="10.5"/>
  <cols>
    <col min="2" max="2" width="23.85546875" bestFit="1" customWidth="1"/>
  </cols>
  <sheetData>
    <row r="1" spans="2:3">
      <c r="B1" t="s">
        <v>40</v>
      </c>
      <c r="C1">
        <v>2014</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EF41D216210A4D9D6E06D8DF35F642" ma:contentTypeVersion="0" ma:contentTypeDescription="Create a new document." ma:contentTypeScope="" ma:versionID="b8558946070295f4591f785d52f199e9">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8E2E4-EF41-480F-B67F-4997352FC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2DD240B-0415-4EB4-902E-A4C072EC85DC}">
  <ds:schemaRef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5F2391AC-3F69-4BD9-92E9-F4E0DBF033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2013-09-06T15:49:42Z</cp:lastPrinted>
  <dcterms:created xsi:type="dcterms:W3CDTF">2009-11-16T15:45:40Z</dcterms:created>
  <dcterms:modified xsi:type="dcterms:W3CDTF">2013-09-09T12:42:41Z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0x0101008CEF41D216210A4D9D6E06D8DF35F642</vt:lpwstr>
  </property>
</Properties>
</file>