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000 Kathy T\0000COVID POSTINGs\CRF Web Pages\CRF Muni Page\CRF Muni Attachments for Web\"/>
    </mc:Choice>
  </mc:AlternateContent>
  <xr:revisionPtr revIDLastSave="0" documentId="8_{6DCA678B-6C1F-4D91-A9A3-9BA906AE7E65}" xr6:coauthVersionLast="45" xr6:coauthVersionMax="45" xr10:uidLastSave="{00000000-0000-0000-0000-000000000000}"/>
  <bookViews>
    <workbookView xWindow="1536" yWindow="1536" windowWidth="17280" windowHeight="8964" activeTab="1" xr2:uid="{9CC33C5C-5B16-4931-BAB3-230CCE3E7B45}"/>
  </bookViews>
  <sheets>
    <sheet name="REPORT" sheetId="204" r:id="rId1"/>
    <sheet name="CRF AMOUNTS" sheetId="216" r:id="rId2"/>
    <sheet name="REVENUE SUMMARY" sheetId="1" r:id="rId3"/>
    <sheet name="EXPENSE SUMMARY" sheetId="203" r:id="rId4"/>
    <sheet name="Andover" sheetId="2" r:id="rId5"/>
    <sheet name="Ansonia" sheetId="141" r:id="rId6"/>
    <sheet name="Ansonisa w BOE" sheetId="215" r:id="rId7"/>
    <sheet name="Ashford" sheetId="3" r:id="rId8"/>
    <sheet name="Avon" sheetId="4" r:id="rId9"/>
    <sheet name="Barkhamsted" sheetId="5" r:id="rId10"/>
    <sheet name="Beacon Falls" sheetId="6" r:id="rId11"/>
    <sheet name="Berlin" sheetId="7" r:id="rId12"/>
    <sheet name="Bethany" sheetId="142" r:id="rId13"/>
    <sheet name="Bethel" sheetId="8" r:id="rId14"/>
    <sheet name="Bethlehem" sheetId="9" r:id="rId15"/>
    <sheet name="Bloomfield" sheetId="10" r:id="rId16"/>
    <sheet name="Bolton" sheetId="143" r:id="rId17"/>
    <sheet name="Bozrah" sheetId="144" r:id="rId18"/>
    <sheet name="Branford" sheetId="11" r:id="rId19"/>
    <sheet name="Branford BOE" sheetId="12" r:id="rId20"/>
    <sheet name="Bridgeport" sheetId="13" r:id="rId21"/>
    <sheet name="Bridgewater" sheetId="145" r:id="rId22"/>
    <sheet name="Bristol" sheetId="14" r:id="rId23"/>
    <sheet name="Brookfield" sheetId="15" r:id="rId24"/>
    <sheet name="Brooklyn" sheetId="146" r:id="rId25"/>
    <sheet name="Brookyn BOE" sheetId="210" r:id="rId26"/>
    <sheet name="Burlington" sheetId="16" r:id="rId27"/>
    <sheet name="Canaan" sheetId="147" r:id="rId28"/>
    <sheet name="Canterbury" sheetId="148" r:id="rId29"/>
    <sheet name="Canton" sheetId="17" r:id="rId30"/>
    <sheet name="Chaplin" sheetId="149" r:id="rId31"/>
    <sheet name="Cheshire" sheetId="29" r:id="rId32"/>
    <sheet name="Chester" sheetId="30" r:id="rId33"/>
    <sheet name="Clinton" sheetId="31" r:id="rId34"/>
    <sheet name="Clinton BOE" sheetId="33" r:id="rId35"/>
    <sheet name="Colchester" sheetId="150" r:id="rId36"/>
    <sheet name="Colebrook" sheetId="34" r:id="rId37"/>
    <sheet name="Columbia" sheetId="35" r:id="rId38"/>
    <sheet name="Cornwall" sheetId="36" r:id="rId39"/>
    <sheet name="Coventry" sheetId="37" r:id="rId40"/>
    <sheet name="Cromwell" sheetId="38" r:id="rId41"/>
    <sheet name="Danbury" sheetId="39" r:id="rId42"/>
    <sheet name="Danbury with BOE" sheetId="211" r:id="rId43"/>
    <sheet name="Darien" sheetId="200" r:id="rId44"/>
    <sheet name="Deep River" sheetId="40" r:id="rId45"/>
    <sheet name="Derby" sheetId="151" r:id="rId46"/>
    <sheet name="Durham" sheetId="41" r:id="rId47"/>
    <sheet name="Eastford" sheetId="152" r:id="rId48"/>
    <sheet name="East Granby" sheetId="42" r:id="rId49"/>
    <sheet name="East Granby BOE" sheetId="43" r:id="rId50"/>
    <sheet name="East Haddam" sheetId="153" r:id="rId51"/>
    <sheet name="East Hampton" sheetId="154" r:id="rId52"/>
    <sheet name="East Hartford" sheetId="44" r:id="rId53"/>
    <sheet name="East Haven" sheetId="45" r:id="rId54"/>
    <sheet name="East Lyme" sheetId="155" r:id="rId55"/>
    <sheet name="Easton" sheetId="156" r:id="rId56"/>
    <sheet name="East Windsor" sheetId="157" r:id="rId57"/>
    <sheet name="Ellington" sheetId="46" r:id="rId58"/>
    <sheet name="Ellington BOE" sheetId="47" r:id="rId59"/>
    <sheet name="Enfield" sheetId="158" r:id="rId60"/>
    <sheet name="Essex" sheetId="48" r:id="rId61"/>
    <sheet name="Fairfield" sheetId="49" r:id="rId62"/>
    <sheet name="Farmington" sheetId="159" r:id="rId63"/>
    <sheet name="Franklin" sheetId="160" r:id="rId64"/>
    <sheet name="Franklin BOE" sheetId="217" r:id="rId65"/>
    <sheet name="Glastonbury" sheetId="50" r:id="rId66"/>
    <sheet name="Goshen" sheetId="161" r:id="rId67"/>
    <sheet name="Granby" sheetId="51" r:id="rId68"/>
    <sheet name="Greenwich" sheetId="52" r:id="rId69"/>
    <sheet name="Greenwich N. Witherell" sheetId="206" r:id="rId70"/>
    <sheet name="Griswold" sheetId="53" r:id="rId71"/>
    <sheet name="Griswold BOE" sheetId="54" r:id="rId72"/>
    <sheet name="Groton" sheetId="55" r:id="rId73"/>
    <sheet name="Groton City" sheetId="56" r:id="rId74"/>
    <sheet name="Guilford" sheetId="57" r:id="rId75"/>
    <sheet name="Haddam" sheetId="162" r:id="rId76"/>
    <sheet name="Hamden" sheetId="169" r:id="rId77"/>
    <sheet name="Hampton" sheetId="58" r:id="rId78"/>
    <sheet name="Hampton BOE" sheetId="59" r:id="rId79"/>
    <sheet name="Hartford" sheetId="163" r:id="rId80"/>
    <sheet name="Hartland" sheetId="60" r:id="rId81"/>
    <sheet name="Harwinton" sheetId="164" r:id="rId82"/>
    <sheet name="Hebron" sheetId="61" r:id="rId83"/>
    <sheet name="Kent" sheetId="165" r:id="rId84"/>
    <sheet name="Killingly" sheetId="166" r:id="rId85"/>
    <sheet name="Killingworth" sheetId="167" r:id="rId86"/>
    <sheet name="Lebanon" sheetId="168" r:id="rId87"/>
    <sheet name="Ledyard" sheetId="62" r:id="rId88"/>
    <sheet name="Ledyard BOE" sheetId="63" r:id="rId89"/>
    <sheet name="Lisbon" sheetId="64" r:id="rId90"/>
    <sheet name="Lisbon BOE" sheetId="65" r:id="rId91"/>
    <sheet name="Litchfield" sheetId="66" r:id="rId92"/>
    <sheet name="Lyme" sheetId="67" r:id="rId93"/>
    <sheet name="Lyme Old Lyme Reg 18" sheetId="209" r:id="rId94"/>
    <sheet name="Madison" sheetId="68" r:id="rId95"/>
    <sheet name="Manchester" sheetId="69" r:id="rId96"/>
    <sheet name="Mansfield" sheetId="70" r:id="rId97"/>
    <sheet name="Marlborough" sheetId="170" r:id="rId98"/>
    <sheet name="Meriden" sheetId="171" r:id="rId99"/>
    <sheet name="Meriden with BOE" sheetId="213" r:id="rId100"/>
    <sheet name="Middlebury" sheetId="71" r:id="rId101"/>
    <sheet name="Middlefield" sheetId="72" r:id="rId102"/>
    <sheet name="Middletown" sheetId="73" r:id="rId103"/>
    <sheet name="Milford" sheetId="74" r:id="rId104"/>
    <sheet name="Milford BOE" sheetId="75" r:id="rId105"/>
    <sheet name="Monroe" sheetId="76" r:id="rId106"/>
    <sheet name="Montville" sheetId="77" r:id="rId107"/>
    <sheet name="Montville BOE" sheetId="78" r:id="rId108"/>
    <sheet name="Morris" sheetId="172" r:id="rId109"/>
    <sheet name="Naugatuck" sheetId="173" r:id="rId110"/>
    <sheet name="New Britain" sheetId="79" r:id="rId111"/>
    <sheet name="New Canaan" sheetId="174" r:id="rId112"/>
    <sheet name="New Fairfield" sheetId="80" r:id="rId113"/>
    <sheet name="New Hartford" sheetId="175" r:id="rId114"/>
    <sheet name="New Haven" sheetId="176" r:id="rId115"/>
    <sheet name="Newington" sheetId="82" r:id="rId116"/>
    <sheet name="New London" sheetId="178" r:id="rId117"/>
    <sheet name="New Milford" sheetId="81" r:id="rId118"/>
    <sheet name="Newtown" sheetId="83" r:id="rId119"/>
    <sheet name="Norfolk" sheetId="179" r:id="rId120"/>
    <sheet name="North Branford" sheetId="180" r:id="rId121"/>
    <sheet name="North Canaan" sheetId="181" r:id="rId122"/>
    <sheet name="North Haven" sheetId="182" r:id="rId123"/>
    <sheet name="North Stonington" sheetId="84" r:id="rId124"/>
    <sheet name="Norwalk" sheetId="85" r:id="rId125"/>
    <sheet name="Norwich" sheetId="86" r:id="rId126"/>
    <sheet name="Old Lyme" sheetId="183" r:id="rId127"/>
    <sheet name="Old Saybrook" sheetId="184" r:id="rId128"/>
    <sheet name="Orange" sheetId="87" r:id="rId129"/>
    <sheet name="Oxford" sheetId="88" r:id="rId130"/>
    <sheet name="Plainfield" sheetId="89" r:id="rId131"/>
    <sheet name="Plainfield BOE" sheetId="90" r:id="rId132"/>
    <sheet name="Plainville" sheetId="91" r:id="rId133"/>
    <sheet name="Plymouth" sheetId="185" r:id="rId134"/>
    <sheet name="Pomfret" sheetId="92" r:id="rId135"/>
    <sheet name="Portland" sheetId="93" r:id="rId136"/>
    <sheet name="Preston" sheetId="94" r:id="rId137"/>
    <sheet name="Prospect" sheetId="186" r:id="rId138"/>
    <sheet name="Putnam" sheetId="201" r:id="rId139"/>
    <sheet name="Putnam BOE" sheetId="214" r:id="rId140"/>
    <sheet name="Redding" sheetId="202" r:id="rId141"/>
    <sheet name="Ridgefield" sheetId="95" r:id="rId142"/>
    <sheet name="Rocky Hill" sheetId="96" r:id="rId143"/>
    <sheet name="Rocky Hill BOE" sheetId="97" r:id="rId144"/>
    <sheet name="Roxbury" sheetId="98" r:id="rId145"/>
    <sheet name="Salem" sheetId="187" r:id="rId146"/>
    <sheet name="Salisbury" sheetId="188" r:id="rId147"/>
    <sheet name="Scotland " sheetId="100" r:id="rId148"/>
    <sheet name="Seymour" sheetId="189" r:id="rId149"/>
    <sheet name="Sharon" sheetId="101" r:id="rId150"/>
    <sheet name="Shelton" sheetId="102" r:id="rId151"/>
    <sheet name="Sherman" sheetId="103" r:id="rId152"/>
    <sheet name="Simsbury" sheetId="104" r:id="rId153"/>
    <sheet name="Somers" sheetId="105" r:id="rId154"/>
    <sheet name="Southbury" sheetId="190" r:id="rId155"/>
    <sheet name="Southington" sheetId="191" r:id="rId156"/>
    <sheet name="South Windsor" sheetId="106" r:id="rId157"/>
    <sheet name="Sprague" sheetId="107" r:id="rId158"/>
    <sheet name="Stafford" sheetId="108" r:id="rId159"/>
    <sheet name="Stamford" sheetId="109" r:id="rId160"/>
    <sheet name="Sterling" sheetId="192" r:id="rId161"/>
    <sheet name="Stonington" sheetId="110" r:id="rId162"/>
    <sheet name="Stratford" sheetId="125" r:id="rId163"/>
    <sheet name="Stratford BOE" sheetId="205" r:id="rId164"/>
    <sheet name="Suffield" sheetId="111" r:id="rId165"/>
    <sheet name="Thomaston" sheetId="112" r:id="rId166"/>
    <sheet name="Thomaston BOE " sheetId="113" r:id="rId167"/>
    <sheet name="Thompson" sheetId="114" r:id="rId168"/>
    <sheet name="Tolland" sheetId="115" r:id="rId169"/>
    <sheet name="Torrington" sheetId="116" r:id="rId170"/>
    <sheet name="Torrington BOE" sheetId="117" r:id="rId171"/>
    <sheet name="Trumbull" sheetId="118" r:id="rId172"/>
    <sheet name="Trumbull BOE" sheetId="212" r:id="rId173"/>
    <sheet name="Union" sheetId="119" r:id="rId174"/>
    <sheet name="Vernon" sheetId="120" r:id="rId175"/>
    <sheet name="Voluntown" sheetId="121" r:id="rId176"/>
    <sheet name="Wallingford " sheetId="122" r:id="rId177"/>
    <sheet name="Warren" sheetId="193" r:id="rId178"/>
    <sheet name="Washington" sheetId="123" r:id="rId179"/>
    <sheet name="Waterbury" sheetId="124" r:id="rId180"/>
    <sheet name="Waterbury BOE Food" sheetId="126" r:id="rId181"/>
    <sheet name="Waterford" sheetId="127" r:id="rId182"/>
    <sheet name="Watertown" sheetId="194" r:id="rId183"/>
    <sheet name="Westbrook" sheetId="129" r:id="rId184"/>
    <sheet name="West Hartford" sheetId="128" r:id="rId185"/>
    <sheet name="West Hartford BOE" sheetId="207" r:id="rId186"/>
    <sheet name="West Haven" sheetId="195" r:id="rId187"/>
    <sheet name="Weston" sheetId="130" r:id="rId188"/>
    <sheet name="Westport" sheetId="197" r:id="rId189"/>
    <sheet name="Wethersfield" sheetId="198" r:id="rId190"/>
    <sheet name="Willington" sheetId="131" r:id="rId191"/>
    <sheet name="Wilton" sheetId="132" r:id="rId192"/>
    <sheet name="Winchester" sheetId="133" r:id="rId193"/>
    <sheet name="Windham" sheetId="134" r:id="rId194"/>
    <sheet name="Windsor" sheetId="199" r:id="rId195"/>
    <sheet name="Windsor Locks" sheetId="135" r:id="rId196"/>
    <sheet name="Wolcott" sheetId="136" r:id="rId197"/>
    <sheet name="Wolcott BOE" sheetId="137" r:id="rId198"/>
    <sheet name="Woodbridge" sheetId="138" r:id="rId199"/>
    <sheet name="Woodbury" sheetId="139" r:id="rId200"/>
    <sheet name="Woodstock" sheetId="140" r:id="rId201"/>
    <sheet name="BLANK FORM" sheetId="208" r:id="rId202"/>
  </sheets>
  <externalReferences>
    <externalReference r:id="rId203"/>
    <externalReference r:id="rId204"/>
    <externalReference r:id="rId205"/>
    <externalReference r:id="rId206"/>
  </externalReferences>
  <definedNames>
    <definedName name="_xlnm.Print_Titles" localSheetId="1">'CRF AMOUNTS'!$1:$1</definedName>
    <definedName name="_xlnm.Print_Titles" localSheetId="3">'EXPENSE SUMMARY'!$1:$1</definedName>
    <definedName name="_xlnm.Print_Titles" localSheetId="0">REPORT!$1:$1</definedName>
    <definedName name="_xlnm.Print_Titles" localSheetId="2">'REVENUE SUMMARY'!$1:$1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149" l="1"/>
  <c r="B28" i="149"/>
  <c r="C33" i="55" l="1"/>
  <c r="B33" i="55"/>
  <c r="C31" i="16" l="1"/>
  <c r="C29" i="193" l="1"/>
  <c r="B29" i="193"/>
  <c r="C12" i="193"/>
  <c r="B23" i="197" l="1"/>
  <c r="C23" i="197" s="1"/>
  <c r="B22" i="197"/>
  <c r="C22" i="197" s="1"/>
  <c r="B21" i="197"/>
  <c r="C21" i="197" s="1"/>
  <c r="B20" i="197"/>
  <c r="C20" i="197" s="1"/>
  <c r="B17" i="197"/>
  <c r="C17" i="197" s="1"/>
  <c r="B16" i="197"/>
  <c r="C16" i="197" s="1"/>
  <c r="C32" i="197" s="1"/>
  <c r="B15" i="197"/>
  <c r="B9" i="197"/>
  <c r="B7" i="197"/>
  <c r="C11" i="197" s="1"/>
  <c r="B28" i="197" l="1"/>
  <c r="C15" i="197"/>
  <c r="C31" i="197" l="1"/>
  <c r="C28" i="197"/>
  <c r="D31" i="197" l="1"/>
  <c r="D33" i="197" s="1"/>
  <c r="C33" i="197"/>
  <c r="E33" i="197" s="1"/>
  <c r="D171" i="216" l="1"/>
  <c r="C171" i="216"/>
  <c r="E60" i="180"/>
  <c r="B22" i="180" s="1"/>
  <c r="D60" i="180"/>
  <c r="E51" i="180"/>
  <c r="B21" i="180" s="1"/>
  <c r="D51" i="180"/>
  <c r="E44" i="180"/>
  <c r="D44" i="180"/>
  <c r="E35" i="180"/>
  <c r="B15" i="180" s="1"/>
  <c r="D35" i="180"/>
  <c r="D63" i="180" s="1"/>
  <c r="C28" i="180"/>
  <c r="B16" i="180"/>
  <c r="C11" i="180"/>
  <c r="B2" i="180"/>
  <c r="B28" i="180" l="1"/>
  <c r="E63" i="180"/>
  <c r="C34" i="93" l="1"/>
  <c r="C33" i="160" l="1"/>
  <c r="B33" i="160"/>
  <c r="C12" i="160"/>
  <c r="C33" i="217" l="1"/>
  <c r="B33" i="217"/>
  <c r="C12" i="217"/>
  <c r="C21" i="73" l="1"/>
  <c r="B21" i="73"/>
  <c r="C20" i="73"/>
  <c r="B20" i="73"/>
  <c r="E19" i="73"/>
  <c r="C19" i="73"/>
  <c r="B19" i="73"/>
  <c r="E18" i="73"/>
  <c r="C18" i="73"/>
  <c r="B18" i="73"/>
  <c r="C17" i="73"/>
  <c r="B17" i="73"/>
  <c r="E16" i="73"/>
  <c r="C16" i="73"/>
  <c r="B16" i="73"/>
  <c r="C15" i="73"/>
  <c r="B15" i="73"/>
  <c r="C12" i="73"/>
  <c r="C28" i="73" l="1"/>
  <c r="C32" i="73" s="1"/>
  <c r="B28" i="73"/>
  <c r="B32" i="73" s="1"/>
  <c r="C26" i="122"/>
  <c r="B29" i="166" l="1"/>
  <c r="C27" i="166"/>
  <c r="C22" i="166"/>
  <c r="C21" i="166"/>
  <c r="C17" i="166"/>
  <c r="C16" i="166"/>
  <c r="C12" i="166"/>
  <c r="B2" i="166"/>
  <c r="C29" i="166" l="1"/>
  <c r="C34" i="166" s="1"/>
  <c r="C29" i="186"/>
  <c r="B29" i="186"/>
  <c r="C12" i="186"/>
  <c r="C31" i="91" l="1"/>
  <c r="C29" i="30" l="1"/>
  <c r="B29" i="30"/>
  <c r="C12" i="30"/>
  <c r="B2" i="30" s="1"/>
  <c r="C33" i="38" l="1"/>
  <c r="C32" i="7"/>
  <c r="C33" i="88"/>
  <c r="C33" i="17" l="1"/>
  <c r="C32" i="44" l="1"/>
  <c r="C35" i="109" l="1"/>
  <c r="C36" i="109" s="1"/>
  <c r="D47" i="191"/>
  <c r="C32" i="103"/>
  <c r="C31" i="95"/>
  <c r="C31" i="68"/>
  <c r="C31" i="57"/>
  <c r="C21" i="49"/>
  <c r="C28" i="49" s="1"/>
  <c r="B21" i="49"/>
  <c r="B20" i="49"/>
  <c r="B15" i="49"/>
  <c r="B28" i="49" s="1"/>
  <c r="C11" i="49"/>
  <c r="B2" i="49" s="1"/>
  <c r="C33" i="13" l="1"/>
  <c r="C30" i="9"/>
  <c r="C28" i="131" l="1"/>
  <c r="C26" i="131"/>
  <c r="C25" i="131"/>
  <c r="C24" i="131"/>
  <c r="C23" i="131"/>
  <c r="C22" i="131"/>
  <c r="B20" i="131"/>
  <c r="B29" i="131" s="1"/>
  <c r="C19" i="131"/>
  <c r="C18" i="131"/>
  <c r="C17" i="131"/>
  <c r="C16" i="131"/>
  <c r="C15" i="131"/>
  <c r="C11" i="131"/>
  <c r="C20" i="131" l="1"/>
  <c r="C29" i="131" s="1"/>
  <c r="C28" i="181" l="1"/>
  <c r="B28" i="181"/>
  <c r="C11" i="181"/>
  <c r="C30" i="169" l="1"/>
  <c r="C24" i="215" l="1"/>
  <c r="C29" i="215" s="1"/>
  <c r="B24" i="215"/>
  <c r="B16" i="215"/>
  <c r="B29" i="215" s="1"/>
  <c r="C12" i="215"/>
  <c r="B2" i="215"/>
  <c r="C23" i="115" l="1"/>
  <c r="B22" i="115"/>
  <c r="B21" i="115"/>
  <c r="C17" i="115"/>
  <c r="B17" i="115"/>
  <c r="C16" i="115"/>
  <c r="B16" i="115"/>
  <c r="B28" i="115" s="1"/>
  <c r="C15" i="115"/>
  <c r="C28" i="115" s="1"/>
  <c r="B15" i="115"/>
  <c r="C11" i="115"/>
  <c r="C29" i="172" l="1"/>
  <c r="B29" i="172"/>
  <c r="C12" i="172"/>
  <c r="C29" i="174" l="1"/>
  <c r="B29" i="174"/>
  <c r="C12" i="174"/>
  <c r="C29" i="187" l="1"/>
  <c r="B29" i="187"/>
  <c r="C12" i="187"/>
  <c r="H2" i="187"/>
  <c r="B2" i="187"/>
  <c r="C198" i="203" l="1"/>
  <c r="C28" i="167" l="1"/>
  <c r="B21" i="167"/>
  <c r="B18" i="167"/>
  <c r="B16" i="167"/>
  <c r="B15" i="167"/>
  <c r="B28" i="167" s="1"/>
  <c r="C11" i="167"/>
  <c r="C29" i="64" l="1"/>
  <c r="B29" i="64"/>
  <c r="C12" i="64"/>
  <c r="D26" i="214" l="1"/>
  <c r="D18" i="214"/>
  <c r="D28" i="214" s="1"/>
  <c r="C29" i="213" l="1"/>
  <c r="B22" i="213"/>
  <c r="B21" i="213"/>
  <c r="B19" i="213"/>
  <c r="B16" i="213"/>
  <c r="C12" i="213"/>
  <c r="B29" i="213" l="1"/>
  <c r="C29" i="201"/>
  <c r="B29" i="201"/>
  <c r="C12" i="201"/>
  <c r="B28" i="195" l="1"/>
  <c r="C27" i="195"/>
  <c r="C26" i="195"/>
  <c r="C25" i="195"/>
  <c r="C24" i="195"/>
  <c r="C23" i="195"/>
  <c r="C22" i="195"/>
  <c r="C21" i="195"/>
  <c r="C20" i="195"/>
  <c r="C19" i="195"/>
  <c r="C18" i="195"/>
  <c r="C17" i="195"/>
  <c r="C16" i="195"/>
  <c r="C15" i="195"/>
  <c r="C28" i="195" s="1"/>
  <c r="C11" i="195"/>
  <c r="B31" i="168" l="1"/>
  <c r="C24" i="168"/>
  <c r="C18" i="168"/>
  <c r="C31" i="168" s="1"/>
  <c r="C14" i="168"/>
  <c r="B2" i="168" s="1"/>
  <c r="C29" i="173" l="1"/>
  <c r="C32" i="173" s="1"/>
  <c r="B29" i="173"/>
  <c r="C12" i="173"/>
  <c r="B29" i="170" l="1"/>
  <c r="C21" i="170"/>
  <c r="C17" i="170"/>
  <c r="C29" i="170" s="1"/>
  <c r="C16" i="170"/>
  <c r="C12" i="170"/>
  <c r="B2" i="170"/>
  <c r="C29" i="144" l="1"/>
  <c r="B29" i="144"/>
  <c r="C12" i="144"/>
  <c r="C29" i="147" l="1"/>
  <c r="B29" i="147"/>
  <c r="C12" i="147"/>
  <c r="B29" i="179" l="1"/>
  <c r="C24" i="179"/>
  <c r="C23" i="179"/>
  <c r="C19" i="179"/>
  <c r="C17" i="179"/>
  <c r="C16" i="179"/>
  <c r="C29" i="179" s="1"/>
  <c r="C12" i="179"/>
  <c r="B22" i="129" l="1"/>
  <c r="C22" i="129" s="1"/>
  <c r="C21" i="129"/>
  <c r="C19" i="129"/>
  <c r="C18" i="129"/>
  <c r="B17" i="129"/>
  <c r="B29" i="129" s="1"/>
  <c r="C16" i="129"/>
  <c r="B16" i="129"/>
  <c r="C12" i="129"/>
  <c r="B2" i="129"/>
  <c r="C17" i="129" l="1"/>
  <c r="C29" i="129" s="1"/>
  <c r="C23" i="163" l="1"/>
  <c r="B23" i="163"/>
  <c r="D23" i="163" s="1"/>
  <c r="C22" i="163"/>
  <c r="B22" i="163"/>
  <c r="D22" i="163" s="1"/>
  <c r="C21" i="163"/>
  <c r="B21" i="163"/>
  <c r="D21" i="163" s="1"/>
  <c r="C20" i="163"/>
  <c r="B20" i="163"/>
  <c r="D20" i="163" s="1"/>
  <c r="C19" i="163"/>
  <c r="B19" i="163"/>
  <c r="D19" i="163" s="1"/>
  <c r="C18" i="163"/>
  <c r="C30" i="163" s="1"/>
  <c r="B18" i="163"/>
  <c r="D18" i="163" s="1"/>
  <c r="D17" i="163"/>
  <c r="C17" i="163"/>
  <c r="B17" i="163"/>
  <c r="B12" i="163"/>
  <c r="B11" i="163"/>
  <c r="C13" i="163" s="1"/>
  <c r="D30" i="163" l="1"/>
  <c r="D33" i="163" s="1"/>
  <c r="B30" i="163"/>
  <c r="C29" i="154" l="1"/>
  <c r="B22" i="154"/>
  <c r="B17" i="154"/>
  <c r="B16" i="154"/>
  <c r="B29" i="154" s="1"/>
  <c r="C31" i="154" s="1"/>
  <c r="C12" i="154"/>
  <c r="C29" i="176" l="1"/>
  <c r="C32" i="176" s="1"/>
  <c r="B29" i="176"/>
  <c r="C12" i="176"/>
  <c r="C35" i="150" l="1"/>
  <c r="B35" i="150"/>
  <c r="C17" i="150"/>
  <c r="B2" i="150" s="1"/>
  <c r="C28" i="152" l="1"/>
  <c r="B28" i="152"/>
  <c r="C11" i="152"/>
  <c r="B24" i="183" l="1"/>
  <c r="B22" i="183"/>
  <c r="B21" i="183"/>
  <c r="C16" i="183"/>
  <c r="C29" i="183" s="1"/>
  <c r="B16" i="183"/>
  <c r="B29" i="183" s="1"/>
  <c r="C12" i="183"/>
  <c r="C29" i="157" l="1"/>
  <c r="B24" i="157"/>
  <c r="B23" i="157"/>
  <c r="B18" i="157"/>
  <c r="B29" i="157"/>
  <c r="C12" i="157"/>
  <c r="D2" i="157"/>
  <c r="C29" i="212" l="1"/>
  <c r="B29" i="212"/>
  <c r="C12" i="212"/>
  <c r="C29" i="118" l="1"/>
  <c r="B29" i="118"/>
  <c r="C12" i="118"/>
  <c r="C29" i="141" l="1"/>
  <c r="B29" i="141"/>
  <c r="C12" i="141"/>
  <c r="B2" i="141" s="1"/>
  <c r="C44" i="143" l="1"/>
  <c r="C47" i="143" s="1"/>
  <c r="B44" i="143"/>
  <c r="C45" i="143" s="1"/>
  <c r="C28" i="143"/>
  <c r="B28" i="143"/>
  <c r="C12" i="143"/>
  <c r="B47" i="143" l="1"/>
  <c r="C28" i="156"/>
  <c r="B28" i="156"/>
  <c r="C29" i="156" s="1"/>
  <c r="C11" i="156"/>
  <c r="C28" i="194" l="1"/>
  <c r="B28" i="194"/>
  <c r="C11" i="194"/>
  <c r="C29" i="164" l="1"/>
  <c r="B22" i="164"/>
  <c r="B21" i="164"/>
  <c r="B29" i="164" s="1"/>
  <c r="B17" i="164"/>
  <c r="B16" i="164"/>
  <c r="C12" i="164"/>
  <c r="H2" i="164"/>
  <c r="B21" i="142" l="1"/>
  <c r="B28" i="142" s="1"/>
  <c r="C29" i="142" s="1"/>
  <c r="C16" i="142"/>
  <c r="C28" i="142" s="1"/>
  <c r="C11" i="142"/>
  <c r="B2" i="142"/>
  <c r="C29" i="188" l="1"/>
  <c r="B29" i="188"/>
  <c r="C12" i="188"/>
  <c r="C29" i="161" l="1"/>
  <c r="B29" i="161"/>
  <c r="C31" i="161" s="1"/>
  <c r="C12" i="161"/>
  <c r="B36" i="191" l="1"/>
  <c r="B43" i="191" s="1"/>
  <c r="C32" i="191"/>
  <c r="C10" i="191"/>
  <c r="C36" i="191" l="1"/>
  <c r="C43" i="191" s="1"/>
  <c r="C45" i="191" l="1"/>
  <c r="C47" i="191" s="1"/>
  <c r="C29" i="171"/>
  <c r="B22" i="171"/>
  <c r="B16" i="171"/>
  <c r="B29" i="171" s="1"/>
  <c r="C12" i="171"/>
  <c r="C28" i="202" l="1"/>
  <c r="B28" i="202"/>
  <c r="C11" i="202"/>
  <c r="C29" i="153" l="1"/>
  <c r="C32" i="153" s="1"/>
  <c r="B29" i="153"/>
  <c r="C12" i="153"/>
  <c r="C22" i="200" l="1"/>
  <c r="B22" i="200"/>
  <c r="B29" i="200" s="1"/>
  <c r="C17" i="200"/>
  <c r="C12" i="200"/>
  <c r="C29" i="200" l="1"/>
  <c r="C28" i="158"/>
  <c r="B28" i="158"/>
  <c r="C11" i="158"/>
  <c r="C29" i="175" l="1"/>
  <c r="B29" i="175"/>
  <c r="C12" i="175"/>
  <c r="B29" i="165" l="1"/>
  <c r="C24" i="165"/>
  <c r="C29" i="165" s="1"/>
  <c r="C12" i="165"/>
  <c r="B2" i="165"/>
  <c r="C29" i="151" l="1"/>
  <c r="B29" i="151"/>
  <c r="C12" i="151"/>
  <c r="Z24" i="211" l="1"/>
  <c r="Y24" i="211"/>
  <c r="C31" i="211" s="1"/>
  <c r="W24" i="211"/>
  <c r="V24" i="211"/>
  <c r="U24" i="211"/>
  <c r="T24" i="211"/>
  <c r="P24" i="211"/>
  <c r="O24" i="211"/>
  <c r="M24" i="211"/>
  <c r="L24" i="211"/>
  <c r="K24" i="211"/>
  <c r="AA23" i="211"/>
  <c r="Q23" i="211"/>
  <c r="S22" i="211"/>
  <c r="AA22" i="211" s="1"/>
  <c r="C22" i="211" s="1"/>
  <c r="Q22" i="211"/>
  <c r="B22" i="211" s="1"/>
  <c r="T21" i="211"/>
  <c r="AA21" i="211" s="1"/>
  <c r="C21" i="211" s="1"/>
  <c r="J21" i="211"/>
  <c r="J24" i="211" s="1"/>
  <c r="AA20" i="211"/>
  <c r="C20" i="211" s="1"/>
  <c r="Q20" i="211"/>
  <c r="B20" i="211"/>
  <c r="AA19" i="211"/>
  <c r="C19" i="211" s="1"/>
  <c r="Q19" i="211"/>
  <c r="B19" i="211" s="1"/>
  <c r="AA18" i="211"/>
  <c r="C18" i="211" s="1"/>
  <c r="Q18" i="211"/>
  <c r="B18" i="211" s="1"/>
  <c r="X17" i="211"/>
  <c r="X24" i="211" s="1"/>
  <c r="S17" i="211"/>
  <c r="S24" i="211" s="1"/>
  <c r="Q17" i="211"/>
  <c r="B17" i="211" s="1"/>
  <c r="N17" i="211"/>
  <c r="N24" i="211" s="1"/>
  <c r="I17" i="211"/>
  <c r="AA16" i="211"/>
  <c r="I16" i="211"/>
  <c r="I24" i="211" s="1"/>
  <c r="C12" i="211"/>
  <c r="Q16" i="211" l="1"/>
  <c r="AA17" i="211"/>
  <c r="C17" i="211" s="1"/>
  <c r="B16" i="211"/>
  <c r="C16" i="211"/>
  <c r="C29" i="211" s="1"/>
  <c r="C32" i="211" s="1"/>
  <c r="C33" i="211" s="1"/>
  <c r="Q21" i="211"/>
  <c r="B21" i="211" s="1"/>
  <c r="Q24" i="211" l="1"/>
  <c r="B29" i="211"/>
  <c r="AA24" i="211"/>
  <c r="C29" i="162"/>
  <c r="B29" i="162"/>
  <c r="C12" i="162"/>
  <c r="B2" i="162" s="1"/>
  <c r="B30" i="178" l="1"/>
  <c r="C23" i="178"/>
  <c r="C22" i="178"/>
  <c r="C21" i="178"/>
  <c r="C20" i="178"/>
  <c r="C19" i="178"/>
  <c r="C18" i="178"/>
  <c r="C17" i="178"/>
  <c r="C16" i="178"/>
  <c r="B8" i="178"/>
  <c r="C12" i="178" s="1"/>
  <c r="C30" i="178" l="1"/>
  <c r="C33" i="178" s="1"/>
  <c r="C29" i="190"/>
  <c r="B29" i="190"/>
  <c r="C12" i="190"/>
  <c r="C28" i="182"/>
  <c r="B28" i="182"/>
  <c r="C11" i="182"/>
  <c r="C29" i="210" l="1"/>
  <c r="B29" i="210"/>
  <c r="C12" i="210"/>
  <c r="C29" i="146"/>
  <c r="B29" i="146"/>
  <c r="C12" i="146"/>
  <c r="C29" i="185" l="1"/>
  <c r="B29" i="185"/>
  <c r="C12" i="185"/>
  <c r="C28" i="69" l="1"/>
  <c r="C28" i="209" l="1"/>
  <c r="B28" i="209"/>
  <c r="C11" i="209"/>
  <c r="C23" i="199" l="1"/>
  <c r="B23" i="199"/>
  <c r="C22" i="199"/>
  <c r="B22" i="199"/>
  <c r="C21" i="199"/>
  <c r="B21" i="199"/>
  <c r="B17" i="199"/>
  <c r="B26" i="199" s="1"/>
  <c r="B16" i="199"/>
  <c r="C16" i="199" s="1"/>
  <c r="C12" i="199"/>
  <c r="C17" i="199" l="1"/>
  <c r="C26" i="199" s="1"/>
  <c r="B22" i="198" l="1"/>
  <c r="C22" i="198" s="1"/>
  <c r="B21" i="198"/>
  <c r="C21" i="198" s="1"/>
  <c r="C20" i="198"/>
  <c r="C19" i="198"/>
  <c r="C18" i="198"/>
  <c r="C17" i="198"/>
  <c r="B16" i="198"/>
  <c r="C16" i="198" s="1"/>
  <c r="C12" i="198"/>
  <c r="B2" i="198"/>
  <c r="C29" i="198" l="1"/>
  <c r="B29" i="198"/>
  <c r="B22" i="134" l="1"/>
  <c r="B21" i="134"/>
  <c r="B16" i="134"/>
  <c r="B28" i="134" s="1"/>
  <c r="B15" i="134"/>
  <c r="C11" i="134"/>
  <c r="C36" i="205" l="1"/>
  <c r="B36" i="205"/>
  <c r="C14" i="205"/>
  <c r="B8" i="205"/>
  <c r="C28" i="184" l="1"/>
  <c r="B28" i="184"/>
  <c r="C11" i="184"/>
  <c r="C29" i="192" l="1"/>
  <c r="B29" i="192"/>
  <c r="C12" i="192"/>
  <c r="C29" i="208" l="1"/>
  <c r="B29" i="208"/>
  <c r="C12" i="208"/>
  <c r="D198" i="203" l="1"/>
  <c r="C27" i="94"/>
  <c r="C31" i="94" s="1"/>
  <c r="C28" i="207" l="1"/>
  <c r="B28" i="207"/>
  <c r="C11" i="207"/>
  <c r="C29" i="128"/>
  <c r="B34" i="125" l="1"/>
  <c r="B45" i="125" s="1"/>
  <c r="B2" i="125" s="1"/>
  <c r="C29" i="125"/>
  <c r="B29" i="125"/>
  <c r="C30" i="125" s="1"/>
  <c r="C32" i="125" s="1"/>
  <c r="C12" i="125"/>
  <c r="C29" i="206" l="1"/>
  <c r="B29" i="206"/>
  <c r="C12" i="206"/>
  <c r="C29" i="155" l="1"/>
  <c r="B29" i="155"/>
  <c r="C32" i="155" s="1"/>
  <c r="C35" i="155" s="1"/>
  <c r="C12" i="155"/>
  <c r="C29" i="120" l="1"/>
  <c r="B22" i="120"/>
  <c r="B17" i="120"/>
  <c r="B16" i="120"/>
  <c r="C12" i="120"/>
  <c r="B2" i="120"/>
  <c r="B29" i="120" l="1"/>
  <c r="G180" i="1"/>
  <c r="F180" i="1"/>
  <c r="D180" i="1"/>
  <c r="C180" i="1"/>
  <c r="C29" i="189" l="1"/>
  <c r="B22" i="189"/>
  <c r="B16" i="189"/>
  <c r="B29" i="189" s="1"/>
  <c r="B8" i="189"/>
  <c r="C12" i="189" s="1"/>
  <c r="B7" i="189"/>
  <c r="B2" i="189"/>
  <c r="C29" i="148" l="1"/>
  <c r="B29" i="148"/>
  <c r="B21" i="3" l="1"/>
  <c r="C21" i="3" s="1"/>
  <c r="B16" i="3"/>
  <c r="C16" i="3" s="1"/>
  <c r="B15" i="3"/>
  <c r="C15" i="3" s="1"/>
  <c r="C11" i="3"/>
  <c r="B2" i="3" s="1"/>
  <c r="C28" i="3" l="1"/>
  <c r="B28" i="3"/>
  <c r="C28" i="2" l="1"/>
  <c r="B28" i="2"/>
  <c r="C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author>
  </authors>
  <commentList>
    <comment ref="D2" authorId="0" shapeId="0" xr:uid="{66555DDC-999C-493F-8F26-A4E718BE4E49}">
      <text>
        <r>
          <rPr>
            <b/>
            <sz val="9"/>
            <color indexed="81"/>
            <rFont val="Tahoma"/>
            <family val="2"/>
          </rPr>
          <t>Melissa:</t>
        </r>
        <r>
          <rPr>
            <sz val="9"/>
            <color indexed="81"/>
            <rFont val="Tahoma"/>
            <family val="2"/>
          </rPr>
          <t xml:space="preserve">
Per financial statements</t>
        </r>
      </text>
    </comment>
    <comment ref="G2" authorId="0" shapeId="0" xr:uid="{60ED5127-0F36-4C5E-9EDC-3724F02F0B98}">
      <text>
        <r>
          <rPr>
            <b/>
            <sz val="9"/>
            <color indexed="81"/>
            <rFont val="Tahoma"/>
            <family val="2"/>
          </rPr>
          <t>Melissa:</t>
        </r>
        <r>
          <rPr>
            <sz val="9"/>
            <color indexed="81"/>
            <rFont val="Tahoma"/>
            <family val="2"/>
          </rPr>
          <t xml:space="preserve">
Includes $325,000 from Willimantic Waste Lease and projected budgeted surplus of $13,211</t>
        </r>
      </text>
    </comment>
    <comment ref="H2" authorId="0" shapeId="0" xr:uid="{6A96F636-CCF2-4D0A-9332-339D716A9363}">
      <text>
        <r>
          <rPr>
            <b/>
            <sz val="9"/>
            <color indexed="81"/>
            <rFont val="Tahoma"/>
            <family val="2"/>
          </rPr>
          <t>Melissa:</t>
        </r>
        <r>
          <rPr>
            <sz val="9"/>
            <color indexed="81"/>
            <rFont val="Tahoma"/>
            <family val="2"/>
          </rPr>
          <t xml:space="preserve">
Includes $325,000 from Willimantic Waste Lease and projected budgeted surplus of $13,211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Baxter</author>
  </authors>
  <commentList>
    <comment ref="C22" authorId="0" shapeId="0" xr:uid="{21072450-2CED-4425-9936-A94C2A8B9F80}">
      <text>
        <r>
          <rPr>
            <b/>
            <sz val="9"/>
            <color indexed="81"/>
            <rFont val="Tahoma"/>
            <family val="2"/>
          </rPr>
          <t>Lisa Baxter:</t>
        </r>
        <r>
          <rPr>
            <sz val="9"/>
            <color indexed="81"/>
            <rFont val="Tahoma"/>
            <family val="2"/>
          </rPr>
          <t xml:space="preserve">
Includes Plexi glass for counters in offices that deal with public when we open back up.
</t>
        </r>
      </text>
    </comment>
    <comment ref="C25" authorId="0" shapeId="0" xr:uid="{872774BF-BE8D-4254-976A-DEEFE9AA2D76}">
      <text>
        <r>
          <rPr>
            <b/>
            <sz val="9"/>
            <color indexed="81"/>
            <rFont val="Tahoma"/>
            <family val="2"/>
          </rPr>
          <t>Lisa Baxter:</t>
        </r>
        <r>
          <rPr>
            <sz val="9"/>
            <color indexed="81"/>
            <rFont val="Tahoma"/>
            <family val="2"/>
          </rPr>
          <t xml:space="preserve">
Double this if the Kids return to school for PPE for Staff Etc….</t>
        </r>
      </text>
    </comment>
  </commentList>
</comments>
</file>

<file path=xl/sharedStrings.xml><?xml version="1.0" encoding="utf-8"?>
<sst xmlns="http://schemas.openxmlformats.org/spreadsheetml/2006/main" count="11359" uniqueCount="2594">
  <si>
    <t>Municipality Name</t>
  </si>
  <si>
    <t>Estimate of Revenue Impact</t>
  </si>
  <si>
    <t>Description of Revenue Loss</t>
  </si>
  <si>
    <t>Fund Balance as of 6/30/19</t>
  </si>
  <si>
    <t>Cashflow Challenges (Y/N)</t>
  </si>
  <si>
    <t>Cashflow Tools</t>
  </si>
  <si>
    <t>Proj Deficit          Pre-COVID</t>
  </si>
  <si>
    <t>Proj Deficit        Post-COVID</t>
  </si>
  <si>
    <t>Town of Andover</t>
  </si>
  <si>
    <t xml:space="preserve"> </t>
  </si>
  <si>
    <t>N</t>
  </si>
  <si>
    <t xml:space="preserve">ESTIMATE WORKSHEETS </t>
  </si>
  <si>
    <t xml:space="preserve">Estimate of Revenue Impact </t>
  </si>
  <si>
    <t>Tax Deferral Program</t>
  </si>
  <si>
    <t xml:space="preserve">Low Interest Program </t>
  </si>
  <si>
    <t>4th qtr FY 2020</t>
  </si>
  <si>
    <t>1st qtr FY 2021</t>
  </si>
  <si>
    <t>Paid and Incurred Direct Costs Estimated Thru June 30</t>
  </si>
  <si>
    <t>YTD Actuals</t>
  </si>
  <si>
    <t>Projected thru 6/30 (incl YTD)</t>
  </si>
  <si>
    <t>Previously Unbudgeted (Y/N)</t>
  </si>
  <si>
    <t>Potential Stimulus Source</t>
  </si>
  <si>
    <t>Description</t>
  </si>
  <si>
    <t xml:space="preserve">Cleaning Supplies </t>
  </si>
  <si>
    <t>Y</t>
  </si>
  <si>
    <t>Equipment (IT, teleworking, etc.)</t>
  </si>
  <si>
    <t xml:space="preserve">Food Programs </t>
  </si>
  <si>
    <t xml:space="preserve">Local Health Department </t>
  </si>
  <si>
    <t xml:space="preserve">Non-Congregate Sheltering </t>
  </si>
  <si>
    <t>Overtime Related to Response</t>
  </si>
  <si>
    <t xml:space="preserve">PPE (masks, gloves, etc.) </t>
  </si>
  <si>
    <t>furloughed employees</t>
  </si>
  <si>
    <t xml:space="preserve">TOTALS </t>
  </si>
  <si>
    <t>loss of interest w/tax deferral</t>
  </si>
  <si>
    <t>ASHFORD</t>
  </si>
  <si>
    <t>possible use of UFB</t>
  </si>
  <si>
    <t>none identified</t>
  </si>
  <si>
    <t>Hand sanitizer, extra cleaning service, disinfecting wipes</t>
  </si>
  <si>
    <t>telemeeting, PR mailings, copiers, paper</t>
  </si>
  <si>
    <t>food and supplies</t>
  </si>
  <si>
    <t>masks, gloves</t>
  </si>
  <si>
    <t>Estimate of Revenue Impact*</t>
  </si>
  <si>
    <t>Cashflow Challenges (Y/N)**</t>
  </si>
  <si>
    <t>Proj Deficit        Post-COVID***</t>
  </si>
  <si>
    <t>Town of Avon</t>
  </si>
  <si>
    <t>Property Taxes, exclusive of Escrow Revenue</t>
  </si>
  <si>
    <t xml:space="preserve">Possible Shortfall of $4MM </t>
  </si>
  <si>
    <t>We have short term investment funds with the state of Connecticut</t>
  </si>
  <si>
    <t>none</t>
  </si>
  <si>
    <t xml:space="preserve">Estimate of Revenue Impact**** </t>
  </si>
  <si>
    <t>*Potential delayed revenues due to adoption of deferral program for all taxpayers.</t>
  </si>
  <si>
    <t>Tax Deferral Program - April 1 - June 30</t>
  </si>
  <si>
    <t>**Possible $4MM shortfall due to adoption of deferral program</t>
  </si>
  <si>
    <t>Tax Deferral Program - July 1</t>
  </si>
  <si>
    <t>***Lost revenues due to recreation program cancellations</t>
  </si>
  <si>
    <t>Low Interest Program - April 1 - June 30</t>
  </si>
  <si>
    <t>****Lost interest due to adoption of both tax programs</t>
  </si>
  <si>
    <t xml:space="preserve">Low Interest Program - July 1 </t>
  </si>
  <si>
    <t>cleaning supplies/extra cleaning from custodial contractor</t>
  </si>
  <si>
    <t>Forehead thermometers, GotoMeeting subscription w/ toll free calling</t>
  </si>
  <si>
    <t>Food vouchers/gift cards</t>
  </si>
  <si>
    <t>coverage for a sick essential employee</t>
  </si>
  <si>
    <t>Barkhamsted</t>
  </si>
  <si>
    <t>n/a</t>
  </si>
  <si>
    <t>sanitizer/Purell/disinfectant</t>
  </si>
  <si>
    <t>Chromebooks/licenses/IT support</t>
  </si>
  <si>
    <t>Food/salaries</t>
  </si>
  <si>
    <t>gloves/masks/thermometers</t>
  </si>
  <si>
    <t>Zoom Subscription</t>
  </si>
  <si>
    <t>virtual meetings for Commissions/boards</t>
  </si>
  <si>
    <t>Cleaning Service</t>
  </si>
  <si>
    <t>Disinfecting and cleaning of town hall</t>
  </si>
  <si>
    <t>Town mailer</t>
  </si>
  <si>
    <t>Mailer to Town re COVID 19</t>
  </si>
  <si>
    <t>Plexiglass shields for offices</t>
  </si>
  <si>
    <t>Protective shields for town offices</t>
  </si>
  <si>
    <t>Town of Beacon Falls</t>
  </si>
  <si>
    <t>Deferred Tax Revenue</t>
  </si>
  <si>
    <t>Line of Credit or TAN being considered.</t>
  </si>
  <si>
    <t>FEMA</t>
  </si>
  <si>
    <t>Gear Disinfectant, Sanicloth Wipes, Equipment to convert SCBA Packs to Sanitizing Units, required sanitizing and cleaning supplies for town buildings to reopen to public.</t>
  </si>
  <si>
    <t>Zoom registrattion, (6) Laptops, (6) Phones, Remote Clocking, Mice &amp; Batteries, Overtime for IT Consultant</t>
  </si>
  <si>
    <t>Police Department Additional Shifts</t>
  </si>
  <si>
    <t>Masks, Gloves, Gowns for Emergency services service, required protection equipment for protection of staff and public in preparation for town buildings to reopening to the public.</t>
  </si>
  <si>
    <t>Parks Signage</t>
  </si>
  <si>
    <t>Signage for Parks</t>
  </si>
  <si>
    <t>Town of Berlin</t>
  </si>
  <si>
    <t>2.5% loss of RE taxes
10% loss of PP taxes
20% loss of MV taxes
30% loss of Back Taxes
20% loss of Inv. Interest
25% decline in various user fees</t>
  </si>
  <si>
    <t>- Monthly cashflow model
- Bi-weekly capital tracker
- Delay new bond principal 
- Interfund borrowing
- WPCA capital delays
- 17% funded closed DB pension plan - pay-as-we-go funding utilizing fund balance as backstop; lump sum payout provision at member's discretion
- $6.4 million of debt service payments due in 1H FY21
- Cashflow demands would require issuing a TAN if the Town selected the Tax Deferral Program - low interest was selected to ensure cash to make debt &amp; pension payements</t>
  </si>
  <si>
    <t>CARES Act</t>
  </si>
  <si>
    <t>Wipes, sanitizing lotion and other various cleaning supplies used by Facilities (townwide), VNA &amp; Police</t>
  </si>
  <si>
    <t>Laptops for remote work (BOE &amp; Town), video conferencing licenses, foggers to disinfect offices (townwide)</t>
  </si>
  <si>
    <t>USGS</t>
  </si>
  <si>
    <t>$87,474 expense reimbursement from USGS; amount displayed is before any reimbursement</t>
  </si>
  <si>
    <t>Local Health Department (Berlin VNA)</t>
  </si>
  <si>
    <t>HHS Stimulus</t>
  </si>
  <si>
    <t>Berlin VNA received $35,099 HHS stimulus payment</t>
  </si>
  <si>
    <t>Police overtime required because of mandatory quarantine for exposed officers; BOE IT support to implement distance learning</t>
  </si>
  <si>
    <t>Mask, gloves and touch free towel and soap dispensers</t>
  </si>
  <si>
    <t>TOWN OF BETHEL</t>
  </si>
  <si>
    <t>TAX COLLECTIONS DOWN FROM PRIOR YEAR SAME PERIOD</t>
  </si>
  <si>
    <t>Town of Bethlehem</t>
  </si>
  <si>
    <t>Delayed payment of taxes.Loss of permit fees. Loss of interest on deposits.</t>
  </si>
  <si>
    <t>Possible if deferred taxes don't arrive by Oct 1</t>
  </si>
  <si>
    <t>Use of Fund Balance, Defer Capital projects, revise payments to Regional School District</t>
  </si>
  <si>
    <t>NA</t>
  </si>
  <si>
    <t>?</t>
  </si>
  <si>
    <t>Permit Fees &amp; Interest</t>
  </si>
  <si>
    <t>No</t>
  </si>
  <si>
    <t>Bloomfield</t>
  </si>
  <si>
    <t>lower interest and deferement program, lower tax collection rate, building permit revenue</t>
  </si>
  <si>
    <t>investment accounts with the ability to drawn downas needed</t>
  </si>
  <si>
    <t>The Coronavirus Preparedness and Response Supplemental Appropriations Act, 2020</t>
  </si>
  <si>
    <t>Branford - Municipal FY 2020</t>
  </si>
  <si>
    <t>Revenue losses in departmental receipts, interest income offset by revenue exceeding budget in other areas</t>
  </si>
  <si>
    <t>NO</t>
  </si>
  <si>
    <t>Estimate of Revenue Impact  FY 2021</t>
  </si>
  <si>
    <t xml:space="preserve">Interest loss on extended grace period </t>
  </si>
  <si>
    <t>Equipment (IT, teleworking, etc.)*</t>
  </si>
  <si>
    <t>Park Staff (Normally park is not staffed until Memorial Day)</t>
  </si>
  <si>
    <t>Purchased Services *</t>
  </si>
  <si>
    <t>Meals Ready to Eat (Fire Department)</t>
  </si>
  <si>
    <t>* Includes the planned purchase of sanitizing equipment for ambulance fleet, as well as laptops to allow folks to work from home</t>
  </si>
  <si>
    <t>* The parks are not normally staffed on weekends until Memorial Day however given increased use and the need to keep folks off playgrounds staff was brought in earlier</t>
  </si>
  <si>
    <t>* Included but not limited to sanitizing work spaces and patrol vehicles using outside vendors</t>
  </si>
  <si>
    <t xml:space="preserve">Branford -Board of Education </t>
  </si>
  <si>
    <t>Food Service, FRC tuition</t>
  </si>
  <si>
    <t>Food Service</t>
  </si>
  <si>
    <t>Family Resource Center</t>
  </si>
  <si>
    <t>Day Care Fund</t>
  </si>
  <si>
    <t>Tuition</t>
  </si>
  <si>
    <t>masks</t>
  </si>
  <si>
    <t>Thermometers</t>
  </si>
  <si>
    <t>thermometers</t>
  </si>
  <si>
    <t>Estimate of Revenue Impact FY20</t>
  </si>
  <si>
    <t>Description of Revenue Loss FY20</t>
  </si>
  <si>
    <t>CITY OF BRIDGEPORT</t>
  </si>
  <si>
    <t>Loss of parks fees, golf course fees, building permits, town clerk permits, and misc other.</t>
  </si>
  <si>
    <t>None this year end (with ECS/Alliance and formula State). FY2021 risks in summer from late tax payments may require a $10 million TANS</t>
  </si>
  <si>
    <t>Availability to issue TANS from 4 banks interested.</t>
  </si>
  <si>
    <t>N/A. City was projecting a $2,200,000 surplus for FY2020</t>
  </si>
  <si>
    <t xml:space="preserve">N/A. City iprojecting $2.5milllion surplus FY20; slowdown in city/ BOE expenditures greater than revenue shortfalls projected.* assumes FEMA COVID reibursement 75% of direct costs </t>
  </si>
  <si>
    <t>(offset by expense savings)</t>
  </si>
  <si>
    <t>Paid and Incurred Direct Costs COVID Estimated Thru June 30</t>
  </si>
  <si>
    <t>YTD Actuals as of April 25, 2020</t>
  </si>
  <si>
    <t>sanitizer, outside cleaning services</t>
  </si>
  <si>
    <t>mainly laptops $80K City; $500K BOE distance learning</t>
  </si>
  <si>
    <t>meals for honeless, Seniors, and for OT workers</t>
  </si>
  <si>
    <t>DHS</t>
  </si>
  <si>
    <t>Heatth suppliecd masks, thermometers, supplies</t>
  </si>
  <si>
    <t xml:space="preserve">        HUD ESG awarded*</t>
  </si>
  <si>
    <t>homeless and emergency housing needs</t>
  </si>
  <si>
    <t>nurses, custodial, and public safety OT</t>
  </si>
  <si>
    <t>gear, masks N95, KN95 $450,000; gloves, safety equip</t>
  </si>
  <si>
    <t>Other Misc Public Safety</t>
  </si>
  <si>
    <t>PD, Fire and EOC related safety supplies/office equip</t>
  </si>
  <si>
    <t xml:space="preserve">          Notes: ESG Award totals $934,000; half expected spend after July 1</t>
  </si>
  <si>
    <t xml:space="preserve">          Note: CDBG CARES also awared approx $2 million to city but expenditures not anticipated until new fiscal year.</t>
  </si>
  <si>
    <t xml:space="preserve"> Fund Balance as of 6/30/19</t>
  </si>
  <si>
    <t>BRISTOL</t>
  </si>
  <si>
    <r>
      <t xml:space="preserve">SEE </t>
    </r>
    <r>
      <rPr>
        <b/>
        <sz val="12"/>
        <color rgb="FFFF0000"/>
        <rFont val="Book Antiqua"/>
        <family val="1"/>
      </rPr>
      <t>A</t>
    </r>
  </si>
  <si>
    <t>Unassigned Fund Balance $29,562,034</t>
  </si>
  <si>
    <t xml:space="preserve">Current Cash Reserves from all funds and potential delay of major expenditures </t>
  </si>
  <si>
    <t>This projected deficit is an estimate at 6/30/20 and assumes no reimbursement before then from FEMA and/or CARES.  Amount and timing of reimbursement could affect this estimate.  Also, this is an estimate and will vary based on other cost mitigation strategies the City puts into place prior to June 30, 2020.</t>
  </si>
  <si>
    <t>LOST REVENUE</t>
  </si>
  <si>
    <t>A</t>
  </si>
  <si>
    <t>Parks</t>
  </si>
  <si>
    <t>As of 3/13 all recreation, aquatics and pine lake programs were cancelled. No permits are being</t>
  </si>
  <si>
    <t xml:space="preserve">issued by the department at this time. With all activity suspended for the forseeable </t>
  </si>
  <si>
    <t>future we do not anticipate being able to collect revenues between now and the end of</t>
  </si>
  <si>
    <t>Estimate of delayed revenues.  Loss of investment income included above.</t>
  </si>
  <si>
    <t xml:space="preserve">the fiscal year. Revenue impact estimates are broken down below. </t>
  </si>
  <si>
    <t>Senior</t>
  </si>
  <si>
    <t>Coffee Shop, Boutique, Trips, Rentals</t>
  </si>
  <si>
    <t>Water</t>
  </si>
  <si>
    <t>Slight decrease in production due to closings</t>
  </si>
  <si>
    <t>Treasurer</t>
  </si>
  <si>
    <t>Investment Income due to Tax Deferral</t>
  </si>
  <si>
    <t>B</t>
  </si>
  <si>
    <t>extra cleaning supplies for fleet vehicles, park buildings and playgrounds. Significant</t>
  </si>
  <si>
    <t>FEMA/CARES</t>
  </si>
  <si>
    <t>C</t>
  </si>
  <si>
    <t xml:space="preserve">amount of supplies will be needed to support summer staff if/when we open  </t>
  </si>
  <si>
    <t>Misc. cleaning supplies - disinfectant, telephone wipes</t>
  </si>
  <si>
    <t>DPH</t>
  </si>
  <si>
    <t>Cleaning Supplies for offices and cruisers.</t>
  </si>
  <si>
    <t>D</t>
  </si>
  <si>
    <t xml:space="preserve">social distancing and associated signs. Signs needed for facilities to re-open </t>
  </si>
  <si>
    <t>E</t>
  </si>
  <si>
    <t>Contract Services</t>
  </si>
  <si>
    <t>staff to assist with lunch program, staff to clean playgrounds/parks</t>
  </si>
  <si>
    <t>Overtime and shift diff for Officers</t>
  </si>
  <si>
    <t>materials to make masks, gloves and masks for staff, thermometers for camp/pools</t>
  </si>
  <si>
    <t>PPE needed for office workers and police officers.</t>
  </si>
  <si>
    <t>Brookfield CT</t>
  </si>
  <si>
    <t>Interest Income, Permits, Postings, Back Taxes</t>
  </si>
  <si>
    <t>Not Yet</t>
  </si>
  <si>
    <t>Fund Balance, Savings in other areas from Quarintine</t>
  </si>
  <si>
    <t>(25% of projected</t>
  </si>
  <si>
    <t>if FEMA reimburses</t>
  </si>
  <si>
    <t>75% of total)</t>
  </si>
  <si>
    <t>DONATIONS, FEMA,USDA</t>
  </si>
  <si>
    <t>Schools, Seniors &amp; SS</t>
  </si>
  <si>
    <t>included in health dept</t>
  </si>
  <si>
    <t>DPH, FEMA</t>
  </si>
  <si>
    <t>Additional EMS shifts</t>
  </si>
  <si>
    <t>Additional cleaning services</t>
  </si>
  <si>
    <t>Town of Burlington</t>
  </si>
  <si>
    <t>Cashflow</t>
  </si>
  <si>
    <t>Town of Canton, CT</t>
  </si>
  <si>
    <t>Delayed opening of Pool, Interest Income and .05% of tax revenue</t>
  </si>
  <si>
    <t xml:space="preserve">Defer payment of bills and utilization of Fund balance </t>
  </si>
  <si>
    <t>Unknown</t>
  </si>
  <si>
    <t>Estimate of uncollected sewer and property tax by 3/30/2020</t>
  </si>
  <si>
    <t>Estimate of tax not collected on July 1st due to deferral to Oct 1st 2020</t>
  </si>
  <si>
    <t>Not participating (NA)</t>
  </si>
  <si>
    <t>Disinfectants &amp; wipes</t>
  </si>
  <si>
    <t>Purchased Food for seniors etc.</t>
  </si>
  <si>
    <t xml:space="preserve">Clean Fire &amp; Police Depts., Café Coordinator </t>
  </si>
  <si>
    <t>Masks, gloves, tivex suits, ID Badges, Note Cards</t>
  </si>
  <si>
    <t xml:space="preserve">FFCRA payment </t>
  </si>
  <si>
    <t>Other supplies</t>
  </si>
  <si>
    <t>Sign in supplies, thermometers, totes</t>
  </si>
  <si>
    <t>Ansonia</t>
  </si>
  <si>
    <t>Avon</t>
  </si>
  <si>
    <t>Bethany</t>
  </si>
  <si>
    <t>Bethlehem</t>
  </si>
  <si>
    <t>Bozrah</t>
  </si>
  <si>
    <t>Branford</t>
  </si>
  <si>
    <t>Bridgeport</t>
  </si>
  <si>
    <t>Bridgewater</t>
  </si>
  <si>
    <t>Brookfield</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</si>
  <si>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</si>
  <si>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</si>
  <si>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</si>
  <si>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</si>
  <si>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</si>
  <si>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</si>
  <si>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</si>
  <si>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</si>
  <si>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</si>
  <si>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</si>
  <si>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</si>
  <si>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</si>
  <si>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</si>
  <si>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</si>
  <si>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</si>
  <si>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</si>
  <si>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</si>
  <si>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</si>
  <si>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</si>
  <si>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 Granby</t>
  </si>
  <si>
    <t>East Haddam</t>
  </si>
  <si>
    <t>East Hampton</t>
  </si>
  <si>
    <t>East Hartford</t>
  </si>
  <si>
    <t>East Haven</t>
  </si>
  <si>
    <t>Eastford</t>
  </si>
  <si>
    <t>Easton</t>
  </si>
  <si>
    <t>Ellington</t>
  </si>
  <si>
    <t>Enfield</t>
  </si>
  <si>
    <t>Essex</t>
  </si>
  <si>
    <t>Fairfield</t>
  </si>
  <si>
    <t>Farmington</t>
  </si>
  <si>
    <t>Franklin</t>
  </si>
  <si>
    <t>Goshen</t>
  </si>
  <si>
    <t>Granby</t>
  </si>
  <si>
    <t>Greenwich</t>
  </si>
  <si>
    <t>Griswold</t>
  </si>
  <si>
    <t>Guilford</t>
  </si>
  <si>
    <t>Haddam</t>
  </si>
  <si>
    <t>Hamden</t>
  </si>
  <si>
    <t>Hampton</t>
  </si>
  <si>
    <t>Hartford</t>
  </si>
  <si>
    <t>Harwinton</t>
  </si>
  <si>
    <t>Hebron</t>
  </si>
  <si>
    <t>Kent</t>
  </si>
  <si>
    <t>Killingly</t>
  </si>
  <si>
    <t>Killingworth</t>
  </si>
  <si>
    <t>Lebanon</t>
  </si>
  <si>
    <t>Litchfield</t>
  </si>
  <si>
    <t>Lyme</t>
  </si>
  <si>
    <t>Mansfield</t>
  </si>
  <si>
    <t>Marlborough</t>
  </si>
  <si>
    <t>Meriden</t>
  </si>
  <si>
    <t>Middlebury</t>
  </si>
  <si>
    <t>Middlefield</t>
  </si>
  <si>
    <t>Middletown</t>
  </si>
  <si>
    <t>Milford</t>
  </si>
  <si>
    <t>Monroe</t>
  </si>
  <si>
    <t>Montville</t>
  </si>
  <si>
    <t>Morris</t>
  </si>
  <si>
    <t>Naugatuck</t>
  </si>
  <si>
    <t>New Britain</t>
  </si>
  <si>
    <t>New Canaan</t>
  </si>
  <si>
    <t>New Milford</t>
  </si>
  <si>
    <t>North Stonington</t>
  </si>
  <si>
    <t>Oxford</t>
  </si>
  <si>
    <t>Plainfield</t>
  </si>
  <si>
    <t>Plainville</t>
  </si>
  <si>
    <t>Plymouth</t>
  </si>
  <si>
    <t>Pomfret</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</si>
  <si>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</si>
  <si>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</si>
  <si>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</si>
  <si>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</si>
  <si>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</si>
  <si>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</si>
  <si>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</si>
  <si>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</si>
  <si>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</si>
  <si>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</si>
  <si>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</si>
  <si>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</si>
  <si>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</si>
  <si>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</si>
  <si>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</si>
  <si>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</si>
  <si>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</si>
  <si>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Southington</t>
  </si>
  <si>
    <t>Sprague</t>
  </si>
  <si>
    <t>Stafford</t>
  </si>
  <si>
    <t>Stamford</t>
  </si>
  <si>
    <t>Sterling</t>
  </si>
  <si>
    <t>Stonington</t>
  </si>
  <si>
    <t>Suffield</t>
  </si>
  <si>
    <t>Thomaston</t>
  </si>
  <si>
    <t>Thompson</t>
  </si>
  <si>
    <t>Tolland</t>
  </si>
  <si>
    <t>Torrington</t>
  </si>
  <si>
    <t>Trumbull</t>
  </si>
  <si>
    <t>Union</t>
  </si>
  <si>
    <t>Vernon</t>
  </si>
  <si>
    <t>Voluntown</t>
  </si>
  <si>
    <t>Wallingford</t>
  </si>
  <si>
    <t>Warren</t>
  </si>
  <si>
    <t>Waterbury</t>
  </si>
  <si>
    <t>Waterford</t>
  </si>
  <si>
    <t>Watertown</t>
  </si>
  <si>
    <t>West Hartford</t>
  </si>
  <si>
    <t>West Haven</t>
  </si>
  <si>
    <t>Westbrook</t>
  </si>
  <si>
    <t>Weston</t>
  </si>
  <si>
    <t>Westport</t>
  </si>
  <si>
    <t>Wethersfield</t>
  </si>
  <si>
    <t>Willington</t>
  </si>
  <si>
    <t>Wilton</t>
  </si>
  <si>
    <t>Winchester</t>
  </si>
  <si>
    <t>Windham</t>
  </si>
  <si>
    <t>Windsor</t>
  </si>
  <si>
    <t>Windsor Locks</t>
  </si>
  <si>
    <t>Wolcott</t>
  </si>
  <si>
    <t>Woodbridge</t>
  </si>
  <si>
    <t>Woodbury</t>
  </si>
  <si>
    <t>Woodstock</t>
  </si>
  <si>
    <t>CODE</t>
  </si>
  <si>
    <t xml:space="preserve">Andover </t>
  </si>
  <si>
    <t xml:space="preserve">Ashford </t>
  </si>
  <si>
    <t xml:space="preserve">Beacon Falls </t>
  </si>
  <si>
    <t xml:space="preserve">Berlin </t>
  </si>
  <si>
    <t xml:space="preserve">Bethel </t>
  </si>
  <si>
    <t xml:space="preserve">Bolton </t>
  </si>
  <si>
    <t xml:space="preserve">Bristol </t>
  </si>
  <si>
    <t xml:space="preserve">Brooklyn </t>
  </si>
  <si>
    <t xml:space="preserve">East Lyme </t>
  </si>
  <si>
    <t xml:space="preserve">East Windsor </t>
  </si>
  <si>
    <t xml:space="preserve">Glastonbury </t>
  </si>
  <si>
    <t xml:space="preserve">Hartland </t>
  </si>
  <si>
    <t xml:space="preserve">Ledyard </t>
  </si>
  <si>
    <t xml:space="preserve">Lisbon </t>
  </si>
  <si>
    <t xml:space="preserve">Madison </t>
  </si>
  <si>
    <t xml:space="preserve">Manchester </t>
  </si>
  <si>
    <t xml:space="preserve">New Fairfield </t>
  </si>
  <si>
    <t xml:space="preserve">New Hartford </t>
  </si>
  <si>
    <t xml:space="preserve">New Haven </t>
  </si>
  <si>
    <t xml:space="preserve">New London </t>
  </si>
  <si>
    <t xml:space="preserve">New Milford </t>
  </si>
  <si>
    <t xml:space="preserve">Newington </t>
  </si>
  <si>
    <t xml:space="preserve">Newtown </t>
  </si>
  <si>
    <t xml:space="preserve">Norfolk </t>
  </si>
  <si>
    <t xml:space="preserve">North Branford </t>
  </si>
  <si>
    <t xml:space="preserve">North Canaan </t>
  </si>
  <si>
    <t xml:space="preserve">North Haven </t>
  </si>
  <si>
    <t xml:space="preserve">North Stonington </t>
  </si>
  <si>
    <t xml:space="preserve">Norwalk </t>
  </si>
  <si>
    <t xml:space="preserve">Norwich </t>
  </si>
  <si>
    <t xml:space="preserve">Old Lyme </t>
  </si>
  <si>
    <t xml:space="preserve">Old Saybrook </t>
  </si>
  <si>
    <t xml:space="preserve">Orange </t>
  </si>
  <si>
    <t xml:space="preserve">Oxford </t>
  </si>
  <si>
    <t xml:space="preserve">Pomfret </t>
  </si>
  <si>
    <t xml:space="preserve">Portland </t>
  </si>
  <si>
    <t xml:space="preserve">Southbury </t>
  </si>
  <si>
    <t xml:space="preserve">Stratford </t>
  </si>
  <si>
    <t xml:space="preserve">Tolland </t>
  </si>
  <si>
    <t xml:space="preserve">Washington </t>
  </si>
  <si>
    <t>Proj Surplus                      (Deficit)   Pre-COVID</t>
  </si>
  <si>
    <t>Proj Surplus                      (Deficit)   Post-COVID</t>
  </si>
  <si>
    <t>Town of Cheshire</t>
  </si>
  <si>
    <t>See below</t>
  </si>
  <si>
    <t>(1)</t>
  </si>
  <si>
    <t>(2)</t>
  </si>
  <si>
    <t xml:space="preserve"> Low Interest Program </t>
  </si>
  <si>
    <t xml:space="preserve">           Recreation </t>
  </si>
  <si>
    <t xml:space="preserve">           Library</t>
  </si>
  <si>
    <t xml:space="preserve">           Senior Services</t>
  </si>
  <si>
    <t xml:space="preserve">           Youth Services</t>
  </si>
  <si>
    <t xml:space="preserve">           Fine Arts</t>
  </si>
  <si>
    <t xml:space="preserve">           Tuition</t>
  </si>
  <si>
    <t xml:space="preserve">           Community Pool</t>
  </si>
  <si>
    <t>(3)</t>
  </si>
  <si>
    <t xml:space="preserve">  </t>
  </si>
  <si>
    <t>Y (4)</t>
  </si>
  <si>
    <t>Other Supplies - sign</t>
  </si>
  <si>
    <t>Contract - Cleaning</t>
  </si>
  <si>
    <t xml:space="preserve">(1) Increase in projected surplus assumes a variety of preemptive actions including hiring and spending freezes, furloughs and cancelled or delayed projects. </t>
  </si>
  <si>
    <t>(2) Extending grace period under the tax deferral program not expected to significantly impact revenue overall, just timing.</t>
  </si>
  <si>
    <t>(3) Accounted for in Special Revenue Fund, not General Fund.</t>
  </si>
  <si>
    <t>(4) May be reimbursed by Federal meal program - Seamless Summer Option.</t>
  </si>
  <si>
    <t>Town of Chester (excludes school)</t>
  </si>
  <si>
    <t>Deferment of taxes &amp; loss of interest</t>
  </si>
  <si>
    <t>N/A</t>
  </si>
  <si>
    <t>Sewer</t>
  </si>
  <si>
    <t>Property Taxes</t>
  </si>
  <si>
    <t>Yes</t>
  </si>
  <si>
    <t>FEMA/State of CT</t>
  </si>
  <si>
    <t>Supplies &amp; Services</t>
  </si>
  <si>
    <t>Food insecurity, supplement donations</t>
  </si>
  <si>
    <t>1st responders/health related</t>
  </si>
  <si>
    <t>Town of Clinton</t>
  </si>
  <si>
    <t>see below</t>
  </si>
  <si>
    <t>Operating Expense reductions/Capital Expenditure cutbacks</t>
  </si>
  <si>
    <t>Tax Levies</t>
  </si>
  <si>
    <t>Supplemental Motor Vehicle</t>
  </si>
  <si>
    <t>Building rental</t>
  </si>
  <si>
    <t>Building Permit Fees</t>
  </si>
  <si>
    <t>Transfer Station Fees</t>
  </si>
  <si>
    <t>Planning &amp; Zoning/ZBA/Inland Wetlands</t>
  </si>
  <si>
    <t>Other (Boat Moorings/Recreation fees)</t>
  </si>
  <si>
    <t xml:space="preserve">Clinton Board of Education </t>
  </si>
  <si>
    <t>Cleaning supplies specific to COVID 19 sanitizing</t>
  </si>
  <si>
    <t>math instruction tablets, wireless hot spots, monthly associated costs</t>
  </si>
  <si>
    <t>Y/N</t>
  </si>
  <si>
    <t>Brown bag breakfast and lunch supplies and payroll, altho would have had higher expenses if schools had stayed open</t>
  </si>
  <si>
    <t>Curriculum-Distance Learning</t>
  </si>
  <si>
    <t>Software purchases specifically required for distance learning</t>
  </si>
  <si>
    <t>Proj Deficit            Pre-COVID</t>
  </si>
  <si>
    <t>Town of Colebrook</t>
  </si>
  <si>
    <t>Negligible</t>
  </si>
  <si>
    <t>GF cash balance equal to 32% of 2019-20 expenses.</t>
  </si>
  <si>
    <t xml:space="preserve">Note:  1.  Colebrook had collected 100.1% of its 2019-20 property tax budget as of April 30, 2020. </t>
  </si>
  <si>
    <t xml:space="preserve">            2.  The $0 deficit projection assumes receipt of remaining ECS payments by yearend.</t>
  </si>
  <si>
    <t>Zoom computer equipment</t>
  </si>
  <si>
    <t>Board of Education</t>
  </si>
  <si>
    <t>Online learning programs</t>
  </si>
  <si>
    <t>EMD Cost</t>
  </si>
  <si>
    <t>Columbia                                                     (Town, BOE and Volunteer Fire Department)</t>
  </si>
  <si>
    <t>Municipal Fees, Preschool Tuition and Property Tax Interest</t>
  </si>
  <si>
    <t xml:space="preserve">Keep monitoring revenues and expenditures as well as review the fund balance. </t>
  </si>
  <si>
    <t xml:space="preserve">Property Tax Interest only </t>
  </si>
  <si>
    <t>See other tabs</t>
  </si>
  <si>
    <t>Miscellaneous</t>
  </si>
  <si>
    <t>Administrative Costs</t>
  </si>
  <si>
    <t>CORNWALL</t>
  </si>
  <si>
    <t xml:space="preserve">Town Clerk recording fees, building permit revenue, beach pass revenue, park and recreation programs, deferred </t>
  </si>
  <si>
    <t>Board of Education PPE and Equip</t>
  </si>
  <si>
    <t>Town of Coventry</t>
  </si>
  <si>
    <t>Low interest rate program; aniticpated decrease in collection rate</t>
  </si>
  <si>
    <t>GF = $6,076,095 of which $5,611,479 is unassigned.</t>
  </si>
  <si>
    <t>Yes if we chose the deferral program.  No if we chose the low interest program.</t>
  </si>
  <si>
    <t>Opted with low interest program to resolve cash flow challenges.</t>
  </si>
  <si>
    <t xml:space="preserve">No deficit projected </t>
  </si>
  <si>
    <t>Town:</t>
  </si>
  <si>
    <t>75% FEMA potential</t>
  </si>
  <si>
    <t>Disinfectant &amp; Cleaning supplies</t>
  </si>
  <si>
    <t>IT, Telework &amp; remote public meetings</t>
  </si>
  <si>
    <t>Food bank funding</t>
  </si>
  <si>
    <t>Outfitting Fire station for housing</t>
  </si>
  <si>
    <t>Additional Contracted Ambulance Services</t>
  </si>
  <si>
    <t>BOE:</t>
  </si>
  <si>
    <t>Equipment - Distance Learning</t>
  </si>
  <si>
    <t>Costs for distance learning</t>
  </si>
  <si>
    <t>Equipment - Teleworking</t>
  </si>
  <si>
    <t>Costs to implement work from hom</t>
  </si>
  <si>
    <t>$144,932.76 thru School Lunch; Remainder possibly FEMA</t>
  </si>
  <si>
    <t>Costs for student lunches</t>
  </si>
  <si>
    <t xml:space="preserve">CROMWELL </t>
  </si>
  <si>
    <t xml:space="preserve">Copies of PD reports.  Projected recreation program refunds and loss of revenue due ot field closure rentals.   </t>
  </si>
  <si>
    <t xml:space="preserve">Impact of lost interest due to town re: tax def. </t>
  </si>
  <si>
    <t>FEMA, DPH, Education</t>
  </si>
  <si>
    <t>Various cleaning solutions</t>
  </si>
  <si>
    <t xml:space="preserve">Bags for library materials. Complaince </t>
  </si>
  <si>
    <t>with Exec. Order 7S &amp; 7W.  Sprayers</t>
  </si>
  <si>
    <t>IT Equip for BOE, ZOOM, Laptop</t>
  </si>
  <si>
    <t>Education</t>
  </si>
  <si>
    <t>Food Program for BOE</t>
  </si>
  <si>
    <t>OT: PD, PW, Health, BOE, Finance</t>
  </si>
  <si>
    <t>PPE, Med. Supply, Masks</t>
  </si>
  <si>
    <t>Legal Exp.</t>
  </si>
  <si>
    <t>COVID-19 related legal expenses</t>
  </si>
  <si>
    <t>Educational Requirements-BOE</t>
  </si>
  <si>
    <t>Compensotory services for education</t>
  </si>
  <si>
    <t>Graduation Expenses</t>
  </si>
  <si>
    <t>City of Danbury</t>
  </si>
  <si>
    <t>Licences &amp; Permits, Park&amp;Recreation, Charges for Services, Interest Earnings, Fines &amp; Penalties</t>
  </si>
  <si>
    <t>Municast</t>
  </si>
  <si>
    <t>Depends if the State makes their payments timely</t>
  </si>
  <si>
    <t>June is historically a low cash month</t>
  </si>
  <si>
    <t>(amount could be as high as $25,000,000 for the July 1st payment but will likely be in the $20,000,000 range)</t>
  </si>
  <si>
    <t>CARES Act/FEMA</t>
  </si>
  <si>
    <t>Crisis Funding DPH</t>
  </si>
  <si>
    <t>Anything excluded by FEMA $3,00-$30,000</t>
  </si>
  <si>
    <t>Opening Doors Fairfield County</t>
  </si>
  <si>
    <t xml:space="preserve">Homeless Shelter funding </t>
  </si>
  <si>
    <t>Combined Fund Balance as of 6/30/19</t>
  </si>
  <si>
    <t>Deep River Municipality, BOE will submit seperately for grades K-12</t>
  </si>
  <si>
    <t>Tax interest, 90 day reduced interest rate for sewer taxes from 4/1/2020 to July 1,2020 and property taxes from July 1,2020 to October 1,2020.</t>
  </si>
  <si>
    <t xml:space="preserve">Yes </t>
  </si>
  <si>
    <t>Grant DR-4500CT</t>
  </si>
  <si>
    <t>Occupational Safety Enhancement</t>
  </si>
  <si>
    <t>Summer Camp Youth Safety Training, Laptop, Thermometers, Weatherproof outdoor tent</t>
  </si>
  <si>
    <t>Town of Durham</t>
  </si>
  <si>
    <t>tax revenue, recreation programming fees, pistol and passport fees, bank interest</t>
  </si>
  <si>
    <t>Not at this time</t>
  </si>
  <si>
    <t>budget mitigation</t>
  </si>
  <si>
    <t>below normal July collections</t>
  </si>
  <si>
    <t>yes</t>
  </si>
  <si>
    <t>Cleaning supplies, hand sanitizer</t>
  </si>
  <si>
    <t>ZOOM meeting subscription
Kanopy Digital Streaming Service (Library)</t>
  </si>
  <si>
    <t>Material to make masks</t>
  </si>
  <si>
    <t>Postage/Advertising</t>
  </si>
  <si>
    <t>Additional Legal Notices 
Resident Informational Mailings</t>
  </si>
  <si>
    <t>Public Works O/T</t>
  </si>
  <si>
    <t>PPE (masks, gloves, etc.)</t>
  </si>
  <si>
    <t>Emergency Management</t>
  </si>
  <si>
    <t>not to this extent</t>
  </si>
  <si>
    <t>Volunteer Ambulance Corp</t>
  </si>
  <si>
    <t xml:space="preserve">Contracted Services </t>
  </si>
  <si>
    <t>Staffing Service to assist with gaps in Volunteer Schedule</t>
  </si>
  <si>
    <t>Volunteer Fire Department</t>
  </si>
  <si>
    <t>Social Services Travel Reimbursement</t>
  </si>
  <si>
    <t>Travel Exp. to Senior Homes</t>
  </si>
  <si>
    <t xml:space="preserve">Town of East Granby - does not include the BOE. Municipality only  </t>
  </si>
  <si>
    <t xml:space="preserve">Potential Loss of tax revenue and interest due to the Deferral Program </t>
  </si>
  <si>
    <t>y</t>
  </si>
  <si>
    <t>Transfer Station Additional Day</t>
  </si>
  <si>
    <t>East Granby Board of Education</t>
  </si>
  <si>
    <t>Covid19 related expenses</t>
  </si>
  <si>
    <t>Disinfectant</t>
  </si>
  <si>
    <t>verizon PO 37281 &amp; 
chrombook repairs
3 Addional laptops and webcams</t>
  </si>
  <si>
    <t>Hartford Health Care</t>
  </si>
  <si>
    <t>4 weeks of labor to deep clean</t>
  </si>
  <si>
    <t>Disinfecting labor 4 schools</t>
  </si>
  <si>
    <t>Gloves</t>
  </si>
  <si>
    <t>Legal Fees</t>
  </si>
  <si>
    <t>Various conv with Legal</t>
  </si>
  <si>
    <t>Sotware upgrades</t>
  </si>
  <si>
    <t>Software additions for
 distance learning</t>
  </si>
  <si>
    <t>Town of East Hartford (including Board of Education)</t>
  </si>
  <si>
    <t>MULTIPLE USER FEES REDUCED, TAX PAYMENTS DOWN</t>
  </si>
  <si>
    <t>SEE BELOW</t>
  </si>
  <si>
    <t xml:space="preserve">SHIFTING ANNUAL CONTRIBUTIONS FOR PENSION AND SELF </t>
  </si>
  <si>
    <t>INSURED FUNDS SHOULD HELP CASH FLOW DURING TAX DEFERMENT PERIOD</t>
  </si>
  <si>
    <t xml:space="preserve"> UP TO $40 MILLION IN REVENUE NORMALLY REC'D BY AUG 1 WON'T COME IN UNTIL OCT 1</t>
  </si>
  <si>
    <t>other supplies</t>
  </si>
  <si>
    <t>TOWN OF EAST HAVEN, CT</t>
  </si>
  <si>
    <t>Taxes, Int, Recreation, Summer Camp, Bldg &amp; Zoning Related</t>
  </si>
  <si>
    <t>Debt Refinancing/ Restructuring,   Increased Fee Schedule</t>
  </si>
  <si>
    <t>Other</t>
  </si>
  <si>
    <t>CARES ACT</t>
  </si>
  <si>
    <t>Protexus Electrostatic sprayers, fogger/mister, chemical sprayer, purtabs disinfectant cleaner, disinfecting/sanitizing wipes, hand sanitizer, ethynol alcohol (decon of PPE and sanitation), spray bottles, trash cans, biohazard bags</t>
  </si>
  <si>
    <t>Stafford ACT, Presidentials Declaration COVID-19</t>
  </si>
  <si>
    <r>
      <rPr>
        <b/>
        <sz val="9"/>
        <color theme="1"/>
        <rFont val="Calibri"/>
        <family val="2"/>
        <scheme val="minor"/>
      </rPr>
      <t>Category 1</t>
    </r>
    <r>
      <rPr>
        <sz val="9"/>
        <color theme="1"/>
        <rFont val="Calibri"/>
        <family val="2"/>
        <scheme val="minor"/>
      </rPr>
      <t xml:space="preserve"> </t>
    </r>
    <r>
      <rPr>
        <i/>
        <sz val="9"/>
        <color theme="1"/>
        <rFont val="Times New Roman"/>
        <family val="1"/>
      </rPr>
      <t>(Appliances)</t>
    </r>
    <r>
      <rPr>
        <sz val="9"/>
        <color theme="1"/>
        <rFont val="Calibri"/>
        <family val="2"/>
        <scheme val="minor"/>
      </rPr>
      <t xml:space="preserve">: Washer/dryer for EHPD and EHFD (decon of uniforms), digital thermometers
</t>
    </r>
    <r>
      <rPr>
        <b/>
        <sz val="9"/>
        <color theme="1"/>
        <rFont val="Calibri"/>
        <family val="2"/>
        <scheme val="minor"/>
      </rPr>
      <t>Category 2</t>
    </r>
    <r>
      <rPr>
        <sz val="9"/>
        <color theme="1"/>
        <rFont val="Calibri"/>
        <family val="2"/>
        <scheme val="minor"/>
      </rPr>
      <t xml:space="preserve"> </t>
    </r>
    <r>
      <rPr>
        <i/>
        <sz val="9"/>
        <color theme="1"/>
        <rFont val="Times New Roman"/>
        <family val="1"/>
      </rPr>
      <t>(IT, Remote Workstations)</t>
    </r>
    <r>
      <rPr>
        <sz val="9"/>
        <color theme="1"/>
        <rFont val="Calibri"/>
        <family val="2"/>
        <scheme val="minor"/>
      </rPr>
      <t>: iPads,/laptops, surface docs, monitors, keyboard/mouse combos, computer cables, webcams (video conferencing); video conferencing monthly fees (Zoom), ink cartridges, misc. office supplies</t>
    </r>
  </si>
  <si>
    <t>MREs for first responders (EHPD, EHFD, PSCC)</t>
  </si>
  <si>
    <t>CARES ACT, Stafford ACT, Presidentials Declaration COVID-19</t>
  </si>
  <si>
    <t>Assistant to Firefighters Grant-Supplemental, Stafford ACT, Presidentials Declaration COVID-19</t>
  </si>
  <si>
    <t>Face masks, half masks, respirators, respiratory cartridges, filters, face shields, headgear, protective eyewear, ERS/Tyvek suits/coveralls, nitrile exam gloves</t>
  </si>
  <si>
    <t>Town of Ellington</t>
  </si>
  <si>
    <t>Interest (estimate)</t>
  </si>
  <si>
    <t>Fund Balance</t>
  </si>
  <si>
    <t>Sanitizer</t>
  </si>
  <si>
    <t>12 Laptops</t>
  </si>
  <si>
    <t>Grab &amp; Go</t>
  </si>
  <si>
    <t>Est. electricity charge for use</t>
  </si>
  <si>
    <t>Masks, gloves</t>
  </si>
  <si>
    <t>Plexiglass Panels</t>
  </si>
  <si>
    <t>Counter protection</t>
  </si>
  <si>
    <t>Ellington Board of Education</t>
  </si>
  <si>
    <t xml:space="preserve">Salary costs for food service workers not providing emergency meals. Salaries associated with meals are being charged to the non profit food service account, where reimbursement through USDA/CSDE is expected. </t>
  </si>
  <si>
    <t>Town of Essex</t>
  </si>
  <si>
    <t>$122,250
Most will take place next FY</t>
  </si>
  <si>
    <t xml:space="preserve">see below
Also concerns about revenue from state </t>
  </si>
  <si>
    <t>Yes.  Not for FY 19-20.  But we do anticipate challenges in FY 20-21</t>
  </si>
  <si>
    <t>Possible issue of TANs
Use of Fund balance</t>
  </si>
  <si>
    <t>surplus of $200k</t>
  </si>
  <si>
    <t>difficult to gauge until we know if there are any BOE savings</t>
  </si>
  <si>
    <t>Local Revenue P&amp;R programs - net</t>
  </si>
  <si>
    <t>(est $48k gross; $16k net of associated expenditures that will not be incurred)</t>
  </si>
  <si>
    <t>Local - Economic slowdown fy 20-21</t>
  </si>
  <si>
    <t>(building permits, conveyance, town clerk fees, interest income)</t>
  </si>
  <si>
    <t>exceeds budget</t>
  </si>
  <si>
    <t>Coronavirus Relief Fund/FEMA</t>
  </si>
  <si>
    <t>supplies for Town Hall &amp; PW</t>
  </si>
  <si>
    <t>-</t>
  </si>
  <si>
    <t>Social Services Food Gift Cards *</t>
  </si>
  <si>
    <t>supplies and related mileage</t>
  </si>
  <si>
    <t>Overtime Related to Response**</t>
  </si>
  <si>
    <t>safety &amp; communications</t>
  </si>
  <si>
    <t>various PPE for Town Hall use and distribution</t>
  </si>
  <si>
    <t>Legal fees-Bond Counsel</t>
  </si>
  <si>
    <t>anticipate not eligible</t>
  </si>
  <si>
    <t>potential TAN issue. Not issued until FY 20-21</t>
  </si>
  <si>
    <t>Technology - software</t>
  </si>
  <si>
    <t>software for remote communications</t>
  </si>
  <si>
    <t>*</t>
  </si>
  <si>
    <t>Does not yet include costs associated with School 'Grab n Go'  food program through regional school district</t>
  </si>
  <si>
    <t>**</t>
  </si>
  <si>
    <t>Includes only hourly employees.  Salaried not included.</t>
  </si>
  <si>
    <t>Town of Glastonbury</t>
  </si>
  <si>
    <t>Interest on investments, Building inspection fees, Town Clerk conveyance</t>
  </si>
  <si>
    <t>Expense reduction</t>
  </si>
  <si>
    <t>Unassigned Fund Balance</t>
  </si>
  <si>
    <t>Proj. Gain of $775k</t>
  </si>
  <si>
    <t>Proj. Deficit $818k</t>
  </si>
  <si>
    <t>Pre-COVID</t>
  </si>
  <si>
    <t>Post-COVID</t>
  </si>
  <si>
    <t>Disinfectant, spray bottles</t>
  </si>
  <si>
    <t>Internet bandwidth, Zoom</t>
  </si>
  <si>
    <t>Food store gift cards</t>
  </si>
  <si>
    <t>PD</t>
  </si>
  <si>
    <t>Gloves, masks, etc.</t>
  </si>
  <si>
    <t>Other (Childcare supplies)</t>
  </si>
  <si>
    <t>Child care kit supplies</t>
  </si>
  <si>
    <t>Town of Granby</t>
  </si>
  <si>
    <t>Cancelled of Recreation, Senior Center, Library events. Closed of Transfer station and offices that offer services to residents</t>
  </si>
  <si>
    <t>Yes in FY21</t>
  </si>
  <si>
    <t>Liquidate long-term and short-term investments in this fiscal year</t>
  </si>
  <si>
    <t>Unsure</t>
  </si>
  <si>
    <t>Disinfectant wipes, disinfectant sprays, sanitizer, soap</t>
  </si>
  <si>
    <t>Laptops, IPads, Chromebooks, hotpots, Zoom software, laptops, scanners, webcams</t>
  </si>
  <si>
    <t xml:space="preserve">for employees and first responders who may have exposed to COVID-19 </t>
  </si>
  <si>
    <t>maintenance, custodial</t>
  </si>
  <si>
    <t>No Touch thermometers</t>
  </si>
  <si>
    <t>Protective Glass for offices</t>
  </si>
  <si>
    <t>Countertop protective shield in various offices</t>
  </si>
  <si>
    <t>Signs</t>
  </si>
  <si>
    <t>Signs for transfer station closing duirng COVID-19</t>
  </si>
  <si>
    <t>Training</t>
  </si>
  <si>
    <t>Webinar training for police officers</t>
  </si>
  <si>
    <t xml:space="preserve">Emer. Mgmt &amp; HR </t>
  </si>
  <si>
    <t>Additional wages for Director of Emergency Management and Human Resources</t>
  </si>
  <si>
    <t>Town of Greenwich</t>
  </si>
  <si>
    <t>1) Closure of Parks and Recreation Programs, including three municipal beaches.</t>
  </si>
  <si>
    <t>Parks and Recreation Revenue Losses</t>
  </si>
  <si>
    <t>Partially Budgeted</t>
  </si>
  <si>
    <t>Municipal Nursing Home expenses (see attached).</t>
  </si>
  <si>
    <t>Town of Griswold</t>
  </si>
  <si>
    <t>We have elected to use the deferment by application</t>
  </si>
  <si>
    <t>None</t>
  </si>
  <si>
    <t>Legal</t>
  </si>
  <si>
    <t>Town of Griswold - Board of Education</t>
  </si>
  <si>
    <t>GenYouth &amp; No Kid Hungry Grants</t>
  </si>
  <si>
    <t>Applied for but not granted as of 4/30/20</t>
  </si>
  <si>
    <t xml:space="preserve">Town of Groton </t>
  </si>
  <si>
    <t>Estimated tax/interest loss due to deferral &amp; low interest programs</t>
  </si>
  <si>
    <t>Only those expenses  that are absolutely necessary will be paid after July 1st.</t>
  </si>
  <si>
    <t>unknown at this time</t>
  </si>
  <si>
    <t>Town of Groton (Golf Course Fund)</t>
  </si>
  <si>
    <t>Loss of cart revenue at golf course due to social distancing requirement</t>
  </si>
  <si>
    <t>Assumes 2 largest tax payers and mortgage escrow is paid in July</t>
  </si>
  <si>
    <t>CARES act</t>
  </si>
  <si>
    <t>Disinfectant, Germx, bleach, disinfectant wipes, hand sanitizer, shop towels, 99.8% isoproyl alcohol</t>
  </si>
  <si>
    <t>Laptops for telelworking, thermometers, Zoom, Google Voice, document cameras, Zoho remote assist, Chromebook replacements, Hot spots for long distance learning</t>
  </si>
  <si>
    <t xml:space="preserve">Cost of food, labor </t>
  </si>
  <si>
    <t>Programs/meetings related OT</t>
  </si>
  <si>
    <t xml:space="preserve">Masks, latex gloves, santizier &amp; dispenser, face shields, shoe covers, plastic bottles, trigger sprayers, </t>
  </si>
  <si>
    <t>EOC soft opening</t>
  </si>
  <si>
    <t>Coffee, pastries</t>
  </si>
  <si>
    <t>City of Groton</t>
  </si>
  <si>
    <t>I do not believe we will be seeing a large decrease in tax revenue in the current year, however there is a potential for some cash flow challenges.  The larger revenue impact that the City may face is possibly going to be with our utility revenues.  With businesses closed and/or only operating part-time we may see a decrease in revenue which may or may not be significant.  Also we may experience some cash flow issues as we work our way thru and out of the pandemic.</t>
  </si>
  <si>
    <t>Utiltity revenues, park and recreation fees</t>
  </si>
  <si>
    <t>unknown</t>
  </si>
  <si>
    <t>City receives all tax revenue in one time payment (July), if 2 largest taxpayers pay in July and majority of taxpayers pay upon the complettion of the deferral date, the City should not experience a cash flow issue.  If this is not the case we will look into using fund balance and doing internal short term borrowing between City funds.</t>
  </si>
  <si>
    <t>should not have any impact during this time period</t>
  </si>
  <si>
    <t xml:space="preserve">No </t>
  </si>
  <si>
    <t>No and Yes</t>
  </si>
  <si>
    <t>I do not believe this amount captures all the costs related to teleworking</t>
  </si>
  <si>
    <t>hed</t>
  </si>
  <si>
    <t>additional cleaning, police patrols and CV 19 meetings</t>
  </si>
  <si>
    <t>Town of Guilford</t>
  </si>
  <si>
    <t>Estimate of 1/2 taxpayers taking advantage of deferral; assume full payment from escrow</t>
  </si>
  <si>
    <t>Possible</t>
  </si>
  <si>
    <t>Hold back contributions to Pension &amp; Medical Funds to ensure we stay in a good cash flow position</t>
  </si>
  <si>
    <t>Bld cleaning &amp; supplies</t>
  </si>
  <si>
    <t>zoom subscription, laptops</t>
  </si>
  <si>
    <t>rent payment</t>
  </si>
  <si>
    <t>Not to this extent</t>
  </si>
  <si>
    <t>AFG/FEMA</t>
  </si>
  <si>
    <t>Medical Equipment</t>
  </si>
  <si>
    <t>thermoscan</t>
  </si>
  <si>
    <t>n</t>
  </si>
  <si>
    <t>mailing and signs</t>
  </si>
  <si>
    <t>Hazard pay for transfer station</t>
  </si>
  <si>
    <t>Hampton BOE</t>
  </si>
  <si>
    <t>loss of PK tuition</t>
  </si>
  <si>
    <t>ESSERF</t>
  </si>
  <si>
    <t>Chromebooks</t>
  </si>
  <si>
    <t>Non-Overtime additional pay</t>
  </si>
  <si>
    <t>supplies - work/learn from home</t>
  </si>
  <si>
    <t>postage to mail student pks/info</t>
  </si>
  <si>
    <t>online programming</t>
  </si>
  <si>
    <t>Deferment until October 1st - delay in payment receipt</t>
  </si>
  <si>
    <t>Investment Fund Transfers If Necessary</t>
  </si>
  <si>
    <t>cleaning supplies</t>
  </si>
  <si>
    <t>zoom, seesaw, park bench</t>
  </si>
  <si>
    <t>non reimbursed costs: salary, salary differential, food costs</t>
  </si>
  <si>
    <t>custodian "hazard pay" salary differential</t>
  </si>
  <si>
    <t>masks, gloves, &amp; gowns</t>
  </si>
  <si>
    <t>PreSchool Staff costs (typically tuition funded)</t>
  </si>
  <si>
    <t>Fees: N General Fund: Y</t>
  </si>
  <si>
    <t>Loss of preschool tuition</t>
  </si>
  <si>
    <t xml:space="preserve">Town of Ledyard -- General Government </t>
  </si>
  <si>
    <t>Visiting nurses fees, Recreation program fees, library fees, taxes are all down</t>
  </si>
  <si>
    <t>Fund balance</t>
  </si>
  <si>
    <t xml:space="preserve">Disinfectant cleaner, wipes, </t>
  </si>
  <si>
    <t>Masks, gloves for staff working at town buildings; PPE for first responders</t>
  </si>
  <si>
    <t>Ledyard BOE</t>
  </si>
  <si>
    <t>Cleaning supplies</t>
  </si>
  <si>
    <t>Devices for distance learning</t>
  </si>
  <si>
    <t>Emergency food service</t>
  </si>
  <si>
    <t>Unused diesel fuel</t>
  </si>
  <si>
    <t>Diesel fuel contract est liquidation</t>
  </si>
  <si>
    <t>AmplioSpeech</t>
  </si>
  <si>
    <t>SLP program for distance learning</t>
  </si>
  <si>
    <t>Extra cleaning personnel</t>
  </si>
  <si>
    <t>Support staff reallocated to custodial</t>
  </si>
  <si>
    <t>Unemployment costs</t>
  </si>
  <si>
    <t>Support staff unemployment claims</t>
  </si>
  <si>
    <t>Lisbon-Board of Education</t>
  </si>
  <si>
    <t xml:space="preserve">Lost cafeteria sales &amp; reimbursement </t>
  </si>
  <si>
    <t>Food lost due to closure &amp; FS Director Salary</t>
  </si>
  <si>
    <t>Disinfecting of playground equip</t>
  </si>
  <si>
    <t>Unemployment</t>
  </si>
  <si>
    <t>MOA's</t>
  </si>
  <si>
    <t>90 Days Deferment</t>
  </si>
  <si>
    <t>May borrow money from fund balance</t>
  </si>
  <si>
    <t>NONE</t>
  </si>
  <si>
    <t>Volunteer Ambulance Stipend</t>
  </si>
  <si>
    <t>BOE</t>
  </si>
  <si>
    <t>Software related to distance learning</t>
  </si>
  <si>
    <t>Projected loss related to school being closed</t>
  </si>
  <si>
    <t>Custodial Services OT related to COVID-19</t>
  </si>
  <si>
    <t>Donation of PPE to Local Hospital</t>
  </si>
  <si>
    <t xml:space="preserve">Pre-K </t>
  </si>
  <si>
    <t>Pre-K refunds</t>
  </si>
  <si>
    <t>FY 20/21 LIP</t>
  </si>
  <si>
    <t>.</t>
  </si>
  <si>
    <t>Building disinfecting</t>
  </si>
  <si>
    <t>City of Norwich</t>
  </si>
  <si>
    <t>Decline in property tax collections, building permits, conveyance taxes, land recording fees, and various other revenues</t>
  </si>
  <si>
    <t>Not anticipating any during FY2020.  Could have some in FY2021</t>
  </si>
  <si>
    <t>Don't anticipate using revenue anticipation notes</t>
  </si>
  <si>
    <t>Other Revenues</t>
  </si>
  <si>
    <t xml:space="preserve">City - Cleaning Supplies </t>
  </si>
  <si>
    <t>Not budgeted</t>
  </si>
  <si>
    <t>FEMA 75%</t>
  </si>
  <si>
    <t>Wipes, disinfectants</t>
  </si>
  <si>
    <t>City - Equipment (IT, teleworking, etc.)</t>
  </si>
  <si>
    <t>Zoom, conference call bridge, remote desktop software, laptops</t>
  </si>
  <si>
    <t>Contribution to New London shelter for housing Norwich homeless</t>
  </si>
  <si>
    <t>City - Transaction Fees</t>
  </si>
  <si>
    <t>Waiver of online credit card fees on tax payments</t>
  </si>
  <si>
    <t>City Overtime Related to Response</t>
  </si>
  <si>
    <t>Police staffing public building entrances, IT work, admin work supporting public meetings</t>
  </si>
  <si>
    <t xml:space="preserve">City PPE (masks, gloves, etc.) </t>
  </si>
  <si>
    <t>Masks, gloves, thermometers, gowns, etc.</t>
  </si>
  <si>
    <t>Schools - Cleaning Supplies</t>
  </si>
  <si>
    <t>CARES Act or FEMA 75%</t>
  </si>
  <si>
    <t>Lysol/Wipes/Bleach/Machines</t>
  </si>
  <si>
    <t>Schools - PPE</t>
  </si>
  <si>
    <t>Masks</t>
  </si>
  <si>
    <t>Schools - Food Services</t>
  </si>
  <si>
    <t>Providing meals to students while they are not in school</t>
  </si>
  <si>
    <t>Schools - IT</t>
  </si>
  <si>
    <t>Software and hardware for distance learning</t>
  </si>
  <si>
    <t>City of Norwalk</t>
  </si>
  <si>
    <t>See Estimate of Revenue Impact Below</t>
  </si>
  <si>
    <t>$69.73MM</t>
  </si>
  <si>
    <t>Short-term bank borrowing</t>
  </si>
  <si>
    <t>Tax Collector</t>
  </si>
  <si>
    <t>Health Department Fees</t>
  </si>
  <si>
    <t>Health inspections (pool $12,500; salons $30,000; temporary events $6,000), Mobile Clinic and STD Clinic.</t>
  </si>
  <si>
    <t>Library Fees</t>
  </si>
  <si>
    <t>Overdue fines and passport fees.</t>
  </si>
  <si>
    <t>DPW Operations</t>
  </si>
  <si>
    <t>Waste site closure</t>
  </si>
  <si>
    <t>DPW Engineering</t>
  </si>
  <si>
    <t>Slowing encroachment permits due to halted construction</t>
  </si>
  <si>
    <t>DPW Recreation &amp; Parks</t>
  </si>
  <si>
    <t>Closed facilities and cancelled programs. Events $79k, Parking $78.1k, Marina 70.4k, Programs $105k, Summer Camp $540k</t>
  </si>
  <si>
    <t>TOTAL</t>
  </si>
  <si>
    <t>FEMA / Cares Act</t>
  </si>
  <si>
    <t>Library</t>
  </si>
  <si>
    <t>Purell dispensers</t>
  </si>
  <si>
    <t>Fire</t>
  </si>
  <si>
    <t>Disinfectant sprays and wipes, hand sanitizers, detergent</t>
  </si>
  <si>
    <t>Hand sanitizer, disinfectant wipes and spray</t>
  </si>
  <si>
    <t>Hand sanitizer and disinfectants</t>
  </si>
  <si>
    <t>DPW Building Management</t>
  </si>
  <si>
    <t>Police</t>
  </si>
  <si>
    <t>Hand sanitizers, wipes, spray disinfectants, UV sanitizing lights</t>
  </si>
  <si>
    <t>IT Department</t>
  </si>
  <si>
    <t>24 Laptops, 8 MS teams licenses, zoom licensing, teleconference hardware</t>
  </si>
  <si>
    <t>40 Laptops replacing desktops that can be social distanced.</t>
  </si>
  <si>
    <t>Human Relations</t>
  </si>
  <si>
    <t>Community Services</t>
  </si>
  <si>
    <t>Teleconferencing services</t>
  </si>
  <si>
    <t>Headset for online meetings, software for remote plan review on laptop computer</t>
  </si>
  <si>
    <t>Planning &amp; Zoning</t>
  </si>
  <si>
    <t>Webcam for remote meetings</t>
  </si>
  <si>
    <t>12 Dell laptops, 24 dell cases, 10 ethernet cables, 24 AT&amp;T Headsets</t>
  </si>
  <si>
    <t>Health Department</t>
  </si>
  <si>
    <t>OT PPE pickup and delivery; Surveyed, coordinated and assigned volunteers</t>
  </si>
  <si>
    <t>OT coverage for Officers with Covid illness and in quarantine</t>
  </si>
  <si>
    <t>Closure/monitoring of facilities, traffic control, address right-of-way issues</t>
  </si>
  <si>
    <t>Closing/monitoring facilities, unable to hire seasonal staff for park maintanance</t>
  </si>
  <si>
    <t>Additional janitorial staffing</t>
  </si>
  <si>
    <t>Information Technology</t>
  </si>
  <si>
    <t>Zoom meeting moderating, setup and training. VPN troubleshooting. DNS troubleshooting</t>
  </si>
  <si>
    <t>Gloves and masks</t>
  </si>
  <si>
    <t>Gloves, masks, gowns, particleMax virus filters</t>
  </si>
  <si>
    <t>Gloves, masks, respirators</t>
  </si>
  <si>
    <t>Goggles, gowns, masks, 200 face shields</t>
  </si>
  <si>
    <t>Human Relations Land Line Translations</t>
  </si>
  <si>
    <t>Testing - Thermometers, etc.</t>
  </si>
  <si>
    <t>Testing stations for safety compliance, thermometers</t>
  </si>
  <si>
    <t xml:space="preserve">Thermometers, </t>
  </si>
  <si>
    <t>Social Distancing</t>
  </si>
  <si>
    <t>Barricade tape, Traffic Cones and Barrels</t>
  </si>
  <si>
    <t>Barricades, facility locks and caution tape at playrounds, beaches, etc.</t>
  </si>
  <si>
    <t>Plexi storefronts for Town Clerk, Comptroller, Personnel, Customer Service</t>
  </si>
  <si>
    <t>Equip offsite firehouse for social distancing</t>
  </si>
  <si>
    <t>DPW Increased Waste Tonnage</t>
  </si>
  <si>
    <t>Fogger/disinfectant BOE</t>
  </si>
  <si>
    <t>Zoom fees</t>
  </si>
  <si>
    <t>Board of Education Breakfast &amp; Lunch</t>
  </si>
  <si>
    <t>IT Distance Learning Prep BOE, Resident Trooper OT</t>
  </si>
  <si>
    <t>Town Building Cleaning</t>
  </si>
  <si>
    <t xml:space="preserve">Service Master </t>
  </si>
  <si>
    <t>BOE MOAs pandemic</t>
  </si>
  <si>
    <t>Printing/Signage</t>
  </si>
  <si>
    <t>BOE packets, distance signage</t>
  </si>
  <si>
    <t>Closure Supples</t>
  </si>
  <si>
    <t>Plywood for swap shed, drop boxes</t>
  </si>
  <si>
    <t>NEWTOWN</t>
  </si>
  <si>
    <t>***           NO</t>
  </si>
  <si>
    <t>Recreation Program Revenues</t>
  </si>
  <si>
    <t>Town Clerk Conveyance Fees</t>
  </si>
  <si>
    <t>Edmond Town Hall Program and Rental Fees</t>
  </si>
  <si>
    <t>Newtown Community Center membership fees and Program Revenue</t>
  </si>
  <si>
    <t>*** Includes $1,700,000 in FEMA grant receivable.</t>
  </si>
  <si>
    <t>Interest Income</t>
  </si>
  <si>
    <t>Teleworking expenses</t>
  </si>
  <si>
    <t>Supplies &amp; OT</t>
  </si>
  <si>
    <t>Masks / gloves</t>
  </si>
  <si>
    <t>BOARD OF EDUCATION:</t>
  </si>
  <si>
    <t>Ipads / programs</t>
  </si>
  <si>
    <t>Free &amp; reduced meals</t>
  </si>
  <si>
    <t>PPE</t>
  </si>
  <si>
    <t>Town of Newington</t>
  </si>
  <si>
    <t>Tas Deferral, Low Interest, interest income, and fees.</t>
  </si>
  <si>
    <t>Fees</t>
  </si>
  <si>
    <t>This does not include any loss of revenue due to businesses closing or home foreclosure.  We ar working on that now.</t>
  </si>
  <si>
    <t>FEMA Reimbursement</t>
  </si>
  <si>
    <t>Wipes, Disinfectants, Bleech</t>
  </si>
  <si>
    <t>Hotspots, Meeting Platforms, etc</t>
  </si>
  <si>
    <t>Masks &amp; Gloves</t>
  </si>
  <si>
    <t>Sneeze Guards</t>
  </si>
  <si>
    <t>Library Grant for $6,990 other potential FEMA</t>
  </si>
  <si>
    <t>Ordered sneeze guards for the library and looking to do this for Tax and Assessors</t>
  </si>
  <si>
    <t>Plastic Bags</t>
  </si>
  <si>
    <t>Food Program</t>
  </si>
  <si>
    <t>COVID Signs</t>
  </si>
  <si>
    <t>tax revenue deferral - 1st quarter</t>
  </si>
  <si>
    <t>spending freeze, furloughs, layoffs</t>
  </si>
  <si>
    <t>Sanitizer, hand soap, and cleaner, Cleaning supplies for office and food bank services, cleaning services for infected area of PD personnel</t>
  </si>
  <si>
    <t>Laptop, docking station  for EDD, Disinfectant Fogger, Digital Thermometer, SSLVPN and Remote Desktop licenses to allow for teleworking, monitor for web-based meetings, Hygenex UV light/clean, Carpet Extractor, Foggers-w/Battery Kit, Sprayers, Zoom Meetings Pro Video Conferencing Annual License, bulk email tool, Distance Learning: laptops, chromebooks, hotspots</t>
  </si>
  <si>
    <t>Coronavirus Relief Fund</t>
  </si>
  <si>
    <t xml:space="preserve">bags for food distributed through food bank/ containers for meals provided by local non-profit to be distributed through food bank, paper goods, Food purchases for distibution at food bank  (projected is for future food purchases and food gift cards) </t>
  </si>
  <si>
    <t>Nursing services</t>
  </si>
  <si>
    <t xml:space="preserve">OT Related for DSP R. out sick, By contract to fill DSP slot; Park Patrols _ Exec. Order, Maintenance OT, IT and Secretarial Staff </t>
  </si>
  <si>
    <t>gloves, masks, Thermometer covers, gloves for food bank sorting, filling bags, and distribution</t>
  </si>
  <si>
    <t>Training and online support</t>
  </si>
  <si>
    <t xml:space="preserve">Online training scheduled as available; website updates to exisitng business page; Additional support to teachers who need tech support with their distance learning lessons from fellow teachers </t>
  </si>
  <si>
    <t>Unemployment Claims</t>
  </si>
  <si>
    <t>Claims due to program cancellations</t>
  </si>
  <si>
    <t>Social Distancing Supplies</t>
  </si>
  <si>
    <t>Signage supplies for Parks &amp; Recreation facilities, Townwide, department paper goods</t>
  </si>
  <si>
    <t>Sick Leave</t>
  </si>
  <si>
    <t>Quarrantine Protocol, inc 1 offier and 1 dispatcher</t>
  </si>
  <si>
    <t>Legal Professional Services</t>
  </si>
  <si>
    <t>Legal Services Related to Response for Negotiations, MOU's, etc</t>
  </si>
  <si>
    <t>Town of New Fairfield</t>
  </si>
  <si>
    <t xml:space="preserve">Building permits,RE Conveyance,BOE sports,P&amp;R,BOE ELC </t>
  </si>
  <si>
    <t>disinfecting buildings</t>
  </si>
  <si>
    <t>telework/learning</t>
  </si>
  <si>
    <t>Custodians/disinfecting</t>
  </si>
  <si>
    <t xml:space="preserve">40% of RE is escrowed by banks - cash flow assumes and addtl 10% collection in July.  </t>
  </si>
  <si>
    <t>22.8 Million</t>
  </si>
  <si>
    <t>No.  99% Collection Rate for FY 20 as of 4/20/20.</t>
  </si>
  <si>
    <t>monthly cash flow analysis beginning March 20 thru Dec 20</t>
  </si>
  <si>
    <t>current cash on hand can cover</t>
  </si>
  <si>
    <t>Low Interest Program - July 1</t>
  </si>
  <si>
    <t>Hand Sanitizer, Wipes, Disinfectant, Bottles</t>
  </si>
  <si>
    <t>Microphone Equipment &amp; Protective Glass for Public Counter, Stanley Tower Site UPS Repairs, Laptops, Teleconference Fees, Cameras</t>
  </si>
  <si>
    <t>OT related to COVID-19</t>
  </si>
  <si>
    <t>Masks, Gloves, Gowns, Thermometers, Face Shields</t>
  </si>
  <si>
    <t xml:space="preserve">Montville BOE </t>
  </si>
  <si>
    <t>TBD</t>
  </si>
  <si>
    <t>Cleaning Supplies, Wipes Etc.</t>
  </si>
  <si>
    <t xml:space="preserve">Equipment </t>
  </si>
  <si>
    <t>Sprayers, printer and misc</t>
  </si>
  <si>
    <t>Cost to be determined</t>
  </si>
  <si>
    <t>OT Hours for locker clean out/ secretary /para handing out devices</t>
  </si>
  <si>
    <t>Masks, Gloves</t>
  </si>
  <si>
    <t>Distance Learning - Software and devices</t>
  </si>
  <si>
    <t>Equipment cost would increase $308951 if chromebooks/ipads were leased</t>
  </si>
  <si>
    <t xml:space="preserve">Unemployment </t>
  </si>
  <si>
    <t>Families Frist Coronavirus Response Leave</t>
  </si>
  <si>
    <t>Salary and payroll burden</t>
  </si>
  <si>
    <t>Postage</t>
  </si>
  <si>
    <t>additional postage because of communication with students</t>
  </si>
  <si>
    <t>employee and contract discussion with Atty</t>
  </si>
  <si>
    <t>Town of Montville</t>
  </si>
  <si>
    <t>Tax Collections, Misc Dept Revenue</t>
  </si>
  <si>
    <t>TOWN OF MONROE</t>
  </si>
  <si>
    <t>Property Taxes, Building &amp; P&amp;Z Permits, Town Clerk Fees, Recreation fees, Etc.</t>
  </si>
  <si>
    <t>None presently - but a concern by late summer.</t>
  </si>
  <si>
    <t>Freeze on non-essential expenditures</t>
  </si>
  <si>
    <t>Net Cost of providing meals to students during remote learning</t>
  </si>
  <si>
    <t>Health Grants</t>
  </si>
  <si>
    <t>Public Health Preparedness &amp; Response</t>
  </si>
  <si>
    <t>Public Health Response and Emergency Operations Center</t>
  </si>
  <si>
    <t xml:space="preserve">Long-term Recovery Coordination </t>
  </si>
  <si>
    <t>Milford Public Schools</t>
  </si>
  <si>
    <t xml:space="preserve">Food Services  </t>
  </si>
  <si>
    <t>Ready to Learn Program Tuition</t>
  </si>
  <si>
    <t xml:space="preserve">PPS Pre-K Program Tuition </t>
  </si>
  <si>
    <t xml:space="preserve">Facility Rental Lost Fees </t>
  </si>
  <si>
    <t>Adult Education Program Tuition &amp; Fees</t>
  </si>
  <si>
    <t>USDA ?</t>
  </si>
  <si>
    <t xml:space="preserve">School Lunch Program ? </t>
  </si>
  <si>
    <t>Educational Impact &amp; Recovery</t>
  </si>
  <si>
    <t>Dept. of Education</t>
  </si>
  <si>
    <t>CARES Act, Governor's Emergency EducationRelief Fund</t>
  </si>
  <si>
    <t>Liquidation of unused diesel fuel</t>
  </si>
  <si>
    <t>School Transportation</t>
  </si>
  <si>
    <t>Municipality</t>
  </si>
  <si>
    <t>City of Milford</t>
  </si>
  <si>
    <t>Library: Fines and Fees - overdue fines, printing costs; Passport Services</t>
  </si>
  <si>
    <t>Fund Balance and tax payments from bank escrow accounts</t>
  </si>
  <si>
    <t>Loss of Interest Income</t>
  </si>
  <si>
    <t>Police: Reports/License/Parking Tickets/Fringerprinting/ Alarm Billing</t>
  </si>
  <si>
    <t xml:space="preserve">Health: Temporary Food Service License Fees, FSE Reinspection Fees, Lodging License Fees, Immunization Fees </t>
  </si>
  <si>
    <t>EMS Revenue, Fire Marshal inspections and plain review, reporting fees</t>
  </si>
  <si>
    <t>Assessor: 5 month loss (Feb-June) due to printing charges for maps, field cards, copies of office documents</t>
  </si>
  <si>
    <t>City Clerk: Vital Statistics, Hunting and Angling, Personal Property, Copy Fees</t>
  </si>
  <si>
    <t>TOTAL NON-TAX REVENUE LOSS:</t>
  </si>
  <si>
    <t>Health Dept. Overtime Related to Response</t>
  </si>
  <si>
    <t>CT DPH</t>
  </si>
  <si>
    <t>CDC Crisis Response Funding</t>
  </si>
  <si>
    <t xml:space="preserve">Health Dept. PPE (masks, gloves, etc.) </t>
  </si>
  <si>
    <t>Safety Equipment</t>
  </si>
  <si>
    <t>Training Online Subscriptions</t>
  </si>
  <si>
    <t xml:space="preserve">MYA Mailing-Supplies </t>
  </si>
  <si>
    <t>Postage or Office Supplies</t>
  </si>
  <si>
    <t>Vehicle Repair</t>
  </si>
  <si>
    <t>Town of Middlefield</t>
  </si>
  <si>
    <t>Difference between total potential interst on delinquent taxes at 1.5% per month versus 0.25% per month</t>
  </si>
  <si>
    <t>Disinfectants/wipes</t>
  </si>
  <si>
    <t>Remote access &amp; Zoom</t>
  </si>
  <si>
    <t>Masks/gloves/goggles/</t>
  </si>
  <si>
    <t>other PPE</t>
  </si>
  <si>
    <t>Town of Middlebury</t>
  </si>
  <si>
    <t>Park &amp; Rec &amp; Social Services Program Rev, MRA Admissions, Police Ticket Violations,Library Fines, Assessor Audits, Fees etc.</t>
  </si>
  <si>
    <t>Excel</t>
  </si>
  <si>
    <t>Town of Mansfield</t>
  </si>
  <si>
    <t>Interest -all taxpayers deferred to 10/1/20</t>
  </si>
  <si>
    <t>CARES-Coronavirus Relief</t>
  </si>
  <si>
    <t>Includes disinfectants and spraying equipment for sanitation</t>
  </si>
  <si>
    <t>licensing, mobile devices for governing bodies</t>
  </si>
  <si>
    <t>Groceries for food pantry</t>
  </si>
  <si>
    <t xml:space="preserve">Coronavirus Preparedness &amp; Response </t>
  </si>
  <si>
    <t>Overtime and supplies</t>
  </si>
  <si>
    <t>Primarily OT for fire dept/emt staffing</t>
  </si>
  <si>
    <t xml:space="preserve">masks, gloves, coveralls, etc. </t>
  </si>
  <si>
    <t>Library eletronic media for patrons</t>
  </si>
  <si>
    <t>Primarily ebooks for patrons during shutdown.  Above and beyond what we would have normally purchaes</t>
  </si>
  <si>
    <t>Safety Equipment (desk shields, etc)</t>
  </si>
  <si>
    <t>Plexi-glass, additonal standing units, book drops, etc to maintain safe distancing</t>
  </si>
  <si>
    <t>Education - Cleaning Supplies</t>
  </si>
  <si>
    <t>CARES - Education Stabilization Fund</t>
  </si>
  <si>
    <t>Disinfectants</t>
  </si>
  <si>
    <t>Education - Equipment</t>
  </si>
  <si>
    <t>Technology</t>
  </si>
  <si>
    <t>Education - Distance Learning Materials</t>
  </si>
  <si>
    <t>Distance Learning materials</t>
  </si>
  <si>
    <t>Town of Manchester</t>
  </si>
  <si>
    <t>tax sale postponed
summer camp cancelled
reduced town revenues deferral program</t>
  </si>
  <si>
    <t>Use of Cash Reserves</t>
  </si>
  <si>
    <t>based on interest collected for current year taxes last fiscal year- August-September 2019</t>
  </si>
  <si>
    <t xml:space="preserve">and impact on bank interest earnings- </t>
  </si>
  <si>
    <t>comp time for salaried employees</t>
  </si>
  <si>
    <t>Distance Learning related Expense</t>
  </si>
  <si>
    <t>Town of Madison, CT</t>
  </si>
  <si>
    <t>30,300,000`</t>
  </si>
  <si>
    <t>tax deferral program</t>
  </si>
  <si>
    <t>Food Programs , including BOE Lunches</t>
  </si>
  <si>
    <t>BOE Curriculum/Distance Learning/Supplies</t>
  </si>
  <si>
    <t>Town of Orange</t>
  </si>
  <si>
    <t>Taxes, Interest Income,Permits,Conc. Fees, Park &amp; Rec, Library Fees</t>
  </si>
  <si>
    <t>Breakeven</t>
  </si>
  <si>
    <t>Paid and Incurred Direct Costs Estimated Thru April 30</t>
  </si>
  <si>
    <t>Projected thru 4/30 (incl YTD)</t>
  </si>
  <si>
    <t>supplies to wipe down work areas</t>
  </si>
  <si>
    <t>Software for meeting &amp; computer</t>
  </si>
  <si>
    <t>To protect town employees</t>
  </si>
  <si>
    <t>Delinquent tax Collections , Building permitsd and Land Use Fees, Investment Income loss on deferral program</t>
  </si>
  <si>
    <t>Cleaning supplies and equipment for 12 town and BOE buildings</t>
  </si>
  <si>
    <t>Computer for remote working, VPN and remote teaching for BOE</t>
  </si>
  <si>
    <t>Lunch for students pick up program for students in remote classroom</t>
  </si>
  <si>
    <t>Police, Emergency Management, Ambulance and Custodial staff</t>
  </si>
  <si>
    <t>Used for all emergency services including Fire, Ambulance and Police</t>
  </si>
  <si>
    <t xml:space="preserve">Town of Plainfield </t>
  </si>
  <si>
    <t xml:space="preserve">estimate taxes not paid </t>
  </si>
  <si>
    <t>conservative spending</t>
  </si>
  <si>
    <t>as of 6/30/2018</t>
  </si>
  <si>
    <t>audit not completed as of 6/30/2019</t>
  </si>
  <si>
    <t xml:space="preserve">cleaning supplies </t>
  </si>
  <si>
    <t>working from home connections</t>
  </si>
  <si>
    <t>police OT, Computer OT</t>
  </si>
  <si>
    <t>protective gear</t>
  </si>
  <si>
    <t>Plainfield BOE</t>
  </si>
  <si>
    <t>Educational Supplies</t>
  </si>
  <si>
    <t>Mailing and Postage</t>
  </si>
  <si>
    <t>Fogging Equipment for Disinfectants</t>
  </si>
  <si>
    <t>Miscellaneous (Propane, Keys)</t>
  </si>
  <si>
    <t>Town of Plainville</t>
  </si>
  <si>
    <t>Sewer Bills, Library fines and fees,Senior ceneter raffle/holiday fair/tag sale</t>
  </si>
  <si>
    <t>Services and supplies</t>
  </si>
  <si>
    <t>Distance learning and telecommuting</t>
  </si>
  <si>
    <t>Seniors and Schools</t>
  </si>
  <si>
    <t>Stanchions and Signage</t>
  </si>
  <si>
    <t>Library Social distancing</t>
  </si>
  <si>
    <t>Police department coverage</t>
  </si>
  <si>
    <t>All department</t>
  </si>
  <si>
    <t>Decon and Sanitizing Supplies</t>
  </si>
  <si>
    <t xml:space="preserve">Printing </t>
  </si>
  <si>
    <t>Tax office and senior ceneter</t>
  </si>
  <si>
    <t xml:space="preserve">Tax Office </t>
  </si>
  <si>
    <t>Building and Grounds</t>
  </si>
  <si>
    <t>Facility modifications</t>
  </si>
  <si>
    <t>Medical Supplies</t>
  </si>
  <si>
    <t>PK and Non-resident tuitions</t>
  </si>
  <si>
    <t>FEMA?</t>
  </si>
  <si>
    <t>disinfectant, sanitation supplies &amp; Equipment</t>
  </si>
  <si>
    <t>Chromebooks, Web Hostin, IT Remote</t>
  </si>
  <si>
    <t>Custodial subs for intense cleaning</t>
  </si>
  <si>
    <t>masks, gloves, hand sanitizers</t>
  </si>
  <si>
    <t>Town of Portland</t>
  </si>
  <si>
    <t>Loss of Rental Income - 50,000 and Interest Income  - 30,000</t>
  </si>
  <si>
    <t>hold spending through out all departments except BOE</t>
  </si>
  <si>
    <t>615,000 use of fund balance for capital items</t>
  </si>
  <si>
    <t>915000 use of the 300,000 of fb to balance gf budget</t>
  </si>
  <si>
    <t>FEMA/K-12 Fund (5,000)</t>
  </si>
  <si>
    <t>more specific cleaning products</t>
  </si>
  <si>
    <t>K-12 Fund</t>
  </si>
  <si>
    <t>zoom subscription/60(160 potential order in May) chromebooks/cases - distance learning, signage</t>
  </si>
  <si>
    <t>sewer clogs due to cleaning wipes/tp shortage, building clean up</t>
  </si>
  <si>
    <t>FEMA/K-12 Fund (2,000)</t>
  </si>
  <si>
    <t>gloves, masks, shields, sanitizer</t>
  </si>
  <si>
    <t>Lower local revenue. Fewer building permits, fewer town clerk fees and lower interest income</t>
  </si>
  <si>
    <t>Interfund transfers, deferred payments</t>
  </si>
  <si>
    <t>Social distancing/digital instruction</t>
  </si>
  <si>
    <t>Elementary and Secondary Education Relief Fund (partial)</t>
  </si>
  <si>
    <t>Student breakfast and lunches</t>
  </si>
  <si>
    <t>Clerical</t>
  </si>
  <si>
    <t>Paid leave of absence - student care</t>
  </si>
  <si>
    <t>For MOUs re: E7R</t>
  </si>
  <si>
    <t>Unemployment Compensation</t>
  </si>
  <si>
    <t>Liability for per diem employees</t>
  </si>
  <si>
    <t>Courier Drop Box</t>
  </si>
  <si>
    <t>Meeting Expenses</t>
  </si>
  <si>
    <t>Town of Ridgefield</t>
  </si>
  <si>
    <t>Tax Deferral and Low Interest Option (timing)</t>
  </si>
  <si>
    <t>TANs</t>
  </si>
  <si>
    <t>Cleaning Supplies /Building Cleanings</t>
  </si>
  <si>
    <t>Sanitizing/Cleaning Supplies/Building Cleanings</t>
  </si>
  <si>
    <t>Laptops, Zoom, Camera, Monitor, Printer, Renovations to locks, doors, telecommunication system</t>
  </si>
  <si>
    <t>Food/Supplies for Food Pantry</t>
  </si>
  <si>
    <t>Lodging for First Responders</t>
  </si>
  <si>
    <t>Training, Meetings, Coverages, Extra cleaning of HQ, Decontamination</t>
  </si>
  <si>
    <t>Masks, N95, Gowns, Face Shields, Safety Glasses, Coveralls</t>
  </si>
  <si>
    <t>Volunteer Background Checks</t>
  </si>
  <si>
    <t>Background check for volunteers</t>
  </si>
  <si>
    <t xml:space="preserve">Coverage for personal on EXTENDED FMLA COVID </t>
  </si>
  <si>
    <t>Morning person and afternoon leaves</t>
  </si>
  <si>
    <t>Mailing paychecks instead of handing out</t>
  </si>
  <si>
    <t>Have to mail checks now instead of pick up</t>
  </si>
  <si>
    <t>Office Supplies</t>
  </si>
  <si>
    <t>Ream of Death Certificate Paper</t>
  </si>
  <si>
    <t>Postage for dog licenses</t>
  </si>
  <si>
    <t>Need for Mailing Dog Licenses</t>
  </si>
  <si>
    <t>TOWN OF ROCKY HILL</t>
  </si>
  <si>
    <t>(Decrease Interest Earned &amp; Interest Fees) &amp; Increase in Delinquent Tax</t>
  </si>
  <si>
    <t>ROCKY HILL SCHOOLS ONLY</t>
  </si>
  <si>
    <t xml:space="preserve">Food Service </t>
  </si>
  <si>
    <t>Interest &amp; Taxes</t>
  </si>
  <si>
    <t>YES but minimal</t>
  </si>
  <si>
    <t>reduction in spending/system reporting/forecasting estimates/liquid assets</t>
  </si>
  <si>
    <t>Taxes &amp; Interest Based on 5 year avg delinquency thru 5/1/20</t>
  </si>
  <si>
    <t>Cleaning Supplies/services</t>
  </si>
  <si>
    <t>Cleaning of the Town Buildings/Vehicles</t>
  </si>
  <si>
    <t>no</t>
  </si>
  <si>
    <t>webcams/microphones/ZOOM</t>
  </si>
  <si>
    <t>CARES</t>
  </si>
  <si>
    <t>grocery cards</t>
  </si>
  <si>
    <t>Local Health Department - Newtown Health District</t>
  </si>
  <si>
    <t xml:space="preserve">NHD to apply DPH grant for COVID-19 </t>
  </si>
  <si>
    <t>EMD/Ambulance Chief/Police/Key Officials/Employees</t>
  </si>
  <si>
    <t>PPE (masks, gloves, etc.) ****</t>
  </si>
  <si>
    <t>FEMA/Donated Resources</t>
  </si>
  <si>
    <t xml:space="preserve">PPE </t>
  </si>
  <si>
    <t>**** Donated Resources to offset FEMA 75% costs</t>
  </si>
  <si>
    <t>Legal Opinions related to Protective Measures/Executive Orders</t>
  </si>
  <si>
    <t>Town of Scotland</t>
  </si>
  <si>
    <t>FY21 - Interest on deferred taxes through Oct 1</t>
  </si>
  <si>
    <t>Not generally</t>
  </si>
  <si>
    <t>GENERAL FUND</t>
  </si>
  <si>
    <t>FEMA, Education Stabilization Fund, Coronavirus Relief Fund</t>
  </si>
  <si>
    <t>Includes additional services</t>
  </si>
  <si>
    <t>Technical services to support virtual board meetings, hearings and town meetings</t>
  </si>
  <si>
    <t>Outside Counsel</t>
  </si>
  <si>
    <t>Coronavirus relief fund</t>
  </si>
  <si>
    <t>Guidance related to COVID-related employment, governance and Executive Order matters</t>
  </si>
  <si>
    <t>Emergency Mgmt Consultant</t>
  </si>
  <si>
    <t>timing difference only - eventual reimbursement through EMPG and DEMHS</t>
  </si>
  <si>
    <t>Marked increase in hours billed to the Town due to COVID-19 emergency preparedness</t>
  </si>
  <si>
    <t>Additional Tax Services</t>
  </si>
  <si>
    <t>Vendor to handle June mailings due to reduced hours/staffing in office</t>
  </si>
  <si>
    <t>2.5 Million</t>
  </si>
  <si>
    <t>ZOOM/Computer Video/Microphones/Dropbox</t>
  </si>
  <si>
    <t>Social Service Agent/Public Assistance overtime</t>
  </si>
  <si>
    <t>Masks to Comply with Executive Order</t>
  </si>
  <si>
    <t>City of Shelton</t>
  </si>
  <si>
    <t>reduced interest</t>
  </si>
  <si>
    <t>Preschool and out of district tuition due to school closure; Park &amp; Rec program fees</t>
  </si>
  <si>
    <t>Use of accumulated fund balance to offset cash flow impact of tax deferral program</t>
  </si>
  <si>
    <t>Cash Flow impact only - assume no revenue loss - just deferral of tax receipts into October</t>
  </si>
  <si>
    <t>Preschool and out of district tuition due to school closure</t>
  </si>
  <si>
    <t>Park and Rec</t>
  </si>
  <si>
    <t>Summer programs - Park &amp; Rec if cancelled</t>
  </si>
  <si>
    <t>Signage</t>
  </si>
  <si>
    <t>BOE Cleaning Supplies</t>
  </si>
  <si>
    <t>BOE Technology</t>
  </si>
  <si>
    <t>BOE Storage/Furn/Cabinets</t>
  </si>
  <si>
    <t>Building Dept Fees, Police Fines/Tickets, Library Fees, Parks and Recreation Programs including camps/pool usage, BOE Food Programs, Building Rentals</t>
  </si>
  <si>
    <t>(FY21 Impact)</t>
  </si>
  <si>
    <t>Sanitizers, spray bottles</t>
  </si>
  <si>
    <t>Zoom conference lines, soft phone lines</t>
  </si>
  <si>
    <t>Social Services Food Programs/Food Gift Cards</t>
  </si>
  <si>
    <t>Police coverage for employees effected by the virus, additional hours for cleaning</t>
  </si>
  <si>
    <t>Gloves, masks, PPE kits, Thermometer, Goggles</t>
  </si>
  <si>
    <t>Virus related issues/material review/MOU"s for Unions</t>
  </si>
  <si>
    <t>Clerks for Special Meetings</t>
  </si>
  <si>
    <t>Weekly Public Safety Meetings</t>
  </si>
  <si>
    <t>Wash Hands Signage and Closed Signs</t>
  </si>
  <si>
    <t>** Above does not include Board of Education expenditures.  Estimated for the food program is $7,000 and cleaning/PPE is $5,000</t>
  </si>
  <si>
    <t>Still gathering accurate expenditure information</t>
  </si>
  <si>
    <t>Town of Somers &amp; Somers Board of Education</t>
  </si>
  <si>
    <t>See Breakdown Below</t>
  </si>
  <si>
    <t>Reserves</t>
  </si>
  <si>
    <t>Preschool Program - Lost Revenue</t>
  </si>
  <si>
    <t>Lunch Program - Lost Revenue</t>
  </si>
  <si>
    <t>Instruct Supply (Distance Learning)</t>
  </si>
  <si>
    <t>Town of South Windsor</t>
  </si>
  <si>
    <t>Gen Fund Local Revenues, Recreation Fund Program Revenues &amp; BOE Revenues</t>
  </si>
  <si>
    <t>No cash flow challenges are expected through June 30, 2020.</t>
  </si>
  <si>
    <t>Food for EOC/Human Srvcs</t>
  </si>
  <si>
    <t>BOE -Food Program</t>
  </si>
  <si>
    <t>Hazard Pay</t>
  </si>
  <si>
    <t>Sprague (Town and BOE, combined)</t>
  </si>
  <si>
    <t>Water &amp; Sewer billings and Tax Collections</t>
  </si>
  <si>
    <t xml:space="preserve">Yes, however, the Town has already had cash flow issues. We are working with MARB regarding this. </t>
  </si>
  <si>
    <t>If absolutely necessary, Town will ask for $400,000 from MARB (balance remaining from MOA with MARB)</t>
  </si>
  <si>
    <t xml:space="preserve">General Fund </t>
  </si>
  <si>
    <t>Town and BOE, combined</t>
  </si>
  <si>
    <t>General Fund</t>
  </si>
  <si>
    <t>Water &amp; Sewer billings</t>
  </si>
  <si>
    <t>Taxes / Water &amp; Sewer</t>
  </si>
  <si>
    <t>Clorox wipes, hand sanitizer, etc.</t>
  </si>
  <si>
    <t>Computers, software, Zoom membership</t>
  </si>
  <si>
    <t>Extra hours for café staff</t>
  </si>
  <si>
    <t>Additional hire to support cleaning, OT at transfer station</t>
  </si>
  <si>
    <t>Masks/gloves</t>
  </si>
  <si>
    <t>Town of Stafford (Includes BOE)</t>
  </si>
  <si>
    <t xml:space="preserve">Counseling, fines, grants and BOE loss of revenue </t>
  </si>
  <si>
    <t>Utilize Savings &amp; delay payments if necessary</t>
  </si>
  <si>
    <t>Ride Programs</t>
  </si>
  <si>
    <t>Library Program additional expenses</t>
  </si>
  <si>
    <t xml:space="preserve">Education Expenditures </t>
  </si>
  <si>
    <t>Loss Tax Revenue</t>
  </si>
  <si>
    <t>TAN/Line of Credit/Use of Rainy Day Fund</t>
  </si>
  <si>
    <t>Rainy Day Fund</t>
  </si>
  <si>
    <t>FEMA/CARES ACT</t>
  </si>
  <si>
    <t>Cost of supplying food etc to isolated individuals within the city; Food Bank funding.</t>
  </si>
  <si>
    <t>Lab test &amp; svc</t>
  </si>
  <si>
    <t>Contracted Svcs</t>
  </si>
  <si>
    <t>Acquisition of outside contractors ie- environmental cleanup, outside security etc.</t>
  </si>
  <si>
    <t>Other Salary Type Expenses</t>
  </si>
  <si>
    <t>Seasonal, Differential etc.</t>
  </si>
  <si>
    <t>Stamford Public Schools - WiFi hot spots</t>
  </si>
  <si>
    <t>Stamford Public Schools - Chromebooks/Laptops</t>
  </si>
  <si>
    <t>Stamford Public Schools - Meals</t>
  </si>
  <si>
    <t>Ice Rink Refrigeration startup</t>
  </si>
  <si>
    <t>Note:  "Projected thru 6/30" column derived by estimated average cost.</t>
  </si>
  <si>
    <t>TOWN OF STONINGTON</t>
  </si>
  <si>
    <t>Permit fees, Recreation Program Fees, School food Service Revenue</t>
  </si>
  <si>
    <t>Not thru 06/30/20</t>
  </si>
  <si>
    <t>After 7/1/20 will consider Tax Revenue Anticipation Note</t>
  </si>
  <si>
    <t xml:space="preserve">Cleaners, wipes, </t>
  </si>
  <si>
    <t>Fogging Guns and parts, laptops, hotspots, mobile phones, cameras, servers, networking equipment</t>
  </si>
  <si>
    <t>Food service wages and food and supplies</t>
  </si>
  <si>
    <t>Sanitizing of 17 buildings, IT staff to conduct virtual meetings, increases service hours for transfer station, Human Resources dealing with new regulations.</t>
  </si>
  <si>
    <t>Gloves, masks, shields, gowns.</t>
  </si>
  <si>
    <t>Transportation</t>
  </si>
  <si>
    <t>School Bus Transportation</t>
  </si>
  <si>
    <t>Legal Fees re: Executive Orders</t>
  </si>
  <si>
    <t>Signs and Notices</t>
  </si>
  <si>
    <t>COVID 19 Lawn Signs</t>
  </si>
  <si>
    <t>Mailings</t>
  </si>
  <si>
    <t>Pre-k Tuition, After School Program, Food Service, Landfill Fees, Park &amp; Rec Programs</t>
  </si>
  <si>
    <t xml:space="preserve">Unable to determine.  </t>
  </si>
  <si>
    <t xml:space="preserve">Change of Firefighter work schedule to keep teams working together. Average 8 hours of overtime per firefighter per week. </t>
  </si>
  <si>
    <t>Town of Thomaston</t>
  </si>
  <si>
    <t>Low interest program - July 1</t>
  </si>
  <si>
    <t>Thomaston did not elect the tax deferral program so we are hopeful that we will not have a cash flow issue</t>
  </si>
  <si>
    <t>Thomaston Board of Education</t>
  </si>
  <si>
    <t>Bleach, Disinfectant Cleaner, Hand Sanitizer, Gloves</t>
  </si>
  <si>
    <t>Chrome Books</t>
  </si>
  <si>
    <t>Salaries of Food Service Workers - No Associated Revenue</t>
  </si>
  <si>
    <t>Transportation Costs All Star</t>
  </si>
  <si>
    <t>Payment to Bus Company after Schools Closed</t>
  </si>
  <si>
    <t>Transportation Costs Kids Wheels</t>
  </si>
  <si>
    <t>NOTE:  This assumes schools will not be back in session</t>
  </si>
  <si>
    <t>Town of Thompson</t>
  </si>
  <si>
    <t>Reduce in tax collections, Pre school tuition, interest income, permit income</t>
  </si>
  <si>
    <t>Unaudited</t>
  </si>
  <si>
    <t>Tax collections, permit and other fees, investment income</t>
  </si>
  <si>
    <t>use of fund balance as long as possible.  Freeze spending where possible.</t>
  </si>
  <si>
    <t>no deficit was projected this year</t>
  </si>
  <si>
    <t>unknown-not final</t>
  </si>
  <si>
    <t>loss or delay</t>
  </si>
  <si>
    <t>Professional Sanitation Svc, disinfectants, bleach, etc.</t>
  </si>
  <si>
    <t>EOC Food, food for at home needy students and Food cards for needy</t>
  </si>
  <si>
    <t>EOC Staffing/Internal additional custodial sanitizing for buildings staffing OT</t>
  </si>
  <si>
    <t>Masks, wipes, caps, gowns, coveralls, hand sanitizer, partitions, gloves,glasses,backpacks for PPE packs, MedNOW Training for PPE</t>
  </si>
  <si>
    <t>EOC Office Supplies &amp; Other Materials</t>
  </si>
  <si>
    <t>Locks/keys to secure supplies, easels, binders, pads, tape, bags, labels, mailings, signboards for EOC</t>
  </si>
  <si>
    <t>Other payroll hours</t>
  </si>
  <si>
    <t>no for some</t>
  </si>
  <si>
    <t>EOC meetings by EOC staff and FEMA forms completion hours</t>
  </si>
  <si>
    <t xml:space="preserve">Please note that the amounts to June 30th are our best estimates at this time.  They are subject to change.  </t>
  </si>
  <si>
    <t>City of Torrington</t>
  </si>
  <si>
    <t>Investment Income, Fees, Programs</t>
  </si>
  <si>
    <t>Private Tax Collector, Capital Funds</t>
  </si>
  <si>
    <t>Sanitizer, Disinfectant</t>
  </si>
  <si>
    <t>Computers, Foggers</t>
  </si>
  <si>
    <t>FEMA/CARE?</t>
  </si>
  <si>
    <t>Shelf Stable Meals-Seniors</t>
  </si>
  <si>
    <t>Public Safety, Bldg Maint</t>
  </si>
  <si>
    <t>Masks, Gloves, Gowns</t>
  </si>
  <si>
    <t>Contracts</t>
  </si>
  <si>
    <t>IT, Cleaning</t>
  </si>
  <si>
    <t>City of Torrington Board of Education</t>
  </si>
  <si>
    <t>FEMA/Cares</t>
  </si>
  <si>
    <t>Student Meals</t>
  </si>
  <si>
    <t>Custodians</t>
  </si>
  <si>
    <t>TOWN OF TRUMBULL</t>
  </si>
  <si>
    <t>Taxes</t>
  </si>
  <si>
    <t xml:space="preserve">TOWN </t>
  </si>
  <si>
    <t>Refrigeration</t>
  </si>
  <si>
    <t>PPE-staff seperation and sneeze guards</t>
  </si>
  <si>
    <t>TOWN OF UNION</t>
  </si>
  <si>
    <t>Unknown at this time to early</t>
  </si>
  <si>
    <t>None at this time</t>
  </si>
  <si>
    <t>None currently</t>
  </si>
  <si>
    <t>$</t>
  </si>
  <si>
    <t>sanitizers, wipes ect.</t>
  </si>
  <si>
    <t>equipment and labor for working and learning remotely</t>
  </si>
  <si>
    <t>Cover for empoyees who are out sick</t>
  </si>
  <si>
    <t>Purchase PPE for employees</t>
  </si>
  <si>
    <t>Town of Voluntown</t>
  </si>
  <si>
    <t>Loss of investment income, beach permits, Town Clerk Fees, recreation dept Income, other permits</t>
  </si>
  <si>
    <t>Unassigned Fund</t>
  </si>
  <si>
    <t>Town Clerk Fees/permits/etc</t>
  </si>
  <si>
    <t>Investme Income/Misc Revenue</t>
  </si>
  <si>
    <t>Town Costs</t>
  </si>
  <si>
    <t>YTD Actuals as of 4/24/20</t>
  </si>
  <si>
    <t>Total Costs thru 6/30</t>
  </si>
  <si>
    <t>YES</t>
  </si>
  <si>
    <t>Wipes</t>
  </si>
  <si>
    <t>Zoom, Laptops</t>
  </si>
  <si>
    <t>First Responders on Weekends</t>
  </si>
  <si>
    <t>BOE Costs</t>
  </si>
  <si>
    <t>Cleaning Supplies/Disinfectants, etc.</t>
  </si>
  <si>
    <t>IT Equipment/Serivces (IT, teleworking, etc.)</t>
  </si>
  <si>
    <t>Proj costs TBD</t>
  </si>
  <si>
    <t>IT Equipment/Services for Community WiFi &amp; Student needed Equipment/Employee Telecommuniting Equipment</t>
  </si>
  <si>
    <t xml:space="preserve">Both </t>
  </si>
  <si>
    <t>Payroll Costs Per EO No 7R/FFCRA</t>
  </si>
  <si>
    <t>Projections thru 6/30 will depend on if/when school reopens or not.</t>
  </si>
  <si>
    <t>Overtime due to rapidly changing regulations/laws</t>
  </si>
  <si>
    <t>Masks, gloves, etc.</t>
  </si>
  <si>
    <t>Payroll Costs Per EO No 7R</t>
  </si>
  <si>
    <t>Supplies for Student Packets</t>
  </si>
  <si>
    <t>Supplies/Postage for Student Packets&amp;Communications,etc.</t>
  </si>
  <si>
    <t>Legal Guidance</t>
  </si>
  <si>
    <t>Legal Guiadance due to rapidly changing regulations/laws</t>
  </si>
  <si>
    <t>Distance Learning Licences</t>
  </si>
  <si>
    <t>Distance Learning Subscriptions/Licences</t>
  </si>
  <si>
    <t>Total Cost to Town for FY 19/20</t>
  </si>
  <si>
    <t>Total Cost to BOE Budget FY 19/20</t>
  </si>
  <si>
    <t>Totals</t>
  </si>
  <si>
    <t>Cashflow Challenges (Y) or (N)</t>
  </si>
  <si>
    <t>16,785,000*</t>
  </si>
  <si>
    <t>undetermined</t>
  </si>
  <si>
    <t>* Unassigned Fund Balance 6/30/19</t>
  </si>
  <si>
    <t xml:space="preserve">ESTIMATE W.SHEETS </t>
  </si>
  <si>
    <t xml:space="preserve">Est.of Revenue Impact </t>
  </si>
  <si>
    <t>School Food Svcs</t>
  </si>
  <si>
    <t>Dept. Fees</t>
  </si>
  <si>
    <t>School Bldg Rental</t>
  </si>
  <si>
    <t>PL 116-136 CARES/COR REL FD</t>
  </si>
  <si>
    <t>School Curriculum Exps</t>
  </si>
  <si>
    <t>Unemploym.-Part Timers</t>
  </si>
  <si>
    <t>Town of Washington</t>
  </si>
  <si>
    <t>1% Tax Income, Interest Income Loss, Parks &amp; Recreation Fee Loss, Conveyance Fee Loss</t>
  </si>
  <si>
    <r>
      <t xml:space="preserve">In July we will hold off on Capital Expenditure until rate of collection will be realized in August 2020 </t>
    </r>
    <r>
      <rPr>
        <sz val="12"/>
        <color rgb="FFFF0000"/>
        <rFont val="Book Antiqua"/>
        <family val="1"/>
      </rPr>
      <t>Note Below:</t>
    </r>
  </si>
  <si>
    <t>Possible 1 % tax loss for small business and motor vehicle  tax.</t>
  </si>
  <si>
    <t>extra wipes/ cleaning solution</t>
  </si>
  <si>
    <t>work at home setups</t>
  </si>
  <si>
    <t>Volunteer food program</t>
  </si>
  <si>
    <t>Office/ police/ park control</t>
  </si>
  <si>
    <t>mask/ gloves/ thermometer</t>
  </si>
  <si>
    <t>executive order</t>
  </si>
  <si>
    <t>Signage/ Barricades For Parks</t>
  </si>
  <si>
    <t>Close some parks/ some kept open and monitored</t>
  </si>
  <si>
    <t xml:space="preserve">The Town of Washington issue will be cash flow.  Escrow accounts are only 19.6% of total of real estate installment due on 07/01/2020.  This will give us 1.5 months worth of expense minus the </t>
  </si>
  <si>
    <t xml:space="preserve">   capital transfer plus our fund balance we should be able to cover General Fund expense through the deferment period.</t>
  </si>
  <si>
    <t>Projected FY20 losses in tax collections, land recording, copy, parking, building permit, library, out-of-district tuition and building rental fees</t>
  </si>
  <si>
    <t>Cash pool reserves</t>
  </si>
  <si>
    <t>Tax Deferral Program - July 1*</t>
  </si>
  <si>
    <t>*The City of Waterbury does not expect the 90 day tax deferral program to directly cause a revenue loss in FY21. We are concerned that we will lose tax revenue due to taxpayers' inability to pay taxes after the expiration of the deferment period due to business closures and unemployment. The Brass Mill Center Mall is of particular concern as it is the third largest taxpayer in the City. Losing tax revenue could significantly impact the City's ability to provide important services to its residents and businesses. For example, 2% of the City's FY21 tax collection budget amounts to approximately $5 million. A loss of this amount of revenue could result in cuts to services and programs. The City is also concerned that we will continue to experience revenue shortfalls in the areas of land recording, copy, parking, building permit, library, out-of-district tuition and building rental fees in FY21.</t>
  </si>
  <si>
    <t>FEMA/CARES Act</t>
  </si>
  <si>
    <t>Supplies to clean various public buildings, including fire stations, police station, schools as well as City-owned vehicles</t>
  </si>
  <si>
    <t>Equipment needed for employees to work from home and equipment related to the Education Department's distance learning program</t>
  </si>
  <si>
    <t>Meals delivered to seniors</t>
  </si>
  <si>
    <t>CDC/FEMA/CARES Act</t>
  </si>
  <si>
    <t>Health Department overtime and PPE</t>
  </si>
  <si>
    <t>Tent for homeless decompression</t>
  </si>
  <si>
    <t>Police, Fire, Public Works, IT &amp; Education overtime</t>
  </si>
  <si>
    <t>Equipment in order to protect first responders, food service employees and compliance with DECD regulations for essential workers</t>
  </si>
  <si>
    <t>Police Regular Time</t>
  </si>
  <si>
    <t xml:space="preserve">Police regular pay for officers reassigned to COVID-19 related duties </t>
  </si>
  <si>
    <t>Virtual Meetings</t>
  </si>
  <si>
    <t>Expenses related to holding virtual meetings and broadcasting them live on television</t>
  </si>
  <si>
    <t xml:space="preserve">Outside counsel fees for COVID-19 related labor issues </t>
  </si>
  <si>
    <t>Printing</t>
  </si>
  <si>
    <t xml:space="preserve">Educational packets for students </t>
  </si>
  <si>
    <t>Waterbury: Education Department Food Service Division</t>
  </si>
  <si>
    <t>Daily meal reimbursement went down from $62,051.94 to $18,623.62</t>
  </si>
  <si>
    <t>Expenses starting in March; The Food Service Division of the Education Department has been providing meals to students during the school closure; While funding to provide student meals was budgeted for in FY20, the department is now providing fewer meals per day, which has resulted in a lower reimbursement for meals; The department is still paying the vast majority of its employees to work during this time; It is expected that FY20 revenue will not fund all of the department's expenses due to these circumstances</t>
  </si>
  <si>
    <t xml:space="preserve">OT, FFRCA, On Call Pay </t>
  </si>
  <si>
    <t>General Fund Balance as of 6/30/19</t>
  </si>
  <si>
    <t>Town of Waterford</t>
  </si>
  <si>
    <t>$17.3 million</t>
  </si>
  <si>
    <t>Fund Balance and Escrow Tax Payments</t>
  </si>
  <si>
    <t>Rec &amp; Park Revenue Loss</t>
  </si>
  <si>
    <t>Cleaning Supplies (includes sanitizers)</t>
  </si>
  <si>
    <t>FEMA Emergency Grant</t>
  </si>
  <si>
    <t>Other Supplies  (sneeze shields)</t>
  </si>
  <si>
    <t>Food for Food Bank Volunteers</t>
  </si>
  <si>
    <t>Communication (signage)</t>
  </si>
  <si>
    <t>Contractor Services - Decontaminate Buildings and First Responder Apparatus</t>
  </si>
  <si>
    <t>Personnel (salary &amp; benefits)</t>
  </si>
  <si>
    <t>Cash flow Challenges (Y/N)</t>
  </si>
  <si>
    <t>Cash flow Tools</t>
  </si>
  <si>
    <t>Town of West Hartford</t>
  </si>
  <si>
    <t>$2.75M in FY 20</t>
  </si>
  <si>
    <t>For FY 20: Interest on delinquent taxes, program registrations, interest income, fees/fines/permits, parking/parking enforcement; revenue loss  due to closed golf course, ice rink, aquatic center, spring rec. programs, etc.</t>
  </si>
  <si>
    <t>Not currently in FY 20; Possibly in first Qtr. Of FY 21</t>
  </si>
  <si>
    <t>Possible use of TANs in FY 21</t>
  </si>
  <si>
    <t>Unknown at this time</t>
  </si>
  <si>
    <t>(Estimated)</t>
  </si>
  <si>
    <t xml:space="preserve">FEMA </t>
  </si>
  <si>
    <t>Assuming 75% Reimbursement</t>
  </si>
  <si>
    <t>Partially</t>
  </si>
  <si>
    <t>Tax Deferment</t>
  </si>
  <si>
    <t>No, unless non-payments extend beyond 10/1</t>
  </si>
  <si>
    <t>TAN's if necessary</t>
  </si>
  <si>
    <t>Too early to forecast.</t>
  </si>
  <si>
    <t>hand sanitizer, dispensers, disinfectants, etc.</t>
  </si>
  <si>
    <t>Zoom, teleworking, temporary relocation of Dispatch.</t>
  </si>
  <si>
    <t>Food Pantry supplies.</t>
  </si>
  <si>
    <t>No reply as of yet.</t>
  </si>
  <si>
    <t>Emergency Mgmt response, coverage for COVID sick.</t>
  </si>
  <si>
    <t xml:space="preserve">Masks, gloves, </t>
  </si>
  <si>
    <t>Contractual Srvc - Disinfecting/remediation</t>
  </si>
  <si>
    <t>Servpro, add'l cleaning srvc.</t>
  </si>
  <si>
    <t>Other supplies and equipment</t>
  </si>
  <si>
    <t>Social distancing (plastic shields, tape), batteries.</t>
  </si>
  <si>
    <t>Lysol, disinfecting spray</t>
  </si>
  <si>
    <t>Virtual Meeting Platform</t>
  </si>
  <si>
    <t>Extra disinfecting and sanitizing</t>
  </si>
  <si>
    <t>Town Office, Sr Ctr, Library</t>
  </si>
  <si>
    <t>Modified Grad Ceremony expense</t>
  </si>
  <si>
    <t>Professional Development</t>
  </si>
  <si>
    <t xml:space="preserve">Schools </t>
  </si>
  <si>
    <t>School and Town</t>
  </si>
  <si>
    <t>Distance Learning</t>
  </si>
  <si>
    <t>Town of Wilton</t>
  </si>
  <si>
    <t>Various Permits, Park &amp; Rec and Conveyance tax</t>
  </si>
  <si>
    <t>Y - if COVID returns in Fall</t>
  </si>
  <si>
    <t xml:space="preserve">FY 20 budget frozen </t>
  </si>
  <si>
    <t>No - FY 20 budget frozen</t>
  </si>
  <si>
    <t>No impact until FY 21</t>
  </si>
  <si>
    <t>Sanitizer, soap, wipes, skin lotions</t>
  </si>
  <si>
    <t>Thermometers, Food Pantry storage shed</t>
  </si>
  <si>
    <t>Lunch for students</t>
  </si>
  <si>
    <t>Additional staff hired that was unbudgeted</t>
  </si>
  <si>
    <t>Rooms reserved for quarantine of first responders - polic, fire etc.</t>
  </si>
  <si>
    <t>General Supplies</t>
  </si>
  <si>
    <t>Storage for N98 masks - tape for PPE</t>
  </si>
  <si>
    <t>WINCHESTER</t>
  </si>
  <si>
    <t>Various - See below</t>
  </si>
  <si>
    <t>Unassigned</t>
  </si>
  <si>
    <t>interest only for FY20</t>
  </si>
  <si>
    <t>YTD Actuals - April 30</t>
  </si>
  <si>
    <t>75%  FEMA</t>
  </si>
  <si>
    <t>COVID19 Response Funds</t>
  </si>
  <si>
    <t>Emergency Paid Sick Leave</t>
  </si>
  <si>
    <t>Emergency FMLA</t>
  </si>
  <si>
    <t>Unused School Bus Fuel Commitment</t>
  </si>
  <si>
    <t>FY20</t>
  </si>
  <si>
    <t>Revenue Item</t>
  </si>
  <si>
    <t>Expected Shortfall</t>
  </si>
  <si>
    <t>March -June 2019 Actual</t>
  </si>
  <si>
    <t>March - June 2020 Est</t>
  </si>
  <si>
    <t>Building Permits</t>
  </si>
  <si>
    <t>Town Clerk Revenue</t>
  </si>
  <si>
    <t>Investment Income</t>
  </si>
  <si>
    <t>Due to emergency reduction in Fed Funds Rate of 100 Basis Points on March 15</t>
  </si>
  <si>
    <t>Lost interest in 1st Quarter 2020-2021 comparison to PY 1st Quarter</t>
  </si>
  <si>
    <t>Tax Deferral Program - July 1st</t>
  </si>
  <si>
    <t>Low Interest Program - July 1st</t>
  </si>
  <si>
    <t>CARES Act (P.L. 116-136)</t>
  </si>
  <si>
    <t>sanitizer; clorox</t>
  </si>
  <si>
    <t>chromebooks &amp; mailboxes</t>
  </si>
  <si>
    <t>WPS food programs COVID</t>
  </si>
  <si>
    <t>portables &amp; sanitizer</t>
  </si>
  <si>
    <t>police COVID 19 OT</t>
  </si>
  <si>
    <t>masks; gloves</t>
  </si>
  <si>
    <t>Legal COVID 19</t>
  </si>
  <si>
    <t>miscellaneous policies</t>
  </si>
  <si>
    <t>redirect bonding approval</t>
  </si>
  <si>
    <t xml:space="preserve">redirect budget approvals </t>
  </si>
  <si>
    <t>Modified Graduation ceremony</t>
  </si>
  <si>
    <t>WPS graduation added cost</t>
  </si>
  <si>
    <t>Town of Windsor Locks</t>
  </si>
  <si>
    <t>increase in uncollected taxes due to hardship of residents</t>
  </si>
  <si>
    <t>liquidating holdings</t>
  </si>
  <si>
    <t>other revenue losses</t>
  </si>
  <si>
    <t>yes and no</t>
  </si>
  <si>
    <t>HFPG COVID-19 Response grant</t>
  </si>
  <si>
    <t>$20K supplemental food assist</t>
  </si>
  <si>
    <t>Other Supplies not listed above</t>
  </si>
  <si>
    <t>Town of Wolcott - TOWN ONLY</t>
  </si>
  <si>
    <t>Tax and Local Revenue</t>
  </si>
  <si>
    <t>Unassigned 5,440,285</t>
  </si>
  <si>
    <t>Will need to utilize FB for Cash Flow</t>
  </si>
  <si>
    <t>Local Revenue - thru 6/30/20</t>
  </si>
  <si>
    <t>Additional cleaning and disinfectant supplies</t>
  </si>
  <si>
    <t>Remote access, laptops, zoom etc</t>
  </si>
  <si>
    <t>Ambulance Dept.</t>
  </si>
  <si>
    <t>PPE required items</t>
  </si>
  <si>
    <t>Wolcott Board of Education</t>
  </si>
  <si>
    <t>Bleach, Disinfectant Cleaner, Hand Sanitizer</t>
  </si>
  <si>
    <t>Digital Camera and Screen Castify for Distance Learning</t>
  </si>
  <si>
    <t>Salaries of Food Service Workers - Food Distribution Program</t>
  </si>
  <si>
    <t>Masks and thermometers</t>
  </si>
  <si>
    <t>Before and After School Program</t>
  </si>
  <si>
    <t>Salaries of Before and After School Program- No associated Revenue</t>
  </si>
  <si>
    <t>interest income</t>
  </si>
  <si>
    <t>Not Anticipated</t>
  </si>
  <si>
    <t>Town of Woodbury</t>
  </si>
  <si>
    <t>Recreation&amp; Senior Program Income</t>
  </si>
  <si>
    <t>Disinfectant, PPE, ETC</t>
  </si>
  <si>
    <t>Laptops, Virtual Meetings</t>
  </si>
  <si>
    <t>Food Vouchers</t>
  </si>
  <si>
    <t>Public Access - Expenses</t>
  </si>
  <si>
    <t>Mail Kiosks -Racks</t>
  </si>
  <si>
    <t>Town of Woodstock</t>
  </si>
  <si>
    <t>Covid related as listed below and loss of interest and tax revenue due to defferal program</t>
  </si>
  <si>
    <t>Undesignated $3,938,632</t>
  </si>
  <si>
    <t xml:space="preserve">General Fund Reserves and FEMA and Coronavirus Relief Funds </t>
  </si>
  <si>
    <t>CANTERBURY</t>
  </si>
  <si>
    <t xml:space="preserve">Project first quarter loss in revenue due to deferment program </t>
  </si>
  <si>
    <t>FY19</t>
  </si>
  <si>
    <t>Wipes, Cleaning Supplies</t>
  </si>
  <si>
    <t>Laptop, Chromebooks, Zoom Membership</t>
  </si>
  <si>
    <t>Supplies for food distribution, miles for food delivery</t>
  </si>
  <si>
    <t xml:space="preserve">wages above normal pay for café staff </t>
  </si>
  <si>
    <t>PPE if we return to school prior to end of year</t>
  </si>
  <si>
    <t xml:space="preserve">Overtime Constables </t>
  </si>
  <si>
    <t>FILED</t>
  </si>
  <si>
    <t xml:space="preserve">Groton - Town </t>
  </si>
  <si>
    <t>Town of Seymour</t>
  </si>
  <si>
    <t>Property tax collection , propety tax interest and lien, Town Clerks fees, recreation program cancellations</t>
  </si>
  <si>
    <t>No Currently but could change</t>
  </si>
  <si>
    <t xml:space="preserve">Authorization of TAN's </t>
  </si>
  <si>
    <t>Disinfectant, cleaning supplies</t>
  </si>
  <si>
    <t>Laptops and scanners</t>
  </si>
  <si>
    <t>Cleaaning town buildings</t>
  </si>
  <si>
    <t>Tax Collections; Interest Income; Building permit revenue; Fees for service</t>
  </si>
  <si>
    <t>Yes, if current situation continues beyond October 1, 2020. Or Tax Deferments exceed 35% of July levy.</t>
  </si>
  <si>
    <t>Hiring freeze. Freeze on the purchase of equipment and capital projects.</t>
  </si>
  <si>
    <t>Back Tax Collections; Interest and lien fees on delinquent taxes; Interest on investment; Lower Tax Collection Rate.</t>
  </si>
  <si>
    <t>Disinfectant/Wipes etc</t>
  </si>
  <si>
    <t>FEMA (?)</t>
  </si>
  <si>
    <t xml:space="preserve">Lap tops; Cables; WiFi </t>
  </si>
  <si>
    <t>Public Safety Overtime</t>
  </si>
  <si>
    <t>Masks/Gloves/ Clothing</t>
  </si>
  <si>
    <t>Contractual Cleaning</t>
  </si>
  <si>
    <t>Professional Santizing Buildings</t>
  </si>
  <si>
    <t>Paid and Incurred Direct Costs Projected thru 6/30/2020        (incl YTD)</t>
  </si>
  <si>
    <t>Paid and Incurred Direct Costs            YTD Actuals</t>
  </si>
  <si>
    <t>TOTALS</t>
  </si>
  <si>
    <t>POSS</t>
  </si>
  <si>
    <t>Branford BOE</t>
  </si>
  <si>
    <t>CEO</t>
  </si>
  <si>
    <t>CEO1</t>
  </si>
  <si>
    <t>CFO</t>
  </si>
  <si>
    <t>CFO1</t>
  </si>
  <si>
    <t>jeff.maguire@kolbmaguire.com</t>
  </si>
  <si>
    <t>eanderson@andoverct.org</t>
  </si>
  <si>
    <t>treasurer@andoverct.org</t>
  </si>
  <si>
    <t>dcassetti@ansoniact.org</t>
  </si>
  <si>
    <t>rbshara@ansoniact.org</t>
  </si>
  <si>
    <t>FirstSelectman@ashfordtownhall.org</t>
  </si>
  <si>
    <t>cbaker@ashfordtownhall.org</t>
  </si>
  <si>
    <t>landert@ashfordtownhall.org</t>
  </si>
  <si>
    <t>brobertson@town.avon.ct.us</t>
  </si>
  <si>
    <t>gtiezzi@town.avon.ct.us</t>
  </si>
  <si>
    <t>pcolligan@avonct.gov</t>
  </si>
  <si>
    <t>dstein@barkhamsted.us</t>
  </si>
  <si>
    <t>smonroe@barkhamsted.us</t>
  </si>
  <si>
    <t>gsmith@tobfct.com</t>
  </si>
  <si>
    <t>nnau@townofbeaconfalls.com</t>
  </si>
  <si>
    <t>mkaczynski@town.berlin.ct.us</t>
  </si>
  <si>
    <t>ajayawickrema@town.berlin.ct.us</t>
  </si>
  <si>
    <t>kdelaney@town.berlin.ct.us</t>
  </si>
  <si>
    <t>pcofrancesco@bethany-ct.com</t>
  </si>
  <si>
    <t>slane@bethany-ct.com</t>
  </si>
  <si>
    <t>firstselectman@bethel-ct.gov</t>
  </si>
  <si>
    <t>kozlowskib@bethel-ct.gov</t>
  </si>
  <si>
    <t>jturner@bethlehemct.org</t>
  </si>
  <si>
    <t>ljassard@bethlehemct.org</t>
  </si>
  <si>
    <t>mbutkus@bethlehemct.org</t>
  </si>
  <si>
    <t>acroteau@bloomfieldct.org</t>
  </si>
  <si>
    <t>pschenck@bloomfieldct.org</t>
  </si>
  <si>
    <t>krowley@bloomfieldct.org</t>
  </si>
  <si>
    <t>sandra.pierog@boltonct.org</t>
  </si>
  <si>
    <t>jcollins@boltonct.org</t>
  </si>
  <si>
    <t>Firstselectman@bozrahct.org</t>
  </si>
  <si>
    <t>diana@bozrahct.org</t>
  </si>
  <si>
    <t>jcosgrove@branford-ct.gov</t>
  </si>
  <si>
    <t>jfinch@branford-ct.gov</t>
  </si>
  <si>
    <t>mayor@bridgeportct.gov</t>
  </si>
  <si>
    <t>kenneth.flatto@bridgeportct.gov</t>
  </si>
  <si>
    <t>cread@bridgewatertownhall.org</t>
  </si>
  <si>
    <t>swilcox@bridgewatertownhall.org</t>
  </si>
  <si>
    <t>mayorsoffice@bristolct.gov</t>
  </si>
  <si>
    <t>dianewaldron@bristolct.gov</t>
  </si>
  <si>
    <t>sdunn@brookfieldct.gov</t>
  </si>
  <si>
    <t>mmarien@brookfieldct.gov</t>
  </si>
  <si>
    <t>r.Ives@brooklynct.org</t>
  </si>
  <si>
    <t>cates@brooklynschools.org</t>
  </si>
  <si>
    <t>shafer.t@burlingtonct.us</t>
  </si>
  <si>
    <t>michell.e@burlingtonct.us</t>
  </si>
  <si>
    <t>firstselectman@canterburyct.org</t>
  </si>
  <si>
    <t>lepler@canterburyct.org</t>
  </si>
  <si>
    <t>rbessel@townofcantonct.org</t>
  </si>
  <si>
    <t>rskinner@townofcantonct.org</t>
  </si>
  <si>
    <t>firstselectman@chaplinct.org</t>
  </si>
  <si>
    <t>assistant@chaplinct.org</t>
  </si>
  <si>
    <t>skimball@cheshirect.org</t>
  </si>
  <si>
    <t>tslocum@snet.net</t>
  </si>
  <si>
    <t>jjaskot@cheshirect.org</t>
  </si>
  <si>
    <t>FirstSelectman@chesterct.org</t>
  </si>
  <si>
    <t>Finance@chesterct.org</t>
  </si>
  <si>
    <t>mschettino@clintonct.org</t>
  </si>
  <si>
    <t>scunningham@clintonct.org</t>
  </si>
  <si>
    <t>selectman@colchesterct.gov</t>
  </si>
  <si>
    <t>mcosgrove@colchesterct.gov</t>
  </si>
  <si>
    <t>tommckeon@colebrooktownhall.org</t>
  </si>
  <si>
    <t>agardner@colebrooktownhall.org</t>
  </si>
  <si>
    <t>millar06021@charter.net</t>
  </si>
  <si>
    <t>severett@columbiact.org</t>
  </si>
  <si>
    <t>bciurylo@columbiact.org</t>
  </si>
  <si>
    <t>cwlselectmen@optonline.net</t>
  </si>
  <si>
    <t>cwlfinance@optonline.net</t>
  </si>
  <si>
    <t>Jelsesser@coventryct.org</t>
  </si>
  <si>
    <t>jblanchard@coventryct.org</t>
  </si>
  <si>
    <t>abackhaus@coventryct.org</t>
  </si>
  <si>
    <t>townmanager@cromwellct.com</t>
  </si>
  <si>
    <t>mayor@cromwellct.com</t>
  </si>
  <si>
    <t>msylvester@cromwellct.com</t>
  </si>
  <si>
    <t>M.Boughton@danbury-ct.gov</t>
  </si>
  <si>
    <t>d.sthilaire@danbury-ct.gov</t>
  </si>
  <si>
    <t>jstevenson@darienct.gov</t>
  </si>
  <si>
    <t>kbuch@darienct.gov</t>
  </si>
  <si>
    <t>jcharneski@darienct.gov</t>
  </si>
  <si>
    <t>selectman@deepriverct.us</t>
  </si>
  <si>
    <t>ckehlenbach@deepriverct.us</t>
  </si>
  <si>
    <t>rdziekan@derbyct.gov</t>
  </si>
  <si>
    <t>lfrancis@townofdurhamct.org</t>
  </si>
  <si>
    <t>bmoncata@townofdurhamct.org</t>
  </si>
  <si>
    <t>firstselectman@townofeastford.com</t>
  </si>
  <si>
    <t>Treasurer@townofeastford.com</t>
  </si>
  <si>
    <t>jimh@egtownhall.com</t>
  </si>
  <si>
    <t>KELLYJ@EGTOWNHALL.COM</t>
  </si>
  <si>
    <t>admin@easthaddam.org</t>
  </si>
  <si>
    <t>cvarricchio@easthaddam.org</t>
  </si>
  <si>
    <t>dcox@easthamptonct.gov</t>
  </si>
  <si>
    <t>pbrown@easthamptonct.gov</t>
  </si>
  <si>
    <t>jjylkka@easthamptonct.gov</t>
  </si>
  <si>
    <t>mleclerc@easthartfordct.gov</t>
  </si>
  <si>
    <t>ltrzetziak@easthartfordct.gov</t>
  </si>
  <si>
    <t>eh.mayor@att.net</t>
  </si>
  <si>
    <t>jkeeley@townofeasthavenct.org</t>
  </si>
  <si>
    <t>mnickerson@eltownhall.com</t>
  </si>
  <si>
    <t>annaj@eltownhall.com</t>
  </si>
  <si>
    <t>dbindelglass@eastonct.gov</t>
  </si>
  <si>
    <t>ccalvert@eastonct.gov</t>
  </si>
  <si>
    <t>jbowsza@eastwindsorct.com</t>
  </si>
  <si>
    <t>aotoole@eastwindsorct.com</t>
  </si>
  <si>
    <t>lspielman@ellington-ct.gov</t>
  </si>
  <si>
    <t>GWhite@ellington-ct.gov</t>
  </si>
  <si>
    <t>mludwick@enfield.org</t>
  </si>
  <si>
    <t>cbromson@enfield.org</t>
  </si>
  <si>
    <t>jwilcox@enfield.org</t>
  </si>
  <si>
    <t>nneedleman@essexct.gov</t>
  </si>
  <si>
    <t>ksterner@essexct.gov</t>
  </si>
  <si>
    <t>firstselectman@fairfieldct.org</t>
  </si>
  <si>
    <t>cbosse@fairfieldct.org</t>
  </si>
  <si>
    <t>blonskik@farmington-ct.org</t>
  </si>
  <si>
    <t> thomascj@farmington-ct.org</t>
  </si>
  <si>
    <t>swetckyJ@farmington-ct.org</t>
  </si>
  <si>
    <t>franklin@99main.com</t>
  </si>
  <si>
    <t>franklintreasurer@99main.com</t>
  </si>
  <si>
    <t>richard.johnson@glastonbury-ct.gov</t>
  </si>
  <si>
    <t>thomas.gullotta@glastonbury-ct.gov</t>
  </si>
  <si>
    <t>julie.twilley@glastonbury-ct.gov</t>
  </si>
  <si>
    <t>1stselectman@goshenct.gov</t>
  </si>
  <si>
    <t>rgelormino@goshenct.gov</t>
  </si>
  <si>
    <t>KKane@granby-ct.gov</t>
  </si>
  <si>
    <t>jward@granby-ct.gov</t>
  </si>
  <si>
    <t>kcheng@granby-ct.gov</t>
  </si>
  <si>
    <t>Fred.Camillo@greenwichct.org</t>
  </si>
  <si>
    <t>pmynarski@greenwichct.org</t>
  </si>
  <si>
    <t>firstselectman@griswold-ct.org</t>
  </si>
  <si>
    <t>financedirector@griswold-ct.org</t>
  </si>
  <si>
    <t>pgranatosky@groton-ct.gov</t>
  </si>
  <si>
    <t>jburt@groton-ct.gov</t>
  </si>
  <si>
    <t>clandry@groton-ct.gov</t>
  </si>
  <si>
    <t>hoeym@ci.guilford.ct.us</t>
  </si>
  <si>
    <t>malavasim@ci.guilford.ct.us</t>
  </si>
  <si>
    <t>selectman@haddam.org</t>
  </si>
  <si>
    <t>bbertrand@haddam.org</t>
  </si>
  <si>
    <t>cleng@hamden.com</t>
  </si>
  <si>
    <t>rgalarza@hamden.com</t>
  </si>
  <si>
    <t>firstselectman@hamptonct.org</t>
  </si>
  <si>
    <t>treasurer@hamptonct.org</t>
  </si>
  <si>
    <t>sriv001@hartford.gov</t>
  </si>
  <si>
    <t>selectmen@hartland.necoxmail.com</t>
  </si>
  <si>
    <t>keseppi56@yahoo.com</t>
  </si>
  <si>
    <t>1stselectman@harwinton.us</t>
  </si>
  <si>
    <t>treasurer@harwinton.us</t>
  </si>
  <si>
    <t>bos@hebronct.com</t>
  </si>
  <si>
    <t>atierney@hebronct.com</t>
  </si>
  <si>
    <t>egriffin@hebronct.com</t>
  </si>
  <si>
    <t>firstselectman@townofkentct.org</t>
  </si>
  <si>
    <t>treasurer@townofkentct.org</t>
  </si>
  <si>
    <t>phopkins@killinglyct.org</t>
  </si>
  <si>
    <t>mcalorio@killinglyct.org</t>
  </si>
  <si>
    <t>jhawkins@killinglyct.org</t>
  </si>
  <si>
    <t>ciino@townofkillingworth.com</t>
  </si>
  <si>
    <t>rregolo@townofkillingworth.com</t>
  </si>
  <si>
    <t>kcwikla@lebanonct.gov</t>
  </si>
  <si>
    <t>vcalvert@lebanonct.gov</t>
  </si>
  <si>
    <t>Mayor@Ledyardct.org</t>
  </si>
  <si>
    <t>finance.director@ledyardct.org</t>
  </si>
  <si>
    <t>tsparkman@lisbonct.com</t>
  </si>
  <si>
    <t>cmaynard@lisbonct.com</t>
  </si>
  <si>
    <t>draap@TownofLitchfield.org</t>
  </si>
  <si>
    <t>financedirector@townoflitchfield.org</t>
  </si>
  <si>
    <t>selectman@townlyme.org</t>
  </si>
  <si>
    <t>lyonsp@madisonct.org</t>
  </si>
  <si>
    <t>nobitzs@madisonct.org</t>
  </si>
  <si>
    <t>jmoran@manchesterct.gov</t>
  </si>
  <si>
    <t>sshanley@manchesterct.gov</t>
  </si>
  <si>
    <t>klord@manchesterct.gov</t>
  </si>
  <si>
    <t xml:space="preserve">MoranT@mansfieldct.org </t>
  </si>
  <si>
    <t>TownMngr@mansfieldct.org</t>
  </si>
  <si>
    <t>trahanca@mansfieldct.org</t>
  </si>
  <si>
    <t>firstselectman@marlboroughct.net</t>
  </si>
  <si>
    <t>hwagner@marlboroughct.net</t>
  </si>
  <si>
    <t>tcoon@meridenct.gov</t>
  </si>
  <si>
    <t>kscarpati@meridenct.gov</t>
  </si>
  <si>
    <t>kmcnabola@meridenct.gov</t>
  </si>
  <si>
    <t>firstselectman@middlebury-ct.org</t>
  </si>
  <si>
    <t>Rstanziale@middlebury-ct.org</t>
  </si>
  <si>
    <t>ebailey@middlefieldct.org</t>
  </si>
  <si>
    <t>arusilowicz@middlefieldct.org</t>
  </si>
  <si>
    <t>mayor@MiddletownCT.gov</t>
  </si>
  <si>
    <t>Carl.Erlacher@MiddletownCT.gov</t>
  </si>
  <si>
    <t>kkellogg@monroect.org</t>
  </si>
  <si>
    <t>rbunovsky@monroect.org</t>
  </si>
  <si>
    <t>rmcdaniel@montville-ct.org</t>
  </si>
  <si>
    <t>finance@montville-ct.org</t>
  </si>
  <si>
    <t>1stselectman@townofmorrisct.com</t>
  </si>
  <si>
    <t>treasurer@townofmorrisct.com</t>
  </si>
  <si>
    <t>ABruce@naugatuck-ct.gov</t>
  </si>
  <si>
    <t>Mayor@NewBritainCT.gov</t>
  </si>
  <si>
    <t>lgranato@newbritainct.gov</t>
  </si>
  <si>
    <t>Kevin.Moynihan@newcanaanct.gov</t>
  </si>
  <si>
    <t>pdelmonaco@newfairfield.org</t>
  </si>
  <si>
    <t>esbordone@newfairfield.org</t>
  </si>
  <si>
    <t>djerram@town.new-hartford.ct.us</t>
  </si>
  <si>
    <t>nhtreasurer@town.new-hartford.ct.us</t>
  </si>
  <si>
    <t>jelicker@newhavenct.gov</t>
  </si>
  <si>
    <t>bdelbuono@newingtonct.gov</t>
  </si>
  <si>
    <t>kchapman@newingtonct.gov</t>
  </si>
  <si>
    <t>jmurphy@newingtonct.gov</t>
  </si>
  <si>
    <t>mpassero@ci.new-london.ct.us</t>
  </si>
  <si>
    <t>sfields@ci.new-london.ct.us</t>
  </si>
  <si>
    <t>dmcbride@ci.new-london.ct.us</t>
  </si>
  <si>
    <t>mayor@newmilford.org</t>
  </si>
  <si>
    <t>finance@newmilford.org</t>
  </si>
  <si>
    <t>first.selectman@newtown-ct.gov</t>
  </si>
  <si>
    <t>robert.tait@newtown-ct.gov</t>
  </si>
  <si>
    <t>firstselectman@norfolkct.org</t>
  </si>
  <si>
    <t>treasurer@norfolkct.org</t>
  </si>
  <si>
    <t>townmanager@townofnorthbranfordct.com</t>
  </si>
  <si>
    <t>executivesecretary@townofnorthbranfordct.com</t>
  </si>
  <si>
    <t>financedirector@townofnorthbranfordct.com</t>
  </si>
  <si>
    <t>selectman@northcanaan.org</t>
  </si>
  <si>
    <t>treasurer@northcanaan.org</t>
  </si>
  <si>
    <t>firstselectman@northhaven-ct.gov</t>
  </si>
  <si>
    <t>swinkoski.edward@town.north-haven.ct.us</t>
  </si>
  <si>
    <t>selectmen@northstoningtonct.gov</t>
  </si>
  <si>
    <t>HRilling@norwalkct.org</t>
  </si>
  <si>
    <t>afogel@norwalkct.org</t>
  </si>
  <si>
    <t>pnystrom@cityofnorwich.org</t>
  </si>
  <si>
    <t>cmoffice@cityofnorwich.org</t>
  </si>
  <si>
    <t>jpothier@cityofnorwich.org</t>
  </si>
  <si>
    <t>breemsnyder@oldlyme-ct.gov</t>
  </si>
  <si>
    <t>finance@oldlyme-ct.gov</t>
  </si>
  <si>
    <t>Carl.Fortuna@OldSaybrookCT.gov</t>
  </si>
  <si>
    <t>LeeAnn.Palladino@OldSaybrookCT.gov</t>
  </si>
  <si>
    <t>jzeoli@orange-ct.gov</t>
  </si>
  <si>
    <t>jcifarelli@orange-ct.gov</t>
  </si>
  <si>
    <t>firstselectman@oxford-ct.gov</t>
  </si>
  <si>
    <t>financedirector@oxford-ct.gov</t>
  </si>
  <si>
    <t>Kcunninghamselectman@plainfieldct.org</t>
  </si>
  <si>
    <t>kvachon@plainfieldct.org</t>
  </si>
  <si>
    <t>relee@plainville-ct.gov</t>
  </si>
  <si>
    <t>towncouncil@plainville-ct.gov</t>
  </si>
  <si>
    <t>rbuden@plainville-ct.gov</t>
  </si>
  <si>
    <t>mayor@plymouthct.us</t>
  </si>
  <si>
    <t>arheault@plymouthct.us</t>
  </si>
  <si>
    <t>maureen.nicholson@pomfretct.gov</t>
  </si>
  <si>
    <t>cheryl.grist@pomfretct.gov</t>
  </si>
  <si>
    <t>sbransfield@portlandct.org</t>
  </si>
  <si>
    <t>trobinson@portlandct.org</t>
  </si>
  <si>
    <t>allyngauthier@preston-ct.org</t>
  </si>
  <si>
    <t>snylen@preston-ct.org</t>
  </si>
  <si>
    <t>info@townofprospect.org</t>
  </si>
  <si>
    <t>town.of.prspct@sbcglobal.net</t>
  </si>
  <si>
    <t>Mary.Calorio@putnamct.us</t>
  </si>
  <si>
    <t>barney.seney@putnamct.us</t>
  </si>
  <si>
    <t>Donna.Diani@putnamct.us</t>
  </si>
  <si>
    <t>jpemberton@townofreddingct.org</t>
  </si>
  <si>
    <t>sgniadek@townofreddingct.org</t>
  </si>
  <si>
    <t>selectman@ridgefieldct.org</t>
  </si>
  <si>
    <t>controller@ridgefieldct.org</t>
  </si>
  <si>
    <t>jmehr@rockyhillct.gov</t>
  </si>
  <si>
    <t>lmarotta@rockyhillct.gov</t>
  </si>
  <si>
    <t>bhenry@roxburyct.com</t>
  </si>
  <si>
    <t>kbaron@roxburyct.com</t>
  </si>
  <si>
    <t>kevin.lyden@salemct.gov</t>
  </si>
  <si>
    <t>pam.henry@salemct.gov</t>
  </si>
  <si>
    <t>crand@salisburyct.us</t>
  </si>
  <si>
    <t>townhall@salisburyct.us</t>
  </si>
  <si>
    <t>Scotlandselect1@yahoo.com</t>
  </si>
  <si>
    <t>treasurer@scotlandct.org</t>
  </si>
  <si>
    <t>kmiller@seymourct.org</t>
  </si>
  <si>
    <t>dthomas@seymourct.org</t>
  </si>
  <si>
    <t>brent_c@sharon-ct.org</t>
  </si>
  <si>
    <t>tina_p@sharon-ct.org</t>
  </si>
  <si>
    <t>shelton01@cityofshelton.org</t>
  </si>
  <si>
    <t>p.hiller@cityofshelton.org</t>
  </si>
  <si>
    <t>dlowe@townofshermanct.org</t>
  </si>
  <si>
    <t>eholub@townofshermanct.org</t>
  </si>
  <si>
    <t>LLaVia@townofshermanct.org</t>
  </si>
  <si>
    <t>ewellman@simsbury-ct.gov</t>
  </si>
  <si>
    <t>mcapriola@simsbury-ct.gov</t>
  </si>
  <si>
    <t>ameriwether@simsbury-ct.gov</t>
  </si>
  <si>
    <t>bknorr@somersct.gov</t>
  </si>
  <si>
    <t>mmarinaccio@somersct.gov</t>
  </si>
  <si>
    <t>selectman@southbury-ct.gov</t>
  </si>
  <si>
    <t>financedirector@southbury-ct.gov</t>
  </si>
  <si>
    <t>sciotam@southington.org</t>
  </si>
  <si>
    <t>vtriano@southington.org</t>
  </si>
  <si>
    <t>portelinhae@southington.org</t>
  </si>
  <si>
    <t>michael.maniscalco@southwindsor.org</t>
  </si>
  <si>
    <t>deborah.reid@southwindsor.org</t>
  </si>
  <si>
    <t>patricia.perry@southwindsor.org</t>
  </si>
  <si>
    <t>firstselectman@ctsprague.org</t>
  </si>
  <si>
    <t>treasurer@ctsprague.org</t>
  </si>
  <si>
    <t>staffordtownhall@staffordct.org</t>
  </si>
  <si>
    <t>treasurer@staffordct.org</t>
  </si>
  <si>
    <t>dmartin@stamfordct.gov</t>
  </si>
  <si>
    <t>jayfountain@stamfordct.gov</t>
  </si>
  <si>
    <t>selectman@sterlingct.us</t>
  </si>
  <si>
    <t>treasurer@sterlingct.us</t>
  </si>
  <si>
    <t>selectmen@stonington-ct.gov</t>
  </si>
  <si>
    <t>jsullivan@stonington-ct.gov</t>
  </si>
  <si>
    <t>mayor@townofstratford.com</t>
  </si>
  <si>
    <t>dsavo@townofstratford.com</t>
  </si>
  <si>
    <t>mmack@suffieldct.gov</t>
  </si>
  <si>
    <t>dcerrato@suffieldct.gov</t>
  </si>
  <si>
    <t>emone@thomastonct.org</t>
  </si>
  <si>
    <t>tdecker@thomastonct.org</t>
  </si>
  <si>
    <t>firstselectman@thompsonct.org</t>
  </si>
  <si>
    <t>financedirector@thompsonct.org</t>
  </si>
  <si>
    <t>mrosen@tolland.org</t>
  </si>
  <si>
    <t>tnuccio@tolland.org</t>
  </si>
  <si>
    <t>lhancock@tolland.org</t>
  </si>
  <si>
    <t>ELINOR_CARBONE@TORRINGTONCT.ORG</t>
  </si>
  <si>
    <t>alice_proulx@torringtonct.org</t>
  </si>
  <si>
    <t>firstselectman@trumbull-ct.gov</t>
  </si>
  <si>
    <t>mpires@trumbull-ct.gov</t>
  </si>
  <si>
    <t>firstselectman@unionconnecticut.org</t>
  </si>
  <si>
    <t>treasurer@unionconnecticut.org</t>
  </si>
  <si>
    <t>dchampagne@vernon-ct.gov</t>
  </si>
  <si>
    <t>mpurcaro@vernon-ct.gov</t>
  </si>
  <si>
    <t>JOneill@vernon-ct.gov</t>
  </si>
  <si>
    <t>thanson@voluntown.gov</t>
  </si>
  <si>
    <t>rOsga@voluntown.gov</t>
  </si>
  <si>
    <t>towngov@wallingfordct.gov</t>
  </si>
  <si>
    <t>comptroller@wallingfordct.gov</t>
  </si>
  <si>
    <t>selectman@warrenct.org</t>
  </si>
  <si>
    <t>treasurer@warrenct.org</t>
  </si>
  <si>
    <t>jbrinton@washingtonct.org</t>
  </si>
  <si>
    <t>finance@washingtonct.org</t>
  </si>
  <si>
    <t>sparra@waterburyct.org</t>
  </si>
  <si>
    <t>mleblanc@waterburyct.org</t>
  </si>
  <si>
    <t>rbrule@waterfordct.org</t>
  </si>
  <si>
    <t>dgray@waterfordct.org</t>
  </si>
  <si>
    <t>Zappone@watertownct.org</t>
  </si>
  <si>
    <t>twinn@watertownct.org</t>
  </si>
  <si>
    <t>zappone@watertownct.org</t>
  </si>
  <si>
    <t>nbishop@westbrookct.us</t>
  </si>
  <si>
    <t>dcastracane@westbrookct.us</t>
  </si>
  <si>
    <t>townmanager@westhartfordct.gov</t>
  </si>
  <si>
    <t>Mayor@westhartfordct.gov</t>
  </si>
  <si>
    <t>Peter.Privitera@WestHartfordCT.gov</t>
  </si>
  <si>
    <t>nrossi@westhaven-ct.gov</t>
  </si>
  <si>
    <t>fcieplinski@westhaven-ct.gov</t>
  </si>
  <si>
    <t>jluiz@westonct.gov</t>
  </si>
  <si>
    <t>cspaulding@westonct.gov</t>
  </si>
  <si>
    <t>rdarling@westonct.gov</t>
  </si>
  <si>
    <t>jmarpe@westportct.gov</t>
  </si>
  <si>
    <t>gconrad@westportct.gov</t>
  </si>
  <si>
    <t>SCAREY@westportct.gov</t>
  </si>
  <si>
    <t>gary.evans@wethersfieldct.gov</t>
  </si>
  <si>
    <t>michael.rell@wethersfieldct.gov</t>
  </si>
  <si>
    <t>michael.oneil@wethersfieldct.com</t>
  </si>
  <si>
    <t>ewiecenski@willingtonct.org</t>
  </si>
  <si>
    <t>dlatincsics@willingtonct.org</t>
  </si>
  <si>
    <t>TIgnatowicz@willingtonct.org</t>
  </si>
  <si>
    <t>lynne.vanderslice@wiltonct.org</t>
  </si>
  <si>
    <t>Anne.Kelly-Lenz@WiltonCT.org</t>
  </si>
  <si>
    <t>townmanager@townofwinchester.org</t>
  </si>
  <si>
    <t>mayorwinsted@gmail.com</t>
  </si>
  <si>
    <t>bstratford@townofwinchester.org</t>
  </si>
  <si>
    <t>mayorfunderburk@windhamct.com</t>
  </si>
  <si>
    <t>townmanager@windhamct.com</t>
  </si>
  <si>
    <t>cjohnson@windhamct.com</t>
  </si>
  <si>
    <t>jubrey@townofwindsorct.com</t>
  </si>
  <si>
    <t>bourke@townofwindsorct.com</t>
  </si>
  <si>
    <t>ckervick@wlocks.com</t>
  </si>
  <si>
    <t>amoore@wlocks.com</t>
  </si>
  <si>
    <t>tdunn@wolcottct.org</t>
  </si>
  <si>
    <t>shale@wolcottct.org</t>
  </si>
  <si>
    <t>bheller@woodbridgect.org</t>
  </si>
  <si>
    <t>agenovese@woodbridgect.org</t>
  </si>
  <si>
    <t>barbaraperkinson@woodburyct.org</t>
  </si>
  <si>
    <t>mgomes@woodburyct.org</t>
  </si>
  <si>
    <t>firstselectman@woodstockct.gov</t>
  </si>
  <si>
    <t>treasurer@woodstockct.gov</t>
  </si>
  <si>
    <t>RALLL001@hartford.gov</t>
  </si>
  <si>
    <t>Town of Killingly</t>
  </si>
  <si>
    <t>Revenue shortfall of lost revenues $1,127,762.50  - permits fees etc / and tax deferral July 1 below</t>
  </si>
  <si>
    <t>Expense Management/freeze; delay projects; accelerate bond issuance. Cash flow issues will be significant come September and October due to July deferment and tax impact.  Cash flow can be managed okay in the immediate short term</t>
  </si>
  <si>
    <t>Fema @ 75%</t>
  </si>
  <si>
    <t>Cleaning and Disinfectants</t>
  </si>
  <si>
    <t>Lap tops, web cams, virtual host meeting fees, eplatform for Library</t>
  </si>
  <si>
    <t>Emergency Management response  activities</t>
  </si>
  <si>
    <t>Board of Education - Distance Learning IT and related</t>
  </si>
  <si>
    <t>Total education impact still under evaluation by BOE anticipated reimburements expected to cover costs; leaving a cash flow impact only</t>
  </si>
  <si>
    <t>Self insured Health Fund - COVID Claims</t>
  </si>
  <si>
    <t>Still under evaluation information not yet determinable from claims provider</t>
  </si>
  <si>
    <t>Diesel Contract Liquidation - school bus activity</t>
  </si>
  <si>
    <t>Unemployement Claims Reimbursable to CTDOL</t>
  </si>
  <si>
    <t>Reduced Schedule costs- all Staff reduced to half with full pay</t>
  </si>
  <si>
    <t>These are salaries that are still within budget but are employees who are still being paid for hours not worked in order to provide for social distancing and back up to departments should illness occur in order to avoid a complete Town Shutdown. Staff have been assigned to 2 teams who work on alternating days</t>
  </si>
  <si>
    <t>Town of Vernon</t>
  </si>
  <si>
    <t>Interest on Tax Receipts/Reduction in interest on Fund balance</t>
  </si>
  <si>
    <t>$19.2mm</t>
  </si>
  <si>
    <t>Probably not - if any order is extended, it could create future challenges</t>
  </si>
  <si>
    <t>Collection of Taxes and Fund Balance if necessary</t>
  </si>
  <si>
    <t>DPW time spent - daily disinfecting/cleaning</t>
  </si>
  <si>
    <t>Town of East Lyme</t>
  </si>
  <si>
    <t>$300,000 local and, $430,518 recreation program and beach fees</t>
  </si>
  <si>
    <t>We believe we will be able to meet our obligations thru the grace period time for taxes.</t>
  </si>
  <si>
    <t xml:space="preserve">Sewer Assessment Fund $2,207,070 and CNRE Fund $1,475,675 </t>
  </si>
  <si>
    <t>Funds available in case needed</t>
  </si>
  <si>
    <t>First Responders thru Emer Mgt</t>
  </si>
  <si>
    <t>BoE Technology</t>
  </si>
  <si>
    <t>Town and BoE</t>
  </si>
  <si>
    <t>Special Education Needs</t>
  </si>
  <si>
    <t>Mileage</t>
  </si>
  <si>
    <t>STRATFORD</t>
  </si>
  <si>
    <t>see list below</t>
  </si>
  <si>
    <t>TANS in the amount of $50,000,000</t>
  </si>
  <si>
    <t>estimated deferred amount of property tax - Non escrowed portion</t>
  </si>
  <si>
    <t>CARES Act - $6000</t>
  </si>
  <si>
    <t xml:space="preserve">health portion of CARES Act </t>
  </si>
  <si>
    <t>Public Safety Police Hires of Retirees</t>
  </si>
  <si>
    <t xml:space="preserve">DOJ </t>
  </si>
  <si>
    <t>COVERAGE FOR PD</t>
  </si>
  <si>
    <t>List of Projected Lost Revenues:</t>
  </si>
  <si>
    <t xml:space="preserve">Train Station parking / tickets </t>
  </si>
  <si>
    <t>FY20 Tax Delinquencies and Arrears int.</t>
  </si>
  <si>
    <t>Town Clerk Licences, Copies, Misc</t>
  </si>
  <si>
    <t>P&amp;Z Petition Fees</t>
  </si>
  <si>
    <t>Building Rentals</t>
  </si>
  <si>
    <t>Senior Center Fees/Rentals</t>
  </si>
  <si>
    <t>Health Dept Fees/Licenses</t>
  </si>
  <si>
    <t>Counseling /Community Ctr Fees</t>
  </si>
  <si>
    <t>Concession/Pool/Parks/Field Fees</t>
  </si>
  <si>
    <t>Police Fees/Licenses</t>
  </si>
  <si>
    <t>Food Services Program</t>
  </si>
  <si>
    <t>Clinton - BOE</t>
  </si>
  <si>
    <t>Coventry - BOE</t>
  </si>
  <si>
    <t>Ellington - BOE</t>
  </si>
  <si>
    <t>Morrison Foods</t>
  </si>
  <si>
    <t>HDG Consulting Advice</t>
  </si>
  <si>
    <t>$40 per day per patient</t>
  </si>
  <si>
    <t xml:space="preserve">19 patients / OT </t>
  </si>
  <si>
    <t>Glastonbury - Nathaniel Witherell Nursing Home</t>
  </si>
  <si>
    <t xml:space="preserve">Greenwich - NW Nursing Home </t>
  </si>
  <si>
    <t>Griswold - BOE</t>
  </si>
  <si>
    <t xml:space="preserve">Groton - City </t>
  </si>
  <si>
    <t>Groton - Town Golf Course Fund</t>
  </si>
  <si>
    <t>Hampton - BOE</t>
  </si>
  <si>
    <t>Ledyard - BOE</t>
  </si>
  <si>
    <t>Milford - BOE</t>
  </si>
  <si>
    <t>Montville - BOE</t>
  </si>
  <si>
    <t>Plainfield - BOE</t>
  </si>
  <si>
    <t>Rocky Hill - BOE</t>
  </si>
  <si>
    <t>Stratford - BOE</t>
  </si>
  <si>
    <t xml:space="preserve">estimated </t>
  </si>
  <si>
    <t>School Construction PPE/Cleaning</t>
  </si>
  <si>
    <t>Thomaston - BOE</t>
  </si>
  <si>
    <t>Torrington - BOE</t>
  </si>
  <si>
    <t>Voluntown - BOE</t>
  </si>
  <si>
    <t>Waterbury - BOE</t>
  </si>
  <si>
    <t>*Food Service</t>
  </si>
  <si>
    <t xml:space="preserve">West Hartford - BOE </t>
  </si>
  <si>
    <t>FEMA/CARES Act.</t>
  </si>
  <si>
    <t>Assuming 75% Reimbursement for FEMA</t>
  </si>
  <si>
    <t>Wolcott - BOE</t>
  </si>
  <si>
    <t xml:space="preserve">5-6-20 email </t>
  </si>
  <si>
    <t>NOTES</t>
  </si>
  <si>
    <t>Town of Sterling</t>
  </si>
  <si>
    <t>recreation revenue &amp; tax revenue</t>
  </si>
  <si>
    <t>disinfectant</t>
  </si>
  <si>
    <t>masks, gloves, etc.</t>
  </si>
  <si>
    <t>Town of Old Saybrook</t>
  </si>
  <si>
    <t>Loss of beach pass, mini golf and transfer station revenues</t>
  </si>
  <si>
    <t>spreadsheet</t>
  </si>
  <si>
    <t>Unbudgeted</t>
  </si>
  <si>
    <t>FEMA - Emergency Protective Measures</t>
  </si>
  <si>
    <t>Stratford Board of Education</t>
  </si>
  <si>
    <t>Pre-school Program - Tuition Based VSS &amp; Franklin</t>
  </si>
  <si>
    <t>Pre-school Program - Tuition Fee  - SHL</t>
  </si>
  <si>
    <t>Cleaning Supplies to disinfect Schools</t>
  </si>
  <si>
    <t>PPE (masks, gloves, hand sanitizer)</t>
  </si>
  <si>
    <t>PPE supplies</t>
  </si>
  <si>
    <t>Chromebook Parts, headsets, cleaning kits, ram sticks, and software</t>
  </si>
  <si>
    <t>Nursing Supplies - Donated to Emergency Health Workers</t>
  </si>
  <si>
    <t>Donated equipment/supplies to Emergency Workers at height of crisis due to shortage</t>
  </si>
  <si>
    <t xml:space="preserve">Nursing Supplies - Expected to Purchase </t>
  </si>
  <si>
    <t xml:space="preserve">Expected supplies needed when schools reopen.  Additionally safety measures will need ot be taken to secure child and staff. </t>
  </si>
  <si>
    <t>Food Programs - Labor for Emergency Grab &amp; Go</t>
  </si>
  <si>
    <t>Labor Cost for Food Service - Emergency Grab &amp; Go Breakfast/Lunch Program</t>
  </si>
  <si>
    <t>Food Program - Food Cost for Emergency Grab &amp; Go</t>
  </si>
  <si>
    <t>Food Cost and Project Food Cost for Emergency Grab &amp; Go Breakfast/Lunch Program</t>
  </si>
  <si>
    <t>Food Program - Loss of Food due to Closure</t>
  </si>
  <si>
    <t xml:space="preserve">Food spoilage due to abrupt closure.   Available food was transferred to Grab &amp; Go Program, though some produce &amp; milk expired. </t>
  </si>
  <si>
    <t>Overtime Cost related to Custodians &amp; Chrombook Cleaning &amp; Distribution.</t>
  </si>
  <si>
    <t>Windham, CT</t>
  </si>
  <si>
    <t>Plexiglas, Asst hardware, WebConference Services, Skate Park Fencing, ChromeBooks (to support distance learning)</t>
  </si>
  <si>
    <t>mgormany@newhavenct.gov</t>
  </si>
  <si>
    <t>Parks program fees $60k, Conveyance tax  $75k, Building pemit fees $75k, all other fees $15k, taxes, $60k taxes</t>
  </si>
  <si>
    <t>Plexiglass barriers</t>
  </si>
  <si>
    <t>Town of Windsor</t>
  </si>
  <si>
    <t>Interest related to tax collections; revenue loss from certain recreation and senior services programs; adult daycare and child education enterprise fund revenue loss</t>
  </si>
  <si>
    <t>Use of General Fund Unassigned Reserves</t>
  </si>
  <si>
    <t>No deficit is projected pre-COVID</t>
  </si>
  <si>
    <t>No deficit is projected post-COVID</t>
  </si>
  <si>
    <t>General Fund Unassigned</t>
  </si>
  <si>
    <t>FEMA DR-4500-CT</t>
  </si>
  <si>
    <t>Foodshare Grant</t>
  </si>
  <si>
    <t>Misc. Supplies</t>
  </si>
  <si>
    <t>Unemployment Costs</t>
  </si>
  <si>
    <t>Regional School District #18</t>
  </si>
  <si>
    <t>fogger, disinfectant, wipes, bottles, cleaners</t>
  </si>
  <si>
    <t>Hot Spot Data plan, tech bags for distribution</t>
  </si>
  <si>
    <t>Masks, gloves, distribution bags,</t>
  </si>
  <si>
    <t>Lyme Old Lyme Region 18</t>
  </si>
  <si>
    <t xml:space="preserve">per 5.7.20 email </t>
  </si>
  <si>
    <t>Town of Plymouth</t>
  </si>
  <si>
    <t>Non payment of property and MV taxes</t>
  </si>
  <si>
    <t>Current spending freeze, staffing reductions and revised 2021 budget estimates</t>
  </si>
  <si>
    <t>Post COVID deficit unknown due to tax</t>
  </si>
  <si>
    <t>revenue uncertainty. The town has tried</t>
  </si>
  <si>
    <t xml:space="preserve">to mitigate lost revenue for 2021 by </t>
  </si>
  <si>
    <t xml:space="preserve">adjusting all tax collection rates in the </t>
  </si>
  <si>
    <t xml:space="preserve">upcoming budget. </t>
  </si>
  <si>
    <t>Cleaning supplies and services</t>
  </si>
  <si>
    <t>50% unbudgeted</t>
  </si>
  <si>
    <t>Federal education relief</t>
  </si>
  <si>
    <t>Distance learning materials</t>
  </si>
  <si>
    <t>summary of food service costs pending</t>
  </si>
  <si>
    <t>Police, EMS and custodial</t>
  </si>
  <si>
    <t>kmcliverty@derbyct.gov</t>
  </si>
  <si>
    <t>Town of Brooklyn</t>
  </si>
  <si>
    <t>Property Tax non-payment</t>
  </si>
  <si>
    <t>Short-term Borrow</t>
  </si>
  <si>
    <t>Reimbursement aid</t>
  </si>
  <si>
    <t>Brooklyn Public Schools</t>
  </si>
  <si>
    <t>reimbursement aid</t>
  </si>
  <si>
    <t>Town of North Haven</t>
  </si>
  <si>
    <t>Rec fees, taxes, interest, state grants</t>
  </si>
  <si>
    <t>Town of Southbury</t>
  </si>
  <si>
    <t xml:space="preserve">Park &amp; Rec, Library, Town Clerk, Tax </t>
  </si>
  <si>
    <t>Payroll</t>
  </si>
  <si>
    <t>Consulting</t>
  </si>
  <si>
    <t>Brooklyn - BOE</t>
  </si>
  <si>
    <t>New London</t>
  </si>
  <si>
    <t>Private Police Protection, Permits, Delinquent Taxes, Trash Hauler fees, Parking Fees, Solid Waste, Interest earnings,</t>
  </si>
  <si>
    <t>15 million</t>
  </si>
  <si>
    <t>Not as of today</t>
  </si>
  <si>
    <t>Reducing expenses</t>
  </si>
  <si>
    <t>projected</t>
  </si>
  <si>
    <t>Labor</t>
  </si>
  <si>
    <t>Labor OT</t>
  </si>
  <si>
    <t>Equipment</t>
  </si>
  <si>
    <t>Suplies</t>
  </si>
  <si>
    <t>Food (estimated)</t>
  </si>
  <si>
    <t>Vehicles</t>
  </si>
  <si>
    <t xml:space="preserve">  PY Tax Collections &amp; Interest</t>
  </si>
  <si>
    <t>Building permits</t>
  </si>
  <si>
    <t>Town Clerk Fees and Convey tax</t>
  </si>
  <si>
    <t>Donated masks</t>
  </si>
  <si>
    <t>Yes*</t>
  </si>
  <si>
    <t>We will be making some strategic moves to manage our cash position but we should be ok so long as the State does not delay any payments.</t>
  </si>
  <si>
    <t>YTD</t>
  </si>
  <si>
    <t>Total thru 6/30/20</t>
  </si>
  <si>
    <t>FD</t>
  </si>
  <si>
    <t>PW/PU*</t>
  </si>
  <si>
    <t>EMS</t>
  </si>
  <si>
    <t>Health</t>
  </si>
  <si>
    <t>IT</t>
  </si>
  <si>
    <t>Total</t>
  </si>
  <si>
    <t>PW/PU</t>
  </si>
  <si>
    <t>Cleaning products, hand sanitizer, disenfectant and electrostatic sprayers</t>
  </si>
  <si>
    <t>One to one chromebooks, distance learning licences and online training, home office equipment for telework, laptops, Ipads, cell phones, etc.</t>
  </si>
  <si>
    <t>Expense net of revenue during school lunch feeding program from March 13-June 12 and for other costs not covered for food related to Homeless Shelter, Homebound Senior Citizens</t>
  </si>
  <si>
    <t>Custodial overtime for first responders, Public works, Public utilities, building sanitizing and safety advocates for school lunch sites</t>
  </si>
  <si>
    <t>Masks, gloves for first responders, custodians and staff</t>
  </si>
  <si>
    <t>*  Estimated</t>
  </si>
  <si>
    <t>City</t>
  </si>
  <si>
    <t xml:space="preserve"> finance@harwinton.us</t>
  </si>
  <si>
    <t>Federal Disaster Declaration</t>
  </si>
  <si>
    <t xml:space="preserve">Air Quality </t>
  </si>
  <si>
    <t>negative deficite</t>
  </si>
  <si>
    <t>KENT</t>
  </si>
  <si>
    <t>Loss of acivities associated with Park and Recreation, interest on tax payments, fees colleced by the Town Clerk</t>
  </si>
  <si>
    <t>Emergency Management Director</t>
  </si>
  <si>
    <t>appointed EMD quit requiring the hiring of a EMD</t>
  </si>
  <si>
    <t>State Trooper OT</t>
  </si>
  <si>
    <t>FRMA</t>
  </si>
  <si>
    <t>required for state parks and recreation areas</t>
  </si>
  <si>
    <t>NEW HARTFORD</t>
  </si>
  <si>
    <t>Loss of interest and fees</t>
  </si>
  <si>
    <t xml:space="preserve">Lost revenues from reimbursment, taxes, collected fees,  </t>
  </si>
  <si>
    <t>Virtual Graduation</t>
  </si>
  <si>
    <t>Return to Work Testing</t>
  </si>
  <si>
    <t>ENFIELD</t>
  </si>
  <si>
    <t>investments, Possible TAN</t>
  </si>
  <si>
    <t>Program Fees (Parks, Sr Center &amp; Youth Services), application fees, inspection fees, parking fees</t>
  </si>
  <si>
    <t>Fund balance, delay employer penison and OPEB contributions.  Issue TAN's, if needed.</t>
  </si>
  <si>
    <t>Office Retro Fits, laptops</t>
  </si>
  <si>
    <t>Transfer Station/Traffic</t>
  </si>
  <si>
    <t>no projected deficit</t>
  </si>
  <si>
    <t>We are not projecting any issues, will eventually collect funds.</t>
  </si>
  <si>
    <t>Not participating.</t>
  </si>
  <si>
    <t>To acquire hardware for home-based work ability.</t>
  </si>
  <si>
    <t>We are in a health district, we have not seen any changes.</t>
  </si>
  <si>
    <t>Software, hardware and hotspots for distance learning.</t>
  </si>
  <si>
    <t>Fuel liquidation</t>
  </si>
  <si>
    <t>Unemployment claims</t>
  </si>
  <si>
    <t>Town of Redding</t>
  </si>
  <si>
    <t>Reduced collection rate and interest on past due</t>
  </si>
  <si>
    <t>TAN</t>
  </si>
  <si>
    <t>98% vs 99% Collection Rate</t>
  </si>
  <si>
    <t>Sanitizing wipes, soap</t>
  </si>
  <si>
    <t>Video conferencing equip / laptop for remote working</t>
  </si>
  <si>
    <t>gloves</t>
  </si>
  <si>
    <t>TOWN</t>
  </si>
  <si>
    <t xml:space="preserve">Proj Deficit                Pre-COVID </t>
  </si>
  <si>
    <t xml:space="preserve">Proj Deficit        Post-COVID </t>
  </si>
  <si>
    <t>CITY OF MERIDEN</t>
  </si>
  <si>
    <t>$1.1M</t>
  </si>
  <si>
    <t>$1.1M Loss of Tax &amp; Non Tax Revenue Projected for FY 2021</t>
  </si>
  <si>
    <t>TOWN OF SOUTHINGTON</t>
  </si>
  <si>
    <t xml:space="preserve">Estimated lower revenue, mostly tax collections </t>
  </si>
  <si>
    <t>$25.3 million</t>
  </si>
  <si>
    <t>Services - Building Sanitized</t>
  </si>
  <si>
    <t>Locks &amp; lockboxes for buildings</t>
  </si>
  <si>
    <t>Hand Wash System</t>
  </si>
  <si>
    <t>Traffic Control</t>
  </si>
  <si>
    <t>Building Modifications</t>
  </si>
  <si>
    <t xml:space="preserve">Mobile Hot Spots - 1 year of service </t>
  </si>
  <si>
    <t>75 Mobile Hot Spots WiFi service for students</t>
  </si>
  <si>
    <t>Face masks &amp; gloves for BOE</t>
  </si>
  <si>
    <t>Sanitizing Wipes</t>
  </si>
  <si>
    <t>sanitizing wipes/small order of hand sanitizer</t>
  </si>
  <si>
    <t>UNION MOUs &amp; Contract consultation</t>
  </si>
  <si>
    <t xml:space="preserve">Supplies - Copier paper for BOE </t>
  </si>
  <si>
    <t>Copier paper for schools</t>
  </si>
  <si>
    <t>Thermometers for Nursing Offices</t>
  </si>
  <si>
    <t>Includes IT Equip &amp; 1 year subscription GoGuardian</t>
  </si>
  <si>
    <t>Google Voice Subscription - Pricing TBD</t>
  </si>
  <si>
    <t>Estimated 2020/2021 Reduction in tax collections</t>
  </si>
  <si>
    <t>Spending freeze, no capital appropreations 2020/2021</t>
  </si>
  <si>
    <t>Use of fund balance to balance 2019/2020 budget year</t>
  </si>
  <si>
    <t>Note: this number is without appropreations for capital projects/purchases.  Those have been put on hold for the time being.</t>
  </si>
  <si>
    <t>Vaypor Riono/ hand sanitizer</t>
  </si>
  <si>
    <t>PC, Lap-tops, It services</t>
  </si>
  <si>
    <t>Town of Chaplin</t>
  </si>
  <si>
    <t>SALISBURY</t>
  </si>
  <si>
    <t>Supplies for town buildings</t>
  </si>
  <si>
    <t>Same as above for teleworking and security</t>
  </si>
  <si>
    <t>Town of Bethany</t>
  </si>
  <si>
    <t>Parks and Rec funds, school lost revenue (PreK tuition, Food Service, Building Use)</t>
  </si>
  <si>
    <t>projected surplus</t>
  </si>
  <si>
    <t>deferral not lost income</t>
  </si>
  <si>
    <t>Teleworking Software</t>
  </si>
  <si>
    <t>School Food Program</t>
  </si>
  <si>
    <t>some Y, some N</t>
  </si>
  <si>
    <t>PPE for fire, Parks &amp; Rec (planning for camps), Town Hall (Emergency Management), Senior Services</t>
  </si>
  <si>
    <t>Legal Fees (School)</t>
  </si>
  <si>
    <t>Windows for Service Counters</t>
  </si>
  <si>
    <t>Town of Harwinton</t>
  </si>
  <si>
    <t>Tax, SC Programs, Recreation, Building &amp; Pistol Permits, etc.…</t>
  </si>
  <si>
    <t>90 Day Deferral Program, no interest being collected, delinquent tax enforcement ceased</t>
  </si>
  <si>
    <t>Hand Sanitizer, Disenfecting Sprays, etc.</t>
  </si>
  <si>
    <t>Remote Support, PC Upgrades, PC Purchases, etc.</t>
  </si>
  <si>
    <t>Janitorial Needs and Emergency Staffing Svs, Attorney Fees</t>
  </si>
  <si>
    <t>PPE and Protection from Public</t>
  </si>
  <si>
    <t xml:space="preserve">Watertown </t>
  </si>
  <si>
    <t>Anticipated Loss of Interest and Fees for Current FY</t>
  </si>
  <si>
    <t>Wipes, Sanitizer Supplies</t>
  </si>
  <si>
    <t>Laptops and Software</t>
  </si>
  <si>
    <t>Police COVID Expenses</t>
  </si>
  <si>
    <t>Fire, Police and Admin OT</t>
  </si>
  <si>
    <t>Masks and Gloves</t>
  </si>
  <si>
    <t>Lower Collection Rate</t>
  </si>
  <si>
    <t>BOLTON</t>
  </si>
  <si>
    <t>Cancellations of Recreation programs, decrease in interest rates and closed town offices</t>
  </si>
  <si>
    <t>Backpack Sprayer/Mister Products/Paper towels/Soap</t>
  </si>
  <si>
    <t>ZOOM/solid state drivers/bluetooth headsets/chromebooks/additional powerschool support</t>
  </si>
  <si>
    <t>Supplies to extend emergency meals</t>
  </si>
  <si>
    <t>gloves/infrared thermometers/masks/paper bags/sanitizer/cleaning/purell</t>
  </si>
  <si>
    <t>Other -Planning/Admin</t>
  </si>
  <si>
    <t>PD-SVM Blend Ed/enrollment express/addt'l powerschool support</t>
  </si>
  <si>
    <t>318 seats/dis. Learning/ipad cases dist. Learn</t>
  </si>
  <si>
    <t>Town</t>
  </si>
  <si>
    <t>finishing cleaning/acetate/Spray botles/sprayer/disinfectant</t>
  </si>
  <si>
    <t>laptops/printers</t>
  </si>
  <si>
    <t>RV rental</t>
  </si>
  <si>
    <t>Tyvek full  coverage/Trimaco poly paint cov/gloves/disposable face shields</t>
  </si>
  <si>
    <t>Other supplies/equipment</t>
  </si>
  <si>
    <t>tote/ring video dorbells/equipment for trailers/saw and pad locks/princanopy/retracable post/RV supplies</t>
  </si>
  <si>
    <t>padlock/chains/sneeze guard materials</t>
  </si>
  <si>
    <t xml:space="preserve">TOTAL </t>
  </si>
  <si>
    <t>CITY OF ANSONIA</t>
  </si>
  <si>
    <t>TAX PROGRAMS</t>
  </si>
  <si>
    <t>TANS if needed/FEMA Reimbursement</t>
  </si>
  <si>
    <t>FEMA Reim/Unknown Sources</t>
  </si>
  <si>
    <t>BOARD OF EDUCATION</t>
  </si>
  <si>
    <t>TOWN OF TRUMBULL BOE</t>
  </si>
  <si>
    <t>Trumbull BOE</t>
  </si>
  <si>
    <t>Town of East Windsor</t>
  </si>
  <si>
    <t>inability of tax payers to pay their taxes due to job loss</t>
  </si>
  <si>
    <t xml:space="preserve">using fund balance to cover operating cost until taxes are received in Nov </t>
  </si>
  <si>
    <t xml:space="preserve">Cleaning and Facility Supplies </t>
  </si>
  <si>
    <t>Payment to indivduals home but not working</t>
  </si>
  <si>
    <t>Other Supplies</t>
  </si>
  <si>
    <t>Town of Old Lyme</t>
  </si>
  <si>
    <t>Tax &amp; Interest</t>
  </si>
  <si>
    <t>LOC, Short term notes</t>
  </si>
  <si>
    <t xml:space="preserve">Cleaning and Cleaning Supplies </t>
  </si>
  <si>
    <t>Advertisment/signage/communication</t>
  </si>
  <si>
    <t>unknown expenses</t>
  </si>
  <si>
    <t>Property taxes, school food service sales/federal reimbursement</t>
  </si>
  <si>
    <t>August/Sept 2020</t>
  </si>
  <si>
    <t>Low Interest Program - Tax</t>
  </si>
  <si>
    <t>April-June 2020</t>
  </si>
  <si>
    <t>Low Interest Program - S/W</t>
  </si>
  <si>
    <t>Current Tax - lower collection rate</t>
  </si>
  <si>
    <t>FYE 6/30/20</t>
  </si>
  <si>
    <t>Delinquent taxes</t>
  </si>
  <si>
    <t>Interest/lien fees - taxes</t>
  </si>
  <si>
    <t>Recreation - cancelled Spring programs</t>
  </si>
  <si>
    <t>Cancelled programs</t>
  </si>
  <si>
    <t>Senior Center - lost trip commissions</t>
  </si>
  <si>
    <t>Cancelled trips</t>
  </si>
  <si>
    <t>School Cafeteria - lost sales</t>
  </si>
  <si>
    <t>FYE 6/30/20 - cancellation of school year</t>
  </si>
  <si>
    <t>School Cafeteria - lost Federal $</t>
  </si>
  <si>
    <t>Translation services</t>
  </si>
  <si>
    <t>Zoom for public &amp; employee meetings</t>
  </si>
  <si>
    <t>PlexGlass office shields for office reopen</t>
  </si>
  <si>
    <t>Per diem firefighter shift coverage</t>
  </si>
  <si>
    <t>Day Camp - tents</t>
  </si>
  <si>
    <t>Day Camp - plastic tables/chairs</t>
  </si>
  <si>
    <t>Remote network access for employees</t>
  </si>
  <si>
    <t>parking tickets/meters, building permits, deffered tax collecctions</t>
  </si>
  <si>
    <t>Tax Anticipation Notes</t>
  </si>
  <si>
    <t xml:space="preserve">The City is estimating between $40M and $65M could deferred in taxes. </t>
  </si>
  <si>
    <t>CDBG-CARES / FEMA</t>
  </si>
  <si>
    <t>Elementry and Secondat School Relief/CDBG-CARES</t>
  </si>
  <si>
    <t>Technology for City and BOE</t>
  </si>
  <si>
    <t>CDBG/ESG/HOPWA-CARES / FEMA</t>
  </si>
  <si>
    <t>FEMA 75/25</t>
  </si>
  <si>
    <t>Justice Assistance/CDBG/ESG/HOPWA-CARES /FEMA</t>
  </si>
  <si>
    <t>Food - Emergency Staff</t>
  </si>
  <si>
    <t>Media/Software/Services</t>
  </si>
  <si>
    <t>New Haven</t>
  </si>
  <si>
    <t>Town of East Hampton</t>
  </si>
  <si>
    <t>Cleaning of Holding Cell, Booking Room and Cel</t>
  </si>
  <si>
    <t>after possible exposure to COVID-19</t>
  </si>
  <si>
    <t>City of Hartford</t>
  </si>
  <si>
    <t>Taxes, Licenses &amp; Permits, Interest Income, Parking Revenues</t>
  </si>
  <si>
    <t>Potentially</t>
  </si>
  <si>
    <t>Monthly Cash Summary, Tax collection analysis, Revenue analysis</t>
  </si>
  <si>
    <t>(General Fund Only)</t>
  </si>
  <si>
    <t>FY21:</t>
  </si>
  <si>
    <t>Projected loss of tax revenues due to small businesses closing</t>
  </si>
  <si>
    <t>Reduced Revenues per Budget Submission</t>
  </si>
  <si>
    <t>Town of North Branford</t>
  </si>
  <si>
    <t>Disinfecting vehicles &amp; buildings</t>
  </si>
  <si>
    <t>Medical equipment</t>
  </si>
  <si>
    <t>225-4136-203-0006</t>
  </si>
  <si>
    <t>225-4131-320-0006</t>
  </si>
  <si>
    <t>225-4140-320-0006</t>
  </si>
  <si>
    <t>225-4152-202-0006</t>
  </si>
  <si>
    <t>225-4152-320-0006</t>
  </si>
  <si>
    <t>225-4225-405-0006</t>
  </si>
  <si>
    <t>ppe</t>
  </si>
  <si>
    <t>225-4210-202-0006</t>
  </si>
  <si>
    <t>225-4220-202-0006</t>
  </si>
  <si>
    <t>225-4225-202-0006</t>
  </si>
  <si>
    <t>disinfecting</t>
  </si>
  <si>
    <t>225-4210-320-0006</t>
  </si>
  <si>
    <t>225-4220-320-0006</t>
  </si>
  <si>
    <t>225-4305-320-0006</t>
  </si>
  <si>
    <t>$ 1.3m / Distance Learning</t>
  </si>
  <si>
    <t xml:space="preserve">5.18 email </t>
  </si>
  <si>
    <t>mjohn</t>
  </si>
  <si>
    <t>senior center meals and program, recreation camps and programs, beach parking, nursing visits</t>
  </si>
  <si>
    <t>fallsvillagetc@yahoo.com</t>
  </si>
  <si>
    <t>treasurer@canaanfallsvillage.org</t>
  </si>
  <si>
    <t>5-18 emailed update</t>
  </si>
  <si>
    <t>Town of Norfolk</t>
  </si>
  <si>
    <t>Property Tax</t>
  </si>
  <si>
    <t>Stop Spending on non-Essential Items</t>
  </si>
  <si>
    <t>Facilities Cleaning</t>
  </si>
  <si>
    <t>Town of Bozrah</t>
  </si>
  <si>
    <t>PPE Cleaning supplies,additional meals, etc….</t>
  </si>
  <si>
    <t>disenfectant supplies</t>
  </si>
  <si>
    <t xml:space="preserve">Zoom, teach at home </t>
  </si>
  <si>
    <t>additional meals</t>
  </si>
  <si>
    <t>unpaid taxes</t>
  </si>
  <si>
    <t>Benefit Assessment Deferral, P&amp;R programs, building permits, tax collections</t>
  </si>
  <si>
    <t>City of West Haven</t>
  </si>
  <si>
    <t>334, 645, loss of fee income from programs and permits, including refunds for cancelled projects, 125,000 anticipated tax collection shortfall.</t>
  </si>
  <si>
    <t>Tax anticipation bonds</t>
  </si>
  <si>
    <t>form won't take zero</t>
  </si>
  <si>
    <t>FEMA-PA 75%</t>
  </si>
  <si>
    <t>Janitorial and disinfectant</t>
  </si>
  <si>
    <t>School lunch replacement</t>
  </si>
  <si>
    <t>CDC Grant</t>
  </si>
  <si>
    <t>Overtime and contractors</t>
  </si>
  <si>
    <t>not available at time of report</t>
  </si>
  <si>
    <t>Backfill at FD/PD, Janitorial</t>
  </si>
  <si>
    <t>FEMA AFG , FEMA PA, and DOJ CESF</t>
  </si>
  <si>
    <t>Many donated items, but donations may not continue</t>
  </si>
  <si>
    <t>FEMA PA</t>
  </si>
  <si>
    <t>Includes change orders from construction contracts in response to social distancing protocol</t>
  </si>
  <si>
    <t>Fuel</t>
  </si>
  <si>
    <t xml:space="preserve">jdambowsky@naugatuck-ct.gov </t>
  </si>
  <si>
    <t>COVID-19 related legal costs</t>
  </si>
  <si>
    <t>Public Signage</t>
  </si>
  <si>
    <t>Care Act supplement</t>
  </si>
  <si>
    <t>Borough of Naugatuck</t>
  </si>
  <si>
    <t>Golf Course Operations, Local community programs</t>
  </si>
  <si>
    <t xml:space="preserve">Defer Expenditures </t>
  </si>
  <si>
    <t>DR-4500-CT</t>
  </si>
  <si>
    <t>Disinfecting Equipment/Service</t>
  </si>
  <si>
    <t>Voter Safety</t>
  </si>
  <si>
    <t>Respirator Examiniations</t>
  </si>
  <si>
    <t>estimate loss of cash receipts</t>
  </si>
  <si>
    <t>TANS/BANS</t>
  </si>
  <si>
    <t>Town of Lebanon</t>
  </si>
  <si>
    <t xml:space="preserve">Deferral program/closed and cancelled programs </t>
  </si>
  <si>
    <t>Use of fund balance</t>
  </si>
  <si>
    <t>Closed/Cancelled programs</t>
  </si>
  <si>
    <t>Facility &amp; Building related modifications</t>
  </si>
  <si>
    <t>Legal expenses</t>
  </si>
  <si>
    <t>Town of Hamden, CT</t>
  </si>
  <si>
    <t>Cleaning Supplies</t>
  </si>
  <si>
    <t>FEMA reimb.</t>
  </si>
  <si>
    <t>Cleaning supplies, cleaning equipment and weekly sanitizing by outside vendor</t>
  </si>
  <si>
    <t>Streaming subscriptions for Library patrons, webcams for Zoom meetings, cellular phones for employee teleworking, Zoom licenses</t>
  </si>
  <si>
    <t>Food for residents from Food Banks</t>
  </si>
  <si>
    <t>Emergency Food for Employeess</t>
  </si>
  <si>
    <t>Meals for 1st Responders</t>
  </si>
  <si>
    <t>HFD, HPD &amp; Elderly Outreach</t>
  </si>
  <si>
    <t>PPE's for HFD, HPD &amp; Town staff</t>
  </si>
  <si>
    <t>Signage for closing of parks, Farmington Canal line &amp; Thank You signs for frontline workers</t>
  </si>
  <si>
    <t>Mileage for Town employees using personal vehicles for Town-related site visits</t>
  </si>
  <si>
    <t>Legal fees incurred due to use of outside counsel regarding Union contracts &amp; teleworking, shift changes, etc.</t>
  </si>
  <si>
    <t>cleanig equipment, student laptops, teleworking equipment</t>
  </si>
  <si>
    <t>EMS Equipment usage</t>
  </si>
  <si>
    <t xml:space="preserve">nwhess@naugatuck-ct.gov </t>
  </si>
  <si>
    <t xml:space="preserve">Town of Putnam </t>
  </si>
  <si>
    <t>Tax deferment</t>
  </si>
  <si>
    <t>5.2 million</t>
  </si>
  <si>
    <t>Short term borrowing if necessary</t>
  </si>
  <si>
    <t>Deficit is difficult to predict at this point.  We have a loss of manpower</t>
  </si>
  <si>
    <t>due to COVID.  Some employees are not able to work from home.</t>
  </si>
  <si>
    <t>We did pay all employees their full salaries during this time, but the</t>
  </si>
  <si>
    <t xml:space="preserve">workload is different for each individual.  In response to covid we have </t>
  </si>
  <si>
    <t>limited spending in every department</t>
  </si>
  <si>
    <t>COVID response funds</t>
  </si>
  <si>
    <t>Our WPCA did install an electronic fence (not budgeted for) for the protection of employees</t>
  </si>
  <si>
    <t>These totals do not include any covid related expenses from the Board of Education.  We are awaiting information from them.</t>
  </si>
  <si>
    <t>CLEANING SUPPLIES</t>
  </si>
  <si>
    <t>PO</t>
  </si>
  <si>
    <t>PO Date</t>
  </si>
  <si>
    <t>Amount</t>
  </si>
  <si>
    <t>Check #</t>
  </si>
  <si>
    <t>Date Paid</t>
  </si>
  <si>
    <t>200014 (Open PO)</t>
  </si>
  <si>
    <t>Caution Tape, Command Hooks</t>
  </si>
  <si>
    <t>Sanitizers, Towels, Mops</t>
  </si>
  <si>
    <t>Cloths, Sanitizers</t>
  </si>
  <si>
    <t>Not yet paid</t>
  </si>
  <si>
    <t>Sprayer, Sanitizer</t>
  </si>
  <si>
    <t>Spray Bottles</t>
  </si>
  <si>
    <t>Cloths, Spray Bottles, Sanitizers</t>
  </si>
  <si>
    <t>Cleaner</t>
  </si>
  <si>
    <t>TECHNOLOGY</t>
  </si>
  <si>
    <t>Chrome Books - Lease (300)</t>
  </si>
  <si>
    <t>Chrome Books (65)</t>
  </si>
  <si>
    <t>Chrome Books (200)</t>
  </si>
  <si>
    <t>GRAND TOTAL</t>
  </si>
  <si>
    <t>There are no additional costs associated with food service at this time.</t>
  </si>
  <si>
    <t>Putnam - BOE</t>
  </si>
  <si>
    <t>Lisbon</t>
  </si>
  <si>
    <t>Sanatizer, cleaning supplies</t>
  </si>
  <si>
    <t>Plexi glass barriers</t>
  </si>
  <si>
    <t>Protective masks, gloves</t>
  </si>
  <si>
    <t>Lisbon - BOE</t>
  </si>
  <si>
    <t xml:space="preserve">Lisbon  </t>
  </si>
  <si>
    <t xml:space="preserve">Lisbon - BOE </t>
  </si>
  <si>
    <t>???</t>
  </si>
  <si>
    <t>Tax Collection Projections</t>
  </si>
  <si>
    <t>Ductwork Cleaning</t>
  </si>
  <si>
    <t>Deep Cleaning</t>
  </si>
  <si>
    <t>Distance Learning License</t>
  </si>
  <si>
    <t>Legal guidance</t>
  </si>
  <si>
    <t>Professional Development For Staff</t>
  </si>
  <si>
    <t>Professional Development For staff</t>
  </si>
  <si>
    <t>Protective Equipment, Plexi Shield</t>
  </si>
  <si>
    <t>Plexi Sneeze Shields</t>
  </si>
  <si>
    <t>Removal of Carpet Replace with flooring</t>
  </si>
  <si>
    <t>Removal of Carpet</t>
  </si>
  <si>
    <t>Education Tech Specialist</t>
  </si>
  <si>
    <t>Sub Teacher for COVID -19 Teacher at Risk</t>
  </si>
  <si>
    <t>Sub Teacher for COVID-19 Teacher at risk</t>
  </si>
  <si>
    <t>Summer School</t>
  </si>
  <si>
    <t>Buses</t>
  </si>
  <si>
    <t>Payroll For Food Delivery</t>
  </si>
  <si>
    <t>KILLINGWORTH</t>
  </si>
  <si>
    <t>We have concerns about tax revenue delayed payments or shortfalls</t>
  </si>
  <si>
    <t>Yes.  We have concerns about possible tax revenue delayed payments or shortfalls.</t>
  </si>
  <si>
    <t>General Fund Balance</t>
  </si>
  <si>
    <t>public building cleaning supplies &amp; sanitizers</t>
  </si>
  <si>
    <t>remote access, communication software, hardware, building modifications</t>
  </si>
  <si>
    <t>Hours in excess of budget</t>
  </si>
  <si>
    <t>Transfer Station hours to ensure social distancing</t>
  </si>
  <si>
    <t>PPE, medical equipment, sanitation supplies for volunteer fire co</t>
  </si>
  <si>
    <t>Town of Salem</t>
  </si>
  <si>
    <t>Stagnant MIL Rate&amp;Coll/Def Tax/Decrease in Fees&amp;Services &amp; Permits</t>
  </si>
  <si>
    <t xml:space="preserve">Town adjusted budget for responsible COVID  cuts plus decreased Revenue </t>
  </si>
  <si>
    <t>Entry/work station staff Safety barriers</t>
  </si>
  <si>
    <t>lunda.asmani@newcanaanct.gov</t>
  </si>
  <si>
    <t>TOWN OF NEW CANAAN</t>
  </si>
  <si>
    <t>Building Permits ($300,0000, Conveyance Fees ($325,000) (Parking Permits ($756,354)</t>
  </si>
  <si>
    <t>Fund Balance, Potentially Issue Tax Anticipation Notes</t>
  </si>
  <si>
    <t>CARES ACT/FEMA</t>
  </si>
  <si>
    <t>Building, Zoning, wetland permits, recycle fees, demolition</t>
  </si>
  <si>
    <t xml:space="preserve">               Y</t>
  </si>
  <si>
    <t xml:space="preserve">                Y</t>
  </si>
  <si>
    <t>Wages for hours not worked quarantine</t>
  </si>
  <si>
    <t xml:space="preserve">                N</t>
  </si>
  <si>
    <t>EOC computers/peripherals, VPN, Zoom for EOC/meetings, Thermometers, sanitizing sprayer machine</t>
  </si>
  <si>
    <t>Diesel Fuel Liquidation Cost</t>
  </si>
  <si>
    <t xml:space="preserve">no  </t>
  </si>
  <si>
    <t>We will have to liquidate the cost of diesel fuel commitment that we will not be able to use because school buses have not been running.</t>
  </si>
  <si>
    <t>Contracted Services</t>
  </si>
  <si>
    <t>COVID related Payroll Expense</t>
  </si>
  <si>
    <t>Loss of Tax revenue as well as permit and fee revenues</t>
  </si>
  <si>
    <t>Planned Testing sites</t>
  </si>
  <si>
    <t>Rooms at local hotel for 1st responders w/COVID symptoms</t>
  </si>
  <si>
    <t>North Canaan</t>
  </si>
  <si>
    <t>If all tax deferrals are requested</t>
  </si>
  <si>
    <t>N*</t>
  </si>
  <si>
    <t>N* - not at this time, but if all taxpapers received the deferral then yes.</t>
  </si>
  <si>
    <t>Proj Deficit                   Pre-COVID</t>
  </si>
  <si>
    <t>Proj Deficit                   Post-COVID</t>
  </si>
  <si>
    <r>
      <rPr>
        <b/>
        <sz val="12"/>
        <color rgb="FFFF0000"/>
        <rFont val="Book Antiqua"/>
        <family val="1"/>
      </rPr>
      <t>REVISED PROJECTION</t>
    </r>
    <r>
      <rPr>
        <sz val="12"/>
        <color theme="1"/>
        <rFont val="Book Antiqua"/>
        <family val="1"/>
      </rPr>
      <t xml:space="preserve"> Town of Willington and Willington Board of Education </t>
    </r>
    <r>
      <rPr>
        <sz val="12"/>
        <color rgb="FFFF0000"/>
        <rFont val="Book Antiqua"/>
        <family val="1"/>
      </rPr>
      <t>5/25/2020</t>
    </r>
  </si>
  <si>
    <r>
      <t xml:space="preserve">Projected thru 6/30 (incl YTD) </t>
    </r>
    <r>
      <rPr>
        <b/>
        <sz val="12"/>
        <color rgb="FFFF0000"/>
        <rFont val="Book Antiqua"/>
        <family val="1"/>
      </rPr>
      <t>REVISED</t>
    </r>
  </si>
  <si>
    <t>VPN, Wi-Fi hot spot, touchless equipment, tax lockbox cabinet</t>
  </si>
  <si>
    <t>WFD#1 RV rental; WHFD Quarantine Housing</t>
  </si>
  <si>
    <t>hand sanitizer, N95, plexiglass</t>
  </si>
  <si>
    <t>MUNICIPALITY</t>
  </si>
  <si>
    <t>Town of Fairfield</t>
  </si>
  <si>
    <t>Deferred Taxes, Refunds of Recreation Program Fees, Reduction in Collection of All Other Fees</t>
  </si>
  <si>
    <t>Department estimates of negative impact to future revenue vs. budget.</t>
  </si>
  <si>
    <t>GF Unassigned Fund Bal.</t>
  </si>
  <si>
    <t>Recreation Dept. - Program Loss</t>
  </si>
  <si>
    <t>75% REIMBURSED</t>
  </si>
  <si>
    <t>Compensatory Time</t>
  </si>
  <si>
    <t>Legal Costs</t>
  </si>
  <si>
    <t>Rented Equipment</t>
  </si>
  <si>
    <t>50% REIMBURSED</t>
  </si>
  <si>
    <t>Maintenance Materials</t>
  </si>
  <si>
    <t xml:space="preserve">BOE COSTS </t>
  </si>
  <si>
    <t xml:space="preserve">SCHOOL </t>
  </si>
  <si>
    <t>SUBMISSION</t>
  </si>
  <si>
    <t xml:space="preserve">NOTE </t>
  </si>
  <si>
    <t>CRF AMOUNT</t>
  </si>
  <si>
    <t xml:space="preserve">5-27 email </t>
  </si>
  <si>
    <t xml:space="preserve">BOE technology </t>
  </si>
  <si>
    <t>0+C21</t>
  </si>
  <si>
    <t xml:space="preserve">5-28 email BOE </t>
  </si>
  <si>
    <t xml:space="preserve">5-28 email </t>
  </si>
  <si>
    <t xml:space="preserve">BOE </t>
  </si>
  <si>
    <t>5-28 email</t>
  </si>
  <si>
    <t>Park &amp; Rec Camp/Program Revenue</t>
  </si>
  <si>
    <t>return of revenue due to cancellation of camp/programs</t>
  </si>
  <si>
    <t>Upgrade server to support remote access &amp; online meetings, no contact, payment system, signage</t>
  </si>
  <si>
    <t>Supplies, physical (plexiglass) barriers</t>
  </si>
  <si>
    <t xml:space="preserve">5.28 email </t>
  </si>
  <si>
    <t>100,000                                    Police overtime due to canceled construction projects listed in 19-20 revenue sheet</t>
  </si>
  <si>
    <t>Not now</t>
  </si>
  <si>
    <t>Hold off on major projects until Oct. 1, 2020</t>
  </si>
  <si>
    <t>Unkown</t>
  </si>
  <si>
    <t>Regional</t>
  </si>
  <si>
    <t xml:space="preserve">Regional </t>
  </si>
  <si>
    <t xml:space="preserve">Plastic guards for registrar of voters </t>
  </si>
  <si>
    <t>$3,000.00</t>
  </si>
  <si>
    <t>2 Mini Buses</t>
  </si>
  <si>
    <t>Laptop for Fire House</t>
  </si>
  <si>
    <t>$6,000.00</t>
  </si>
  <si>
    <t>5-29 email BOE</t>
  </si>
  <si>
    <t>Reduced Salary</t>
  </si>
  <si>
    <t xml:space="preserve">5-29 Email </t>
  </si>
  <si>
    <t xml:space="preserve">Middletown </t>
  </si>
  <si>
    <t>BOE Budget</t>
  </si>
  <si>
    <t>BOS Budget</t>
  </si>
  <si>
    <t>Franklin - BOE</t>
  </si>
  <si>
    <t xml:space="preserve">6/4 email update - BOE expenses </t>
  </si>
  <si>
    <t>Technology/Equip</t>
  </si>
  <si>
    <t>Town updated</t>
  </si>
  <si>
    <t>through 5/8/2020</t>
  </si>
  <si>
    <t>through 5/29/2020</t>
  </si>
  <si>
    <t>225-4416-203-0006</t>
  </si>
  <si>
    <t>equipment &amp; teleworking</t>
  </si>
  <si>
    <t>225-4136-401-0006</t>
  </si>
  <si>
    <t>225-4250-202-0006</t>
  </si>
  <si>
    <t>225-4136-311-0006</t>
  </si>
  <si>
    <t>225-4225-311-0006</t>
  </si>
  <si>
    <t>225-4305-311-0006</t>
  </si>
  <si>
    <t>minus BOE</t>
  </si>
  <si>
    <t>minus BOE laptops $500k</t>
  </si>
  <si>
    <t xml:space="preserve">minus BOE </t>
  </si>
  <si>
    <t xml:space="preserve">minus Fuel Liquid / Unemploymnet </t>
  </si>
  <si>
    <t xml:space="preserve">minus $1.3m distant learning </t>
  </si>
  <si>
    <t xml:space="preserve">minus BOE and Reduced Schedule </t>
  </si>
  <si>
    <t>cdias@northstoningtonct.gov</t>
  </si>
  <si>
    <t>noleary@waterburyct.org</t>
  </si>
  <si>
    <t>wgeiger@townofcantonct.org</t>
  </si>
  <si>
    <t>6-5-20 email and phone</t>
  </si>
  <si>
    <t>minus $300k school construction / Addition Error</t>
  </si>
  <si>
    <t xml:space="preserve">Less BOE </t>
  </si>
  <si>
    <t>6-5-20 email / spoke</t>
  </si>
  <si>
    <t xml:space="preserve">Town and BoE ($10k) </t>
  </si>
  <si>
    <t>minus BOE / Unemployment / Addition Error</t>
  </si>
  <si>
    <t>Town of Westport</t>
  </si>
  <si>
    <t>Golf, Recreation Programs, Building and Zoning Permits and Concessions</t>
  </si>
  <si>
    <t>Draw on Fund Balance due to revenue loss</t>
  </si>
  <si>
    <t>Internal Financing through Fund Balance</t>
  </si>
  <si>
    <t xml:space="preserve">Not Offered </t>
  </si>
  <si>
    <t>Lost Interest</t>
  </si>
  <si>
    <t>75% Match FEMA Balance will be an Appropriation from Fund Balance</t>
  </si>
  <si>
    <t>$40k Internal $35k FEMA</t>
  </si>
  <si>
    <t>Legal Expenses</t>
  </si>
  <si>
    <t>Emergency Supplies</t>
  </si>
  <si>
    <t>Fema</t>
  </si>
  <si>
    <t>State Request</t>
  </si>
  <si>
    <t>Possible Reimbursement</t>
  </si>
  <si>
    <t>Requested Reimbursement</t>
  </si>
  <si>
    <t>mayor@milfordct.gov</t>
  </si>
  <si>
    <t>perodici@milfordct.gov</t>
  </si>
  <si>
    <t xml:space="preserve">Potential loss of tax revenue </t>
  </si>
  <si>
    <t>Communication with Community and encourage them to pay their taxes</t>
  </si>
  <si>
    <t>\</t>
  </si>
  <si>
    <t>1156.90</t>
  </si>
  <si>
    <t xml:space="preserve">6/9 Email </t>
  </si>
  <si>
    <t>addition error</t>
  </si>
  <si>
    <t xml:space="preserve">delayed submission </t>
  </si>
  <si>
    <t>kkilduff@clintonct.org</t>
  </si>
  <si>
    <t>souza@townofwindsorct.com</t>
  </si>
  <si>
    <t>Kayla.Reasco@hartford.gov</t>
  </si>
  <si>
    <t xml:space="preserve">OPM error in number carry over </t>
  </si>
  <si>
    <t xml:space="preserve">Less BOE  6.29.20 email </t>
  </si>
  <si>
    <t>soap/sanitizer/detergent</t>
  </si>
  <si>
    <t>recorders/computer equip</t>
  </si>
  <si>
    <t>foodbank</t>
  </si>
  <si>
    <t>masks/gloves/safety glasses</t>
  </si>
  <si>
    <t xml:space="preserve">May - sent in unknown / zero </t>
  </si>
  <si>
    <t xml:space="preserve">Sept - updated data </t>
  </si>
  <si>
    <t>,700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</si>
</sst>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_(&quot;$&quot;* #,##0.000_);_(&quot;$&quot;* \(#,##0.000\);_(&quot;$&quot;* &quot;-&quot;??_);_(@_)"/>
    <numFmt numFmtId="168" formatCode="&quot;$&quot;#,##0.00"/>
  </numFmts>
  <fonts count="43" x14ac:knownFonts="1">
    <font>
      <sz val="11"/>
      <color theme="1"/>
      <name val="Calibri"/>
      <family val="2"/>
      <scheme val="minor"/>
    </font>
    <font>
      <sz val="11"/>
      <color theme="1"/>
      <name val="Calibri"/>
      <family val="2"/>
      <scheme val="minor"/>
    </font>
    <font>
      <b/>
      <sz val="12"/>
      <color theme="1"/>
      <name val="Book Antiqua"/>
      <family val="1"/>
    </font>
    <font>
      <sz val="12"/>
      <color theme="1"/>
      <name val="Book Antiqua"/>
      <family val="1"/>
    </font>
    <font>
      <b/>
      <sz val="12"/>
      <color rgb="FFFF0000"/>
      <name val="Book Antiqua"/>
      <family val="1"/>
    </font>
    <font>
      <sz val="11"/>
      <color theme="1"/>
      <name val="Book Antiqua"/>
      <family val="1"/>
    </font>
    <font>
      <sz val="10"/>
      <color theme="1"/>
      <name val="Book Antiqua"/>
      <family val="1"/>
    </font>
    <font>
      <sz val="9"/>
      <color rgb="FF393D40"/>
      <name val="Arial"/>
      <family val="2"/>
    </font>
    <font>
      <sz val="9"/>
      <color theme="1"/>
      <name val="Book Antiqua"/>
      <family val="1"/>
    </font>
    <font>
      <b/>
      <sz val="12"/>
      <name val="Book Antiqua"/>
      <family val="1"/>
    </font>
    <font>
      <sz val="12"/>
      <name val="Book Antiqua"/>
      <family val="1"/>
    </font>
    <font>
      <sz val="10"/>
      <color indexed="8"/>
      <name val="Arial"/>
      <family val="2"/>
    </font>
    <font>
      <sz val="12"/>
      <color rgb="FF000000"/>
      <name val="Book Antiqua"/>
      <family val="1"/>
    </font>
    <font>
      <b/>
      <sz val="10"/>
      <color theme="1"/>
      <name val="Book Antiqua"/>
      <family val="1"/>
    </font>
    <font>
      <sz val="8"/>
      <color theme="1"/>
      <name val="Book Antiqua"/>
      <family val="1"/>
    </font>
    <font>
      <b/>
      <u/>
      <sz val="12"/>
      <color theme="1"/>
      <name val="Book Antiqua"/>
      <family val="1"/>
    </font>
    <font>
      <sz val="12"/>
      <color rgb="FFFF0000"/>
      <name val="Book Antiqua"/>
      <family val="1"/>
    </font>
    <font>
      <sz val="9"/>
      <color theme="1"/>
      <name val="Calibri"/>
      <family val="2"/>
      <scheme val="minor"/>
    </font>
    <font>
      <b/>
      <sz val="9"/>
      <color theme="1"/>
      <name val="Calibri"/>
      <family val="2"/>
      <scheme val="minor"/>
    </font>
    <font>
      <i/>
      <sz val="9"/>
      <color theme="1"/>
      <name val="Times New Roman"/>
      <family val="1"/>
    </font>
    <font>
      <i/>
      <sz val="12"/>
      <color theme="1"/>
      <name val="Book Antiqua"/>
      <family val="1"/>
    </font>
    <font>
      <sz val="17"/>
      <color rgb="FF202124"/>
      <name val="Arial"/>
      <family val="2"/>
    </font>
    <font>
      <sz val="14"/>
      <color theme="1"/>
      <name val="Book Antiqua"/>
      <family val="1"/>
    </font>
    <font>
      <b/>
      <sz val="10"/>
      <color rgb="FFFF0000"/>
      <name val="Book Antiqua"/>
      <family val="1"/>
    </font>
    <font>
      <u val="singleAccounting"/>
      <sz val="12"/>
      <color theme="1"/>
      <name val="Book Antiqua"/>
      <family val="1"/>
    </font>
    <font>
      <b/>
      <sz val="12"/>
      <color rgb="FF000000"/>
      <name val="Book Antiqua"/>
      <family val="1"/>
    </font>
    <font>
      <sz val="12"/>
      <color rgb="FF00B050"/>
      <name val="Book Antiqua"/>
      <family val="1"/>
    </font>
    <font>
      <b/>
      <sz val="9"/>
      <color indexed="81"/>
      <name val="Tahoma"/>
      <family val="2"/>
    </font>
    <font>
      <sz val="9"/>
      <color indexed="81"/>
      <name val="Tahoma"/>
      <family val="2"/>
    </font>
    <font>
      <b/>
      <sz val="12"/>
      <color theme="4" tint="-0.499984740745262"/>
      <name val="Book Antiqua"/>
      <family val="1"/>
    </font>
    <font>
      <sz val="12"/>
      <color rgb="FF0070C0"/>
      <name val="Book Antiqua"/>
      <family val="1"/>
    </font>
    <font>
      <u/>
      <sz val="11"/>
      <color theme="10"/>
      <name val="Calibri"/>
      <family val="2"/>
      <scheme val="minor"/>
    </font>
    <font>
      <u/>
      <sz val="12"/>
      <color theme="1"/>
      <name val="Book Antiqua"/>
      <family val="1"/>
    </font>
    <font>
      <b/>
      <sz val="12"/>
      <color theme="1"/>
      <name val="Book Antiqua"/>
      <family val="1"/>
    </font>
    <font>
      <sz val="12"/>
      <color rgb="FF000000"/>
      <name val="Book Antiqua"/>
      <family val="1"/>
    </font>
    <font>
      <sz val="12"/>
      <color theme="1"/>
      <name val="Book Antiqua"/>
      <family val="1"/>
    </font>
    <font>
      <b/>
      <sz val="12"/>
      <color rgb="FFFF0000"/>
      <name val="Book Antiqua"/>
      <family val="1"/>
    </font>
    <font>
      <sz val="11"/>
      <color theme="1"/>
      <name val="Tahoma"/>
      <family val="2"/>
    </font>
    <font>
      <b/>
      <u/>
      <sz val="11"/>
      <color theme="1"/>
      <name val="Tahoma"/>
      <family val="2"/>
    </font>
    <font>
      <b/>
      <sz val="11"/>
      <color theme="1"/>
      <name val="Tahoma"/>
      <family val="2"/>
    </font>
    <font>
      <sz val="12"/>
      <color theme="1"/>
      <name val="Times New Roman"/>
      <family val="1"/>
    </font>
    <font>
      <sz val="16"/>
      <color theme="1"/>
      <name val="Book Antiqua"/>
      <family val="1"/>
    </font>
    <font>
      <sz val="12"/>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00"/>
        <bgColor rgb="FFFFFF00"/>
      </patternFill>
    </fill>
    <fill>
      <patternFill patternType="solid">
        <fgColor rgb="FFFFFFFF"/>
        <bgColor rgb="FFFFFFFF"/>
      </patternFill>
    </fill>
    <fill>
      <patternFill patternType="solid">
        <fgColor theme="7" tint="0.39997558519241921"/>
        <bgColor indexed="64"/>
      </patternFill>
    </fill>
    <fill>
      <patternFill patternType="solid">
        <fgColor theme="7" tint="0.39997558519241921"/>
        <bgColor indexed="0"/>
      </patternFill>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right style="medium">
        <color rgb="FF000000"/>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xf numFmtId="0" fontId="31" fillId="0" borderId="0" applyNumberFormat="0" applyFill="0" applyBorder="0" applyAlignment="0" applyProtection="0"/>
    <xf numFmtId="0" fontId="11" fillId="0" borderId="0"/>
    <xf numFmtId="0" fontId="1" fillId="0" borderId="0"/>
    <xf numFmtId="44" fontId="1" fillId="0" borderId="0" applyFont="0" applyFill="0" applyBorder="0" applyAlignment="0" applyProtection="0"/>
  </cellStyleXfs>
  <cellXfs count="773">
    <xf numFmtId="0" fontId="0" fillId="0" borderId="0" xfId="0"/>
    <xf numFmtId="0" fontId="2" fillId="2" borderId="1" xfId="0" applyFont="1" applyFill="1" applyBorder="1" applyAlignment="1">
      <alignment horizontal="center" vertical="center" wrapText="1"/>
    </xf>
    <xf numFmtId="0" fontId="2" fillId="0" borderId="0" xfId="0" applyFont="1" applyAlignment="1">
      <alignment wrapText="1"/>
    </xf>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0" fontId="3" fillId="0" borderId="0" xfId="0" applyFont="1"/>
    <xf numFmtId="0" fontId="4" fillId="0" borderId="0" xfId="0" applyFont="1" applyAlignment="1">
      <alignment horizontal="center"/>
    </xf>
    <xf numFmtId="0" fontId="2" fillId="2" borderId="0" xfId="0" applyFont="1" applyFill="1" applyAlignment="1">
      <alignment horizontal="center"/>
    </xf>
    <xf numFmtId="44" fontId="3" fillId="0" borderId="0" xfId="2" applyFont="1"/>
    <xf numFmtId="0" fontId="3" fillId="0" borderId="0" xfId="0" applyFont="1" applyAlignment="1">
      <alignment horizontal="center"/>
    </xf>
    <xf numFmtId="44" fontId="3" fillId="0" borderId="2" xfId="2" applyFont="1" applyBorder="1"/>
    <xf numFmtId="0" fontId="2" fillId="0" borderId="0" xfId="0" applyFont="1" applyAlignment="1">
      <alignment horizontal="center"/>
    </xf>
    <xf numFmtId="44" fontId="2" fillId="2" borderId="1" xfId="2" applyFont="1" applyFill="1" applyBorder="1" applyAlignment="1">
      <alignment horizontal="center" vertical="center" wrapText="1"/>
    </xf>
    <xf numFmtId="0" fontId="3" fillId="0" borderId="0" xfId="0" applyFont="1" applyAlignment="1">
      <alignment horizontal="left"/>
    </xf>
    <xf numFmtId="44" fontId="3" fillId="0" borderId="3" xfId="2" applyFont="1" applyBorder="1"/>
    <xf numFmtId="49" fontId="3" fillId="0" borderId="3" xfId="2" applyNumberFormat="1" applyFont="1" applyBorder="1"/>
    <xf numFmtId="0" fontId="3" fillId="0" borderId="3" xfId="2" applyNumberFormat="1" applyFont="1" applyBorder="1"/>
    <xf numFmtId="49" fontId="3" fillId="0" borderId="2" xfId="2" applyNumberFormat="1" applyFont="1" applyBorder="1"/>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49" fontId="2" fillId="0" borderId="2" xfId="2" applyNumberFormat="1" applyFont="1" applyBorder="1"/>
    <xf numFmtId="0" fontId="2" fillId="0" borderId="2" xfId="2" applyNumberFormat="1" applyFont="1" applyBorder="1"/>
    <xf numFmtId="0" fontId="3" fillId="0" borderId="3" xfId="2" applyNumberFormat="1" applyFont="1" applyBorder="1" applyAlignment="1">
      <alignment vertical="justify"/>
    </xf>
    <xf numFmtId="0" fontId="3" fillId="0" borderId="2" xfId="2" applyNumberFormat="1" applyFont="1" applyBorder="1" applyAlignment="1">
      <alignment vertical="justify"/>
    </xf>
    <xf numFmtId="164" fontId="3" fillId="0" borderId="2" xfId="2" applyNumberFormat="1" applyFont="1" applyBorder="1" applyAlignment="1">
      <alignment horizontal="center" wrapText="1"/>
    </xf>
    <xf numFmtId="164" fontId="3" fillId="0" borderId="1" xfId="2" applyNumberFormat="1" applyFont="1" applyBorder="1" applyAlignment="1">
      <alignment horizontal="center" wrapText="1"/>
    </xf>
    <xf numFmtId="49" fontId="3" fillId="0" borderId="3" xfId="2" applyNumberFormat="1" applyFont="1" applyBorder="1" applyAlignment="1">
      <alignment horizontal="center"/>
    </xf>
    <xf numFmtId="49" fontId="3" fillId="0" borderId="2" xfId="2" applyNumberFormat="1" applyFont="1" applyBorder="1" applyAlignment="1">
      <alignment horizontal="center"/>
    </xf>
    <xf numFmtId="0" fontId="3" fillId="0" borderId="0" xfId="0" applyFont="1" applyAlignment="1">
      <alignment wrapText="1"/>
    </xf>
    <xf numFmtId="0" fontId="3" fillId="0" borderId="3" xfId="2" applyNumberFormat="1" applyFont="1" applyBorder="1" applyAlignment="1">
      <alignment wrapText="1"/>
    </xf>
    <xf numFmtId="0" fontId="3" fillId="0" borderId="2" xfId="2" applyNumberFormat="1" applyFont="1" applyBorder="1" applyAlignment="1">
      <alignment wrapText="1"/>
    </xf>
    <xf numFmtId="49" fontId="2" fillId="0" borderId="2" xfId="2" applyNumberFormat="1" applyFont="1" applyBorder="1" applyAlignment="1">
      <alignment horizontal="center"/>
    </xf>
    <xf numFmtId="0" fontId="2" fillId="0" borderId="2" xfId="2" applyNumberFormat="1" applyFont="1" applyBorder="1" applyAlignment="1">
      <alignment wrapText="1"/>
    </xf>
    <xf numFmtId="0" fontId="3" fillId="0" borderId="1" xfId="0" applyFont="1" applyBorder="1" applyAlignment="1">
      <alignment horizontal="center" vertical="center" wrapText="1"/>
    </xf>
    <xf numFmtId="44" fontId="3" fillId="0" borderId="2" xfId="2" applyFont="1" applyBorder="1" applyAlignment="1">
      <alignment horizontal="center" vertical="center" wrapText="1"/>
    </xf>
    <xf numFmtId="0" fontId="3" fillId="0" borderId="1" xfId="0" applyFont="1" applyBorder="1" applyAlignment="1">
      <alignment vertical="center" wrapText="1"/>
    </xf>
    <xf numFmtId="44" fontId="3" fillId="0" borderId="1" xfId="2" applyFont="1" applyBorder="1" applyAlignment="1">
      <alignment horizontal="center" vertical="center" wrapText="1"/>
    </xf>
    <xf numFmtId="49" fontId="5" fillId="0" borderId="1" xfId="2" applyNumberFormat="1" applyFont="1" applyBorder="1" applyAlignment="1">
      <alignment vertical="center" wrapText="1"/>
    </xf>
    <xf numFmtId="0" fontId="3" fillId="0" borderId="0" xfId="0" applyFont="1" applyAlignment="1">
      <alignment horizontal="left" vertical="center"/>
    </xf>
    <xf numFmtId="44" fontId="3" fillId="0" borderId="3" xfId="2" applyFont="1" applyBorder="1" applyAlignment="1">
      <alignment vertical="center"/>
    </xf>
    <xf numFmtId="49" fontId="3" fillId="0" borderId="3" xfId="2" applyNumberFormat="1" applyFont="1" applyBorder="1" applyAlignment="1">
      <alignment horizontal="center" vertical="center"/>
    </xf>
    <xf numFmtId="0" fontId="3" fillId="0" borderId="3" xfId="2" applyNumberFormat="1" applyFont="1" applyBorder="1" applyAlignment="1">
      <alignment vertical="center" wrapText="1"/>
    </xf>
    <xf numFmtId="44" fontId="3" fillId="0" borderId="2" xfId="2" applyFont="1" applyBorder="1" applyAlignment="1">
      <alignment vertical="center"/>
    </xf>
    <xf numFmtId="49" fontId="3" fillId="0" borderId="2" xfId="2" applyNumberFormat="1" applyFont="1" applyBorder="1" applyAlignment="1">
      <alignment horizontal="center" vertical="center"/>
    </xf>
    <xf numFmtId="0" fontId="3" fillId="0" borderId="2" xfId="2" applyNumberFormat="1" applyFont="1" applyBorder="1" applyAlignment="1">
      <alignment vertical="center" wrapText="1"/>
    </xf>
    <xf numFmtId="49" fontId="3" fillId="0" borderId="2" xfId="2" applyNumberFormat="1" applyFont="1" applyBorder="1" applyAlignment="1">
      <alignment vertical="center"/>
    </xf>
    <xf numFmtId="0" fontId="3" fillId="0" borderId="2" xfId="2" applyNumberFormat="1" applyFont="1" applyBorder="1" applyAlignment="1">
      <alignment vertical="center"/>
    </xf>
    <xf numFmtId="49" fontId="2" fillId="0" borderId="3" xfId="2" applyNumberFormat="1" applyFont="1" applyBorder="1" applyAlignment="1">
      <alignment horizontal="center"/>
    </xf>
    <xf numFmtId="0" fontId="6" fillId="0" borderId="1" xfId="0" applyFont="1" applyBorder="1" applyAlignment="1">
      <alignment horizontal="center" wrapText="1"/>
    </xf>
    <xf numFmtId="49" fontId="6" fillId="0" borderId="1" xfId="2" applyNumberFormat="1" applyFont="1" applyBorder="1" applyAlignment="1">
      <alignment horizontal="center" wrapText="1"/>
    </xf>
    <xf numFmtId="0" fontId="7" fillId="0" borderId="0" xfId="0" applyFont="1" applyAlignment="1">
      <alignment wrapText="1"/>
    </xf>
    <xf numFmtId="49" fontId="8" fillId="0" borderId="3" xfId="2" applyNumberFormat="1" applyFont="1" applyBorder="1"/>
    <xf numFmtId="2" fontId="3" fillId="0" borderId="2" xfId="2" applyNumberFormat="1" applyFont="1" applyBorder="1" applyAlignment="1">
      <alignment horizontal="center" wrapText="1"/>
    </xf>
    <xf numFmtId="2" fontId="3" fillId="0" borderId="1" xfId="2" applyNumberFormat="1" applyFont="1" applyBorder="1" applyAlignment="1">
      <alignment horizontal="center" wrapText="1"/>
    </xf>
    <xf numFmtId="0" fontId="8" fillId="0" borderId="0" xfId="0" applyFont="1" applyAlignment="1">
      <alignment horizontal="center"/>
    </xf>
    <xf numFmtId="44" fontId="2" fillId="0" borderId="0" xfId="2" applyFont="1"/>
    <xf numFmtId="49" fontId="2" fillId="0" borderId="0" xfId="2" applyNumberFormat="1" applyFont="1"/>
    <xf numFmtId="0" fontId="2" fillId="0" borderId="0" xfId="2" applyNumberFormat="1" applyFont="1"/>
    <xf numFmtId="43" fontId="3" fillId="0" borderId="0" xfId="1" applyFont="1"/>
    <xf numFmtId="44" fontId="3" fillId="0" borderId="0" xfId="0" applyNumberFormat="1" applyFont="1"/>
    <xf numFmtId="44" fontId="3" fillId="0" borderId="1" xfId="2" applyFont="1" applyBorder="1" applyAlignment="1">
      <alignment horizontal="left" wrapText="1"/>
    </xf>
    <xf numFmtId="44" fontId="6" fillId="0" borderId="1" xfId="2" applyFont="1" applyBorder="1" applyAlignment="1">
      <alignment horizontal="center" wrapText="1"/>
    </xf>
    <xf numFmtId="6" fontId="3" fillId="0" borderId="2" xfId="2" applyNumberFormat="1" applyFont="1" applyBorder="1" applyAlignment="1">
      <alignment horizontal="center" wrapText="1"/>
    </xf>
    <xf numFmtId="0" fontId="4" fillId="0" borderId="0" xfId="0" applyFont="1" applyAlignment="1">
      <alignment horizontal="right"/>
    </xf>
    <xf numFmtId="165" fontId="3" fillId="0" borderId="0" xfId="0" applyNumberFormat="1" applyFont="1" applyAlignment="1">
      <alignment horizontal="right"/>
    </xf>
    <xf numFmtId="165" fontId="3" fillId="0" borderId="0" xfId="0" applyNumberFormat="1" applyFont="1" applyAlignment="1">
      <alignment horizontal="left"/>
    </xf>
    <xf numFmtId="165" fontId="3" fillId="0" borderId="2" xfId="2" applyNumberFormat="1" applyFont="1" applyBorder="1"/>
    <xf numFmtId="165" fontId="3" fillId="0" borderId="0" xfId="0" applyNumberFormat="1" applyFont="1"/>
    <xf numFmtId="165" fontId="2" fillId="0" borderId="7" xfId="0" applyNumberFormat="1" applyFont="1" applyBorder="1"/>
    <xf numFmtId="0" fontId="4" fillId="0" borderId="3" xfId="2" applyNumberFormat="1" applyFont="1" applyBorder="1" applyAlignment="1">
      <alignment horizontal="center"/>
    </xf>
    <xf numFmtId="0" fontId="4" fillId="0" borderId="0" xfId="0" applyFont="1"/>
    <xf numFmtId="44" fontId="2" fillId="0" borderId="0" xfId="0" applyNumberFormat="1" applyFont="1"/>
    <xf numFmtId="0" fontId="2" fillId="0" borderId="0" xfId="0" applyFont="1" applyAlignment="1">
      <alignment vertical="center" wrapText="1"/>
    </xf>
    <xf numFmtId="49" fontId="3" fillId="0" borderId="1" xfId="2" applyNumberFormat="1" applyFont="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vertical="center" wrapText="1"/>
    </xf>
    <xf numFmtId="0" fontId="2" fillId="2" borderId="0" xfId="0" applyFont="1" applyFill="1" applyAlignment="1">
      <alignment horizontal="center" vertical="center"/>
    </xf>
    <xf numFmtId="44" fontId="3" fillId="0" borderId="0" xfId="2" applyFont="1" applyAlignment="1">
      <alignment vertical="center"/>
    </xf>
    <xf numFmtId="0" fontId="3" fillId="0" borderId="0" xfId="0" applyFont="1" applyAlignment="1">
      <alignment horizontal="center" vertical="center"/>
    </xf>
    <xf numFmtId="43" fontId="3" fillId="0" borderId="0" xfId="1" applyFont="1" applyAlignment="1">
      <alignment vertical="center"/>
    </xf>
    <xf numFmtId="43" fontId="3" fillId="0" borderId="0" xfId="0" applyNumberFormat="1" applyFont="1" applyAlignment="1">
      <alignment vertical="center"/>
    </xf>
    <xf numFmtId="43" fontId="3" fillId="0" borderId="0" xfId="0" applyNumberFormat="1" applyFont="1" applyAlignment="1">
      <alignment vertical="center" wrapText="1"/>
    </xf>
    <xf numFmtId="0" fontId="2" fillId="0" borderId="0" xfId="0" applyFont="1" applyAlignment="1">
      <alignment horizontal="center" vertical="center"/>
    </xf>
    <xf numFmtId="3" fontId="3" fillId="0" borderId="0" xfId="0" applyNumberFormat="1" applyFont="1" applyAlignment="1">
      <alignment horizontal="left" vertical="center"/>
    </xf>
    <xf numFmtId="0" fontId="3" fillId="0" borderId="4" xfId="0" applyFont="1" applyBorder="1" applyAlignment="1">
      <alignment horizontal="center" vertical="center"/>
    </xf>
    <xf numFmtId="44" fontId="2" fillId="0" borderId="2" xfId="2" applyFont="1" applyBorder="1" applyAlignment="1">
      <alignment vertical="center"/>
    </xf>
    <xf numFmtId="49" fontId="2" fillId="0" borderId="2" xfId="2" applyNumberFormat="1" applyFont="1" applyBorder="1" applyAlignment="1">
      <alignment horizontal="center" vertical="center"/>
    </xf>
    <xf numFmtId="0" fontId="2" fillId="0" borderId="2" xfId="2" applyNumberFormat="1" applyFont="1" applyBorder="1" applyAlignment="1">
      <alignment vertical="center" wrapText="1"/>
    </xf>
    <xf numFmtId="0" fontId="12" fillId="0" borderId="0" xfId="0" applyFont="1" applyAlignment="1">
      <alignment horizontal="center" vertical="center"/>
    </xf>
    <xf numFmtId="0" fontId="10" fillId="0" borderId="0" xfId="0" applyFont="1" applyAlignment="1">
      <alignment horizontal="center"/>
    </xf>
    <xf numFmtId="0" fontId="3" fillId="0" borderId="0" xfId="0" quotePrefix="1" applyFont="1" applyAlignment="1">
      <alignment horizontal="center"/>
    </xf>
    <xf numFmtId="0" fontId="3" fillId="0" borderId="0" xfId="0" quotePrefix="1" applyFont="1"/>
    <xf numFmtId="164" fontId="3" fillId="0" borderId="2" xfId="2" applyNumberFormat="1" applyFont="1" applyBorder="1"/>
    <xf numFmtId="164" fontId="3" fillId="0" borderId="0" xfId="0" applyNumberFormat="1" applyFont="1"/>
    <xf numFmtId="164" fontId="10" fillId="3" borderId="2" xfId="2" applyNumberFormat="1" applyFont="1" applyFill="1" applyBorder="1" applyAlignment="1">
      <alignment horizontal="center"/>
    </xf>
    <xf numFmtId="164" fontId="3" fillId="0" borderId="0" xfId="2" applyNumberFormat="1" applyFont="1"/>
    <xf numFmtId="164" fontId="3" fillId="0" borderId="3" xfId="2" applyNumberFormat="1" applyFont="1" applyBorder="1"/>
    <xf numFmtId="164" fontId="3" fillId="0" borderId="3" xfId="2" applyNumberFormat="1" applyFont="1" applyBorder="1" applyAlignment="1">
      <alignment horizontal="center"/>
    </xf>
    <xf numFmtId="164" fontId="3" fillId="0" borderId="2" xfId="2" applyNumberFormat="1" applyFont="1" applyBorder="1" applyAlignment="1">
      <alignment horizontal="center"/>
    </xf>
    <xf numFmtId="164" fontId="2" fillId="0" borderId="2" xfId="2" applyNumberFormat="1" applyFont="1" applyBorder="1"/>
    <xf numFmtId="0" fontId="2" fillId="0" borderId="1" xfId="0" applyFont="1" applyBorder="1" applyAlignment="1">
      <alignment horizontal="center" vertical="center" wrapText="1"/>
    </xf>
    <xf numFmtId="5" fontId="3" fillId="0" borderId="1" xfId="2" applyNumberFormat="1" applyFont="1" applyBorder="1" applyAlignment="1">
      <alignment horizontal="center" vertical="center" wrapText="1"/>
    </xf>
    <xf numFmtId="44" fontId="3" fillId="0" borderId="2" xfId="2" applyFont="1" applyBorder="1" applyAlignment="1">
      <alignment horizontal="center"/>
    </xf>
    <xf numFmtId="0" fontId="13" fillId="2" borderId="1" xfId="0" applyFont="1" applyFill="1" applyBorder="1" applyAlignment="1">
      <alignment horizontal="center" vertical="center" wrapText="1"/>
    </xf>
    <xf numFmtId="0" fontId="2" fillId="2" borderId="0" xfId="0" applyFont="1" applyFill="1" applyAlignment="1">
      <alignment horizontal="left"/>
    </xf>
    <xf numFmtId="0" fontId="2" fillId="0" borderId="0" xfId="0" applyFont="1"/>
    <xf numFmtId="49" fontId="3" fillId="0" borderId="3" xfId="2" applyNumberFormat="1" applyFont="1" applyBorder="1" applyAlignment="1">
      <alignment horizontal="center" wrapText="1"/>
    </xf>
    <xf numFmtId="0" fontId="14" fillId="0" borderId="1" xfId="0" applyFont="1" applyBorder="1" applyAlignment="1">
      <alignment horizontal="center" wrapText="1"/>
    </xf>
    <xf numFmtId="0" fontId="14" fillId="0" borderId="0" xfId="0" applyFont="1"/>
    <xf numFmtId="8" fontId="3" fillId="0" borderId="3" xfId="2" applyNumberFormat="1" applyFont="1" applyBorder="1"/>
    <xf numFmtId="6" fontId="3" fillId="0" borderId="3" xfId="2" applyNumberFormat="1" applyFont="1" applyBorder="1"/>
    <xf numFmtId="0" fontId="14" fillId="0" borderId="3" xfId="2" applyNumberFormat="1" applyFont="1" applyBorder="1"/>
    <xf numFmtId="8" fontId="3" fillId="0" borderId="2" xfId="2" applyNumberFormat="1" applyFont="1" applyBorder="1"/>
    <xf numFmtId="0" fontId="14" fillId="0" borderId="2" xfId="2" applyNumberFormat="1" applyFont="1" applyBorder="1"/>
    <xf numFmtId="0" fontId="15" fillId="0" borderId="0" xfId="0" applyFont="1" applyAlignment="1">
      <alignment horizontal="center"/>
    </xf>
    <xf numFmtId="166" fontId="3" fillId="0" borderId="0" xfId="1" applyNumberFormat="1" applyFont="1"/>
    <xf numFmtId="166" fontId="16" fillId="0" borderId="0" xfId="1" applyNumberFormat="1" applyFont="1"/>
    <xf numFmtId="0" fontId="3" fillId="0" borderId="0" xfId="0" applyFont="1" applyAlignment="1">
      <alignment horizontal="left" wrapText="1"/>
    </xf>
    <xf numFmtId="44" fontId="2" fillId="2" borderId="8" xfId="2" applyFont="1" applyFill="1" applyBorder="1" applyAlignment="1">
      <alignment horizontal="center" vertical="center" wrapText="1"/>
    </xf>
    <xf numFmtId="0" fontId="2" fillId="2" borderId="8" xfId="0" applyFont="1" applyFill="1" applyBorder="1" applyAlignment="1">
      <alignment horizontal="center" vertical="center" wrapText="1"/>
    </xf>
    <xf numFmtId="42" fontId="3" fillId="0" borderId="1" xfId="2" applyNumberFormat="1" applyFont="1" applyBorder="1"/>
    <xf numFmtId="49" fontId="3" fillId="0" borderId="1" xfId="2" applyNumberFormat="1" applyFont="1" applyBorder="1" applyAlignment="1">
      <alignment horizontal="center"/>
    </xf>
    <xf numFmtId="49" fontId="3" fillId="0" borderId="1" xfId="2" applyNumberFormat="1" applyFont="1" applyBorder="1"/>
    <xf numFmtId="0" fontId="17" fillId="0" borderId="1" xfId="0" applyFont="1" applyBorder="1" applyAlignment="1">
      <alignment vertical="center" wrapText="1"/>
    </xf>
    <xf numFmtId="0" fontId="17" fillId="0" borderId="1" xfId="2" applyNumberFormat="1" applyFont="1" applyBorder="1" applyAlignment="1">
      <alignment wrapText="1"/>
    </xf>
    <xf numFmtId="0" fontId="3" fillId="0" borderId="1" xfId="2" applyNumberFormat="1" applyFont="1" applyBorder="1"/>
    <xf numFmtId="0" fontId="17" fillId="0" borderId="1" xfId="0" applyFont="1" applyBorder="1" applyAlignment="1">
      <alignment wrapText="1"/>
    </xf>
    <xf numFmtId="0" fontId="3" fillId="0" borderId="9" xfId="0" applyFont="1" applyBorder="1" applyAlignment="1">
      <alignment horizontal="center"/>
    </xf>
    <xf numFmtId="42" fontId="2" fillId="0" borderId="1" xfId="2" applyNumberFormat="1" applyFont="1" applyBorder="1"/>
    <xf numFmtId="49" fontId="2" fillId="0" borderId="1" xfId="2" applyNumberFormat="1" applyFont="1" applyBorder="1" applyAlignment="1">
      <alignment horizontal="center"/>
    </xf>
    <xf numFmtId="49" fontId="2" fillId="0" borderId="1" xfId="2" applyNumberFormat="1" applyFont="1" applyBorder="1"/>
    <xf numFmtId="0" fontId="2" fillId="0" borderId="1" xfId="2" applyNumberFormat="1" applyFont="1" applyBorder="1"/>
    <xf numFmtId="0" fontId="2" fillId="0" borderId="1" xfId="0" applyFont="1" applyBorder="1" applyAlignment="1">
      <alignment horizontal="center" wrapText="1"/>
    </xf>
    <xf numFmtId="0" fontId="5" fillId="0" borderId="0" xfId="0" applyFont="1" applyAlignment="1">
      <alignment horizontal="center"/>
    </xf>
    <xf numFmtId="0" fontId="20" fillId="0" borderId="0" xfId="0" applyFont="1"/>
    <xf numFmtId="49" fontId="6" fillId="0" borderId="3" xfId="2" applyNumberFormat="1" applyFont="1" applyBorder="1"/>
    <xf numFmtId="0" fontId="6" fillId="0" borderId="2" xfId="2" applyNumberFormat="1" applyFont="1" applyBorder="1"/>
    <xf numFmtId="0" fontId="3" fillId="0" borderId="0" xfId="0" applyFont="1" applyAlignment="1">
      <alignment horizontal="right"/>
    </xf>
    <xf numFmtId="49" fontId="3" fillId="0" borderId="2" xfId="2" applyNumberFormat="1" applyFont="1" applyBorder="1" applyAlignment="1">
      <alignment horizontal="center" wrapText="1"/>
    </xf>
    <xf numFmtId="0" fontId="21" fillId="0" borderId="0" xfId="0" applyFont="1"/>
    <xf numFmtId="0" fontId="2" fillId="4" borderId="10" xfId="0" applyFont="1" applyFill="1" applyBorder="1" applyAlignment="1">
      <alignment horizontal="center" vertical="center" wrapText="1"/>
    </xf>
    <xf numFmtId="0" fontId="3" fillId="0" borderId="10" xfId="0" applyFont="1" applyBorder="1" applyAlignment="1">
      <alignment horizontal="center" wrapText="1"/>
    </xf>
    <xf numFmtId="44" fontId="3" fillId="0" borderId="11" xfId="0" applyNumberFormat="1" applyFont="1" applyBorder="1" applyAlignment="1">
      <alignment horizontal="center" wrapText="1"/>
    </xf>
    <xf numFmtId="44" fontId="3" fillId="0" borderId="10" xfId="0" applyNumberFormat="1" applyFont="1" applyBorder="1" applyAlignment="1">
      <alignment horizontal="center" wrapText="1"/>
    </xf>
    <xf numFmtId="49" fontId="3" fillId="0" borderId="10" xfId="0" applyNumberFormat="1" applyFont="1" applyBorder="1" applyAlignment="1">
      <alignment horizontal="center" wrapText="1"/>
    </xf>
    <xf numFmtId="0" fontId="2" fillId="4" borderId="0" xfId="0" applyFont="1" applyFill="1" applyAlignment="1">
      <alignment horizontal="center"/>
    </xf>
    <xf numFmtId="44" fontId="3" fillId="0" borderId="11" xfId="0" applyNumberFormat="1" applyFont="1" applyBorder="1"/>
    <xf numFmtId="44" fontId="2" fillId="4" borderId="10" xfId="0" applyNumberFormat="1" applyFont="1" applyFill="1" applyBorder="1" applyAlignment="1">
      <alignment horizontal="center" vertical="center" wrapText="1"/>
    </xf>
    <xf numFmtId="44" fontId="12" fillId="0" borderId="11" xfId="0" applyNumberFormat="1" applyFont="1" applyBorder="1"/>
    <xf numFmtId="44" fontId="3" fillId="0" borderId="12" xfId="0" applyNumberFormat="1" applyFont="1" applyBorder="1"/>
    <xf numFmtId="44" fontId="12" fillId="5" borderId="11" xfId="0" applyNumberFormat="1" applyFont="1" applyFill="1" applyBorder="1"/>
    <xf numFmtId="49" fontId="3" fillId="0" borderId="12" xfId="0" applyNumberFormat="1" applyFont="1" applyBorder="1"/>
    <xf numFmtId="0" fontId="12" fillId="0" borderId="12" xfId="0" applyFont="1" applyBorder="1"/>
    <xf numFmtId="49" fontId="3" fillId="0" borderId="11" xfId="0" applyNumberFormat="1" applyFont="1" applyBorder="1"/>
    <xf numFmtId="0" fontId="12" fillId="0" borderId="11" xfId="0" applyFont="1" applyBorder="1"/>
    <xf numFmtId="0" fontId="3" fillId="0" borderId="11" xfId="0" applyFont="1" applyBorder="1"/>
    <xf numFmtId="0" fontId="12" fillId="0" borderId="0" xfId="0" applyFont="1" applyAlignment="1">
      <alignment horizontal="center"/>
    </xf>
    <xf numFmtId="0" fontId="3" fillId="0" borderId="13" xfId="0" applyFont="1" applyBorder="1" applyAlignment="1">
      <alignment horizontal="center"/>
    </xf>
    <xf numFmtId="44" fontId="2" fillId="0" borderId="11" xfId="0" applyNumberFormat="1" applyFont="1" applyBorder="1"/>
    <xf numFmtId="49" fontId="2" fillId="0" borderId="11" xfId="0" applyNumberFormat="1" applyFont="1" applyBorder="1"/>
    <xf numFmtId="0" fontId="2" fillId="0" borderId="11" xfId="0" applyFont="1" applyBorder="1"/>
    <xf numFmtId="49" fontId="3" fillId="0" borderId="1" xfId="2" applyNumberFormat="1" applyFont="1" applyBorder="1" applyAlignment="1">
      <alignment horizontal="left" wrapText="1"/>
    </xf>
    <xf numFmtId="0" fontId="12" fillId="0" borderId="10" xfId="0" applyFont="1" applyBorder="1" applyAlignment="1">
      <alignment horizontal="center" wrapText="1"/>
    </xf>
    <xf numFmtId="44" fontId="12" fillId="0" borderId="12" xfId="0" applyNumberFormat="1" applyFont="1" applyBorder="1"/>
    <xf numFmtId="49" fontId="12" fillId="0" borderId="12" xfId="0" applyNumberFormat="1" applyFont="1" applyBorder="1"/>
    <xf numFmtId="49" fontId="12" fillId="0" borderId="11" xfId="0" applyNumberFormat="1" applyFont="1" applyBorder="1"/>
    <xf numFmtId="0" fontId="15" fillId="0" borderId="0" xfId="0" applyFont="1" applyAlignment="1">
      <alignment horizontal="left"/>
    </xf>
    <xf numFmtId="0" fontId="13" fillId="0" borderId="0" xfId="0" applyFont="1" applyAlignment="1">
      <alignment wrapText="1"/>
    </xf>
    <xf numFmtId="0" fontId="22" fillId="0" borderId="1" xfId="0" applyFont="1" applyBorder="1" applyAlignment="1">
      <alignment horizontal="center" vertical="center" wrapText="1"/>
    </xf>
    <xf numFmtId="44" fontId="6" fillId="0" borderId="2" xfId="2" applyFont="1" applyBorder="1" applyAlignment="1">
      <alignment horizontal="center" vertical="center" wrapText="1"/>
    </xf>
    <xf numFmtId="0" fontId="6" fillId="0" borderId="1" xfId="0" applyFont="1" applyBorder="1" applyAlignment="1">
      <alignment horizontal="center" vertical="center" wrapText="1"/>
    </xf>
    <xf numFmtId="44" fontId="6" fillId="0" borderId="1" xfId="2" applyFont="1" applyBorder="1" applyAlignment="1">
      <alignment horizontal="center" vertical="center" wrapText="1"/>
    </xf>
    <xf numFmtId="49" fontId="6" fillId="0" borderId="1" xfId="2" applyNumberFormat="1" applyFont="1" applyBorder="1" applyAlignment="1">
      <alignment horizontal="center" vertical="center" wrapText="1"/>
    </xf>
    <xf numFmtId="0" fontId="6" fillId="0" borderId="0" xfId="0" applyFont="1"/>
    <xf numFmtId="0" fontId="23" fillId="0" borderId="0" xfId="0" applyFont="1" applyAlignment="1">
      <alignment horizontal="center"/>
    </xf>
    <xf numFmtId="0" fontId="13" fillId="2" borderId="0" xfId="0" applyFont="1" applyFill="1" applyAlignment="1">
      <alignment horizontal="center"/>
    </xf>
    <xf numFmtId="44" fontId="6" fillId="0" borderId="0" xfId="2" applyFont="1"/>
    <xf numFmtId="0" fontId="6" fillId="0" borderId="0" xfId="0" applyFont="1" applyAlignment="1">
      <alignment horizontal="center"/>
    </xf>
    <xf numFmtId="44" fontId="6" fillId="0" borderId="2" xfId="2" applyFont="1" applyBorder="1"/>
    <xf numFmtId="0" fontId="6" fillId="0" borderId="0" xfId="0" applyFont="1" applyAlignment="1">
      <alignment horizontal="center" vertical="center"/>
    </xf>
    <xf numFmtId="0" fontId="13" fillId="0" borderId="0" xfId="0" applyFont="1" applyAlignment="1">
      <alignment horizontal="center"/>
    </xf>
    <xf numFmtId="44" fontId="13" fillId="2" borderId="1" xfId="2" applyFont="1" applyFill="1" applyBorder="1" applyAlignment="1">
      <alignment horizontal="center" vertical="center" wrapText="1"/>
    </xf>
    <xf numFmtId="0" fontId="6" fillId="0" borderId="0" xfId="0" applyFont="1" applyAlignment="1">
      <alignment horizontal="left"/>
    </xf>
    <xf numFmtId="44" fontId="6" fillId="0" borderId="3" xfId="2" applyFont="1" applyBorder="1"/>
    <xf numFmtId="49" fontId="6" fillId="0" borderId="3" xfId="2" applyNumberFormat="1" applyFont="1" applyBorder="1" applyAlignment="1">
      <alignment horizontal="center"/>
    </xf>
    <xf numFmtId="0" fontId="6" fillId="0" borderId="3" xfId="2" quotePrefix="1" applyNumberFormat="1" applyFont="1" applyBorder="1" applyAlignment="1">
      <alignment horizontal="center"/>
    </xf>
    <xf numFmtId="49" fontId="6" fillId="0" borderId="2" xfId="2" applyNumberFormat="1" applyFont="1" applyBorder="1"/>
    <xf numFmtId="0" fontId="6" fillId="0" borderId="4" xfId="0" applyFont="1" applyBorder="1" applyAlignment="1">
      <alignment horizontal="center"/>
    </xf>
    <xf numFmtId="44" fontId="13" fillId="0" borderId="2" xfId="2" applyFont="1" applyBorder="1"/>
    <xf numFmtId="49" fontId="13" fillId="0" borderId="2" xfId="2" applyNumberFormat="1" applyFont="1" applyBorder="1"/>
    <xf numFmtId="0" fontId="13" fillId="0" borderId="2" xfId="2" applyNumberFormat="1" applyFont="1" applyBorder="1"/>
    <xf numFmtId="0" fontId="3" fillId="0" borderId="4" xfId="0" applyFont="1" applyBorder="1"/>
    <xf numFmtId="14" fontId="3" fillId="0" borderId="0" xfId="0" applyNumberFormat="1" applyFont="1"/>
    <xf numFmtId="44" fontId="3" fillId="0" borderId="14" xfId="2" applyFont="1" applyBorder="1" applyAlignment="1">
      <alignment horizontal="center" wrapText="1"/>
    </xf>
    <xf numFmtId="6" fontId="3" fillId="0" borderId="1" xfId="2" applyNumberFormat="1" applyFont="1" applyBorder="1" applyAlignment="1">
      <alignment horizontal="center" wrapText="1"/>
    </xf>
    <xf numFmtId="0" fontId="4" fillId="0" borderId="0" xfId="0" applyFont="1" applyAlignment="1">
      <alignment horizontal="left"/>
    </xf>
    <xf numFmtId="0" fontId="12" fillId="0" borderId="0" xfId="0" applyFont="1"/>
    <xf numFmtId="44" fontId="12" fillId="0" borderId="2" xfId="0" applyNumberFormat="1" applyFont="1" applyBorder="1"/>
    <xf numFmtId="0" fontId="2" fillId="0" borderId="0" xfId="0" applyFont="1" applyAlignment="1">
      <alignment horizontal="left"/>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166" fontId="2" fillId="0" borderId="1" xfId="1"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0" xfId="0" applyFont="1" applyAlignment="1">
      <alignment horizontal="center" wrapText="1"/>
    </xf>
    <xf numFmtId="44" fontId="3" fillId="0" borderId="0" xfId="2" applyFont="1" applyAlignment="1">
      <alignment horizontal="center" wrapText="1"/>
    </xf>
    <xf numFmtId="49" fontId="3" fillId="0" borderId="0" xfId="2" applyNumberFormat="1" applyFont="1" applyAlignment="1">
      <alignment horizontal="center" wrapText="1"/>
    </xf>
    <xf numFmtId="0" fontId="3" fillId="0" borderId="1" xfId="0" applyFont="1" applyBorder="1"/>
    <xf numFmtId="44" fontId="3" fillId="0" borderId="1" xfId="2" applyFont="1" applyBorder="1"/>
    <xf numFmtId="0" fontId="12" fillId="0" borderId="1" xfId="0" applyFont="1" applyBorder="1" applyAlignment="1">
      <alignment wrapText="1"/>
    </xf>
    <xf numFmtId="0" fontId="3" fillId="0" borderId="1" xfId="2" applyNumberFormat="1" applyFont="1" applyBorder="1" applyAlignment="1">
      <alignment wrapText="1"/>
    </xf>
    <xf numFmtId="8" fontId="3" fillId="0" borderId="1" xfId="0" applyNumberFormat="1" applyFont="1" applyBorder="1"/>
    <xf numFmtId="0" fontId="3" fillId="0" borderId="1" xfId="0" applyFont="1" applyBorder="1" applyAlignment="1">
      <alignment horizontal="center"/>
    </xf>
    <xf numFmtId="0" fontId="3" fillId="0" borderId="1" xfId="0" applyFont="1" applyBorder="1" applyAlignment="1">
      <alignment wrapText="1"/>
    </xf>
    <xf numFmtId="49" fontId="12" fillId="0" borderId="1" xfId="0" applyNumberFormat="1" applyFont="1" applyBorder="1"/>
    <xf numFmtId="8" fontId="3" fillId="0" borderId="1" xfId="2" applyNumberFormat="1" applyFont="1" applyBorder="1"/>
    <xf numFmtId="6" fontId="3" fillId="0" borderId="1" xfId="2" applyNumberFormat="1" applyFont="1" applyBorder="1"/>
    <xf numFmtId="0" fontId="2" fillId="0" borderId="1" xfId="0" applyFont="1" applyBorder="1" applyAlignment="1">
      <alignment horizontal="center"/>
    </xf>
    <xf numFmtId="44" fontId="2" fillId="0" borderId="1" xfId="2" applyFont="1" applyBorder="1"/>
    <xf numFmtId="0" fontId="3" fillId="0" borderId="15" xfId="0" applyFont="1" applyBorder="1" applyAlignment="1">
      <alignment wrapText="1"/>
    </xf>
    <xf numFmtId="2" fontId="3" fillId="0" borderId="2" xfId="2" applyNumberFormat="1" applyFont="1" applyBorder="1"/>
    <xf numFmtId="44" fontId="3" fillId="3" borderId="2" xfId="2" applyFont="1" applyFill="1" applyBorder="1"/>
    <xf numFmtId="0" fontId="3" fillId="0" borderId="3" xfId="2" applyNumberFormat="1" applyFont="1" applyBorder="1" applyAlignment="1">
      <alignment horizontal="center" vertical="top" wrapText="1"/>
    </xf>
    <xf numFmtId="0" fontId="3" fillId="0" borderId="2" xfId="2" applyNumberFormat="1" applyFont="1" applyBorder="1" applyAlignment="1">
      <alignment horizontal="center" vertical="top" wrapText="1"/>
    </xf>
    <xf numFmtId="0" fontId="3" fillId="0" borderId="2" xfId="2" applyNumberFormat="1" applyFont="1" applyBorder="1" applyAlignment="1">
      <alignment horizontal="center"/>
    </xf>
    <xf numFmtId="44" fontId="3" fillId="0" borderId="3" xfId="2" applyFont="1" applyBorder="1" applyAlignment="1">
      <alignment horizontal="center"/>
    </xf>
    <xf numFmtId="44" fontId="24" fillId="0" borderId="2" xfId="2" applyFont="1" applyBorder="1"/>
    <xf numFmtId="0" fontId="3" fillId="0" borderId="16" xfId="0" applyFont="1" applyBorder="1" applyAlignment="1">
      <alignment horizontal="center" vertical="center" wrapText="1"/>
    </xf>
    <xf numFmtId="44" fontId="3" fillId="0" borderId="1" xfId="2" applyFont="1" applyBorder="1" applyAlignment="1">
      <alignment vertical="center" wrapText="1"/>
    </xf>
    <xf numFmtId="0" fontId="3" fillId="0" borderId="2" xfId="2" applyNumberFormat="1" applyFont="1" applyBorder="1" applyAlignment="1">
      <alignment horizontal="center" vertical="center" wrapText="1"/>
    </xf>
    <xf numFmtId="0" fontId="2" fillId="4" borderId="17" xfId="0" applyFont="1" applyFill="1" applyBorder="1" applyAlignment="1">
      <alignment horizontal="center" vertical="center" wrapText="1"/>
    </xf>
    <xf numFmtId="0" fontId="12" fillId="0" borderId="18" xfId="0" applyFont="1" applyBorder="1" applyAlignment="1">
      <alignment horizontal="center" wrapText="1"/>
    </xf>
    <xf numFmtId="44" fontId="12" fillId="0" borderId="1" xfId="0" applyNumberFormat="1" applyFont="1" applyBorder="1" applyAlignment="1">
      <alignment horizontal="center" wrapText="1"/>
    </xf>
    <xf numFmtId="0" fontId="12" fillId="0" borderId="1" xfId="0" applyFont="1" applyBorder="1" applyAlignment="1">
      <alignment horizontal="center" wrapText="1"/>
    </xf>
    <xf numFmtId="44" fontId="3" fillId="0" borderId="1" xfId="0" applyNumberFormat="1" applyFont="1" applyBorder="1" applyAlignment="1">
      <alignment horizontal="center" wrapText="1"/>
    </xf>
    <xf numFmtId="49" fontId="3" fillId="0" borderId="1" xfId="0" applyNumberFormat="1" applyFont="1" applyBorder="1" applyAlignment="1">
      <alignment horizontal="center" wrapText="1"/>
    </xf>
    <xf numFmtId="44" fontId="12" fillId="0" borderId="8" xfId="0" applyNumberFormat="1" applyFont="1" applyBorder="1" applyAlignment="1">
      <alignment horizontal="center" wrapText="1"/>
    </xf>
    <xf numFmtId="0" fontId="12" fillId="0" borderId="8" xfId="0" applyFont="1" applyBorder="1" applyAlignment="1">
      <alignment horizontal="center" wrapText="1"/>
    </xf>
    <xf numFmtId="44" fontId="3" fillId="0" borderId="8" xfId="0" applyNumberFormat="1" applyFont="1" applyBorder="1" applyAlignment="1">
      <alignment horizontal="center" wrapText="1"/>
    </xf>
    <xf numFmtId="44" fontId="2" fillId="0" borderId="1" xfId="0" applyNumberFormat="1" applyFont="1" applyBorder="1" applyAlignment="1">
      <alignment horizontal="center" wrapText="1"/>
    </xf>
    <xf numFmtId="0" fontId="25" fillId="0" borderId="1" xfId="0" applyFont="1" applyBorder="1" applyAlignment="1">
      <alignment horizontal="center" wrapText="1"/>
    </xf>
    <xf numFmtId="44" fontId="2" fillId="0" borderId="0" xfId="0" applyNumberFormat="1" applyFont="1" applyAlignment="1">
      <alignment horizontal="center" wrapText="1"/>
    </xf>
    <xf numFmtId="0" fontId="2" fillId="0" borderId="0" xfId="0" applyFont="1" applyAlignment="1">
      <alignment horizontal="center" wrapText="1"/>
    </xf>
    <xf numFmtId="49" fontId="2" fillId="0" borderId="0" xfId="0" applyNumberFormat="1" applyFont="1" applyAlignment="1">
      <alignment horizontal="center" wrapText="1"/>
    </xf>
    <xf numFmtId="44" fontId="2" fillId="4" borderId="17" xfId="0" applyNumberFormat="1" applyFont="1" applyFill="1" applyBorder="1" applyAlignment="1">
      <alignment horizontal="center" vertical="center" wrapText="1"/>
    </xf>
    <xf numFmtId="0" fontId="3" fillId="0" borderId="19" xfId="0" applyFont="1" applyBorder="1" applyAlignment="1">
      <alignment horizontal="left"/>
    </xf>
    <xf numFmtId="44" fontId="12" fillId="0" borderId="1" xfId="0" applyNumberFormat="1" applyFont="1" applyBorder="1"/>
    <xf numFmtId="49" fontId="12" fillId="0" borderId="1" xfId="0" applyNumberFormat="1" applyFont="1" applyBorder="1" applyAlignment="1">
      <alignment horizontal="center"/>
    </xf>
    <xf numFmtId="49" fontId="3" fillId="0" borderId="1" xfId="0" applyNumberFormat="1" applyFont="1" applyBorder="1"/>
    <xf numFmtId="0" fontId="3" fillId="0" borderId="20" xfId="0" applyFont="1" applyBorder="1" applyAlignment="1">
      <alignment horizontal="left"/>
    </xf>
    <xf numFmtId="0" fontId="12" fillId="0" borderId="1" xfId="0" applyFont="1" applyBorder="1"/>
    <xf numFmtId="44" fontId="3" fillId="0" borderId="1" xfId="0" applyNumberFormat="1" applyFont="1" applyBorder="1"/>
    <xf numFmtId="49" fontId="3" fillId="0" borderId="1" xfId="0" applyNumberFormat="1" applyFont="1" applyBorder="1" applyAlignment="1">
      <alignment horizontal="center"/>
    </xf>
    <xf numFmtId="0" fontId="12" fillId="0" borderId="20" xfId="0" applyFont="1" applyBorder="1" applyAlignment="1">
      <alignment horizontal="left"/>
    </xf>
    <xf numFmtId="49" fontId="12" fillId="0" borderId="1" xfId="0" applyNumberFormat="1" applyFont="1" applyBorder="1" applyAlignment="1">
      <alignment wrapText="1"/>
    </xf>
    <xf numFmtId="0" fontId="3" fillId="0" borderId="21" xfId="0" applyFont="1" applyBorder="1" applyAlignment="1">
      <alignment horizontal="left"/>
    </xf>
    <xf numFmtId="44" fontId="2" fillId="0" borderId="1" xfId="0" applyNumberFormat="1" applyFont="1" applyBorder="1"/>
    <xf numFmtId="49" fontId="2" fillId="0" borderId="1" xfId="0" applyNumberFormat="1" applyFont="1" applyBorder="1" applyAlignment="1">
      <alignment horizontal="center"/>
    </xf>
    <xf numFmtId="49" fontId="2" fillId="0" borderId="1" xfId="0" applyNumberFormat="1" applyFont="1" applyBorder="1"/>
    <xf numFmtId="0" fontId="2" fillId="0" borderId="1" xfId="0" applyFont="1" applyBorder="1"/>
    <xf numFmtId="0" fontId="3" fillId="0" borderId="4" xfId="0" applyFont="1" applyBorder="1" applyAlignment="1">
      <alignment horizontal="left"/>
    </xf>
    <xf numFmtId="44" fontId="3" fillId="0" borderId="2" xfId="2" applyFont="1" applyBorder="1" applyAlignment="1">
      <alignment horizontal="right"/>
    </xf>
    <xf numFmtId="49" fontId="3" fillId="0" borderId="2" xfId="2" applyNumberFormat="1" applyFont="1" applyBorder="1" applyAlignment="1">
      <alignment wrapText="1"/>
    </xf>
    <xf numFmtId="0" fontId="3" fillId="0" borderId="0" xfId="0" applyFont="1" applyAlignment="1">
      <alignment horizontal="left" vertical="top"/>
    </xf>
    <xf numFmtId="0" fontId="3" fillId="0" borderId="0" xfId="0" applyFont="1" applyAlignment="1">
      <alignment horizontal="left" vertical="top" wrapText="1"/>
    </xf>
    <xf numFmtId="167" fontId="3" fillId="0" borderId="2" xfId="2" applyNumberFormat="1" applyFont="1" applyBorder="1"/>
    <xf numFmtId="17" fontId="3" fillId="0" borderId="0" xfId="0" applyNumberFormat="1" applyFont="1"/>
    <xf numFmtId="0" fontId="3" fillId="0" borderId="0" xfId="0" applyFont="1" applyAlignment="1">
      <alignment horizontal="left" indent="1"/>
    </xf>
    <xf numFmtId="8" fontId="3" fillId="0" borderId="2" xfId="2" applyNumberFormat="1" applyFont="1" applyBorder="1" applyAlignment="1">
      <alignment horizontal="center" wrapText="1"/>
    </xf>
    <xf numFmtId="0" fontId="26" fillId="0" borderId="0" xfId="0" applyFont="1"/>
    <xf numFmtId="0" fontId="8" fillId="0" borderId="2" xfId="2" applyNumberFormat="1" applyFont="1" applyBorder="1"/>
    <xf numFmtId="0" fontId="29" fillId="0" borderId="0" xfId="0" applyFont="1"/>
    <xf numFmtId="44" fontId="3" fillId="0" borderId="0" xfId="0" applyNumberFormat="1" applyFont="1" applyAlignment="1">
      <alignment horizontal="center"/>
    </xf>
    <xf numFmtId="44" fontId="3" fillId="0" borderId="5" xfId="2" applyFont="1" applyBorder="1"/>
    <xf numFmtId="44" fontId="3" fillId="0" borderId="5" xfId="0" applyNumberFormat="1" applyFont="1" applyBorder="1"/>
    <xf numFmtId="43" fontId="3" fillId="0" borderId="2" xfId="1" applyFont="1" applyBorder="1"/>
    <xf numFmtId="0" fontId="12" fillId="0" borderId="13" xfId="0" applyFont="1" applyBorder="1" applyAlignment="1">
      <alignment wrapText="1"/>
    </xf>
    <xf numFmtId="0" fontId="3" fillId="0" borderId="13" xfId="0" applyFont="1" applyBorder="1" applyAlignment="1">
      <alignment wrapText="1"/>
    </xf>
    <xf numFmtId="0" fontId="0" fillId="0" borderId="13" xfId="0" applyBorder="1" applyAlignment="1">
      <alignment wrapText="1"/>
    </xf>
    <xf numFmtId="0" fontId="3" fillId="0" borderId="22" xfId="0" applyFont="1" applyBorder="1" applyAlignment="1">
      <alignment wrapText="1"/>
    </xf>
    <xf numFmtId="8" fontId="0" fillId="0" borderId="0" xfId="0" applyNumberFormat="1"/>
    <xf numFmtId="7" fontId="3" fillId="0" borderId="1" xfId="2" applyNumberFormat="1" applyFont="1" applyBorder="1" applyAlignment="1">
      <alignment horizontal="center" wrapText="1"/>
    </xf>
    <xf numFmtId="44" fontId="2" fillId="0" borderId="5" xfId="0" applyNumberFormat="1" applyFont="1" applyBorder="1"/>
    <xf numFmtId="16" fontId="3" fillId="0" borderId="0" xfId="0" applyNumberFormat="1" applyFont="1"/>
    <xf numFmtId="0" fontId="3" fillId="0" borderId="6" xfId="0" applyFont="1" applyBorder="1"/>
    <xf numFmtId="0" fontId="4" fillId="0" borderId="6" xfId="0" applyFont="1" applyBorder="1" applyAlignment="1">
      <alignment horizontal="center"/>
    </xf>
    <xf numFmtId="0" fontId="2" fillId="2" borderId="6" xfId="0" applyFont="1" applyFill="1" applyBorder="1" applyAlignment="1">
      <alignment horizontal="center"/>
    </xf>
    <xf numFmtId="0" fontId="3" fillId="0" borderId="6" xfId="0" applyFont="1" applyBorder="1" applyAlignment="1">
      <alignment horizontal="left"/>
    </xf>
    <xf numFmtId="0" fontId="3" fillId="0" borderId="6" xfId="0" applyFont="1" applyBorder="1" applyAlignment="1">
      <alignment horizontal="center"/>
    </xf>
    <xf numFmtId="0" fontId="2" fillId="2" borderId="0" xfId="0" applyFont="1" applyFill="1" applyAlignment="1">
      <alignment horizontal="center" vertical="center" wrapText="1"/>
    </xf>
    <xf numFmtId="49" fontId="3" fillId="0" borderId="23" xfId="2" applyNumberFormat="1" applyFont="1" applyBorder="1" applyAlignment="1">
      <alignment horizontal="center"/>
    </xf>
    <xf numFmtId="49" fontId="3" fillId="0" borderId="0" xfId="2" applyNumberFormat="1" applyFont="1"/>
    <xf numFmtId="49" fontId="3" fillId="0" borderId="24" xfId="2" applyNumberFormat="1" applyFont="1" applyBorder="1" applyAlignment="1">
      <alignment horizontal="center"/>
    </xf>
    <xf numFmtId="49" fontId="3" fillId="0" borderId="24" xfId="2" applyNumberFormat="1" applyFont="1" applyBorder="1"/>
    <xf numFmtId="0" fontId="3" fillId="0" borderId="25" xfId="0" applyFont="1" applyBorder="1" applyAlignment="1">
      <alignment horizontal="center"/>
    </xf>
    <xf numFmtId="0" fontId="2" fillId="0" borderId="6" xfId="0" applyFont="1" applyBorder="1" applyAlignment="1">
      <alignment horizontal="center"/>
    </xf>
    <xf numFmtId="49" fontId="2" fillId="0" borderId="24" xfId="2" applyNumberFormat="1" applyFont="1" applyBorder="1"/>
    <xf numFmtId="0" fontId="3" fillId="0" borderId="1" xfId="0" applyFont="1" applyBorder="1" applyAlignment="1">
      <alignment horizontal="left" wrapText="1"/>
    </xf>
    <xf numFmtId="44" fontId="3" fillId="0" borderId="0" xfId="2" applyFont="1" applyAlignment="1">
      <alignment horizontal="right"/>
    </xf>
    <xf numFmtId="0" fontId="3" fillId="2" borderId="0" xfId="0" applyFont="1" applyFill="1"/>
    <xf numFmtId="16" fontId="3" fillId="2" borderId="0" xfId="0" applyNumberFormat="1" applyFont="1" applyFill="1"/>
    <xf numFmtId="44" fontId="3" fillId="0" borderId="7" xfId="0" applyNumberFormat="1" applyFont="1" applyBorder="1"/>
    <xf numFmtId="8" fontId="3" fillId="0" borderId="0" xfId="0" applyNumberFormat="1" applyFont="1"/>
    <xf numFmtId="4" fontId="0" fillId="0" borderId="0" xfId="0" applyNumberFormat="1"/>
    <xf numFmtId="0" fontId="30" fillId="0" borderId="0" xfId="0" applyFont="1" applyAlignment="1">
      <alignment horizontal="center"/>
    </xf>
    <xf numFmtId="0" fontId="30" fillId="0" borderId="0" xfId="0" applyFont="1" applyAlignment="1">
      <alignment horizontal="left"/>
    </xf>
    <xf numFmtId="44" fontId="12" fillId="0" borderId="3" xfId="0" applyNumberFormat="1" applyFont="1" applyBorder="1" applyAlignment="1">
      <alignment vertical="center"/>
    </xf>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49" fontId="3" fillId="0" borderId="3" xfId="2" applyNumberFormat="1" applyFont="1" applyBorder="1" applyAlignment="1">
      <alignment horizontal="center"/>
    </xf>
    <xf numFmtId="0" fontId="9" fillId="7" borderId="0" xfId="3" applyFont="1" applyFill="1" applyAlignment="1">
      <alignment horizontal="center"/>
    </xf>
    <xf numFmtId="0" fontId="9" fillId="7" borderId="26" xfId="5" applyFont="1" applyFill="1" applyBorder="1" applyAlignment="1">
      <alignment horizontal="center" wrapText="1"/>
    </xf>
    <xf numFmtId="0" fontId="10" fillId="0" borderId="27" xfId="5" applyFont="1" applyBorder="1" applyAlignment="1">
      <alignment horizontal="center" wrapText="1"/>
    </xf>
    <xf numFmtId="0" fontId="10" fillId="0" borderId="0" xfId="5" applyFont="1" applyAlignment="1">
      <alignment horizontal="center" wrapText="1"/>
    </xf>
    <xf numFmtId="0" fontId="10" fillId="0" borderId="27" xfId="4" applyFont="1" applyBorder="1" applyAlignment="1">
      <alignment horizontal="center"/>
    </xf>
    <xf numFmtId="0" fontId="10" fillId="0" borderId="0" xfId="0" applyFont="1" applyAlignment="1">
      <alignment horizontal="center" wrapText="1"/>
    </xf>
    <xf numFmtId="0" fontId="3" fillId="0" borderId="2" xfId="2" applyNumberFormat="1" applyFont="1" applyBorder="1" applyAlignment="1">
      <alignment horizontal="left" wrapText="1"/>
    </xf>
    <xf numFmtId="0" fontId="3" fillId="0" borderId="2" xfId="2" applyNumberFormat="1" applyFont="1" applyBorder="1" applyAlignment="1">
      <alignment wrapText="1"/>
    </xf>
    <xf numFmtId="49" fontId="3" fillId="0" borderId="1" xfId="2" applyNumberFormat="1" applyFont="1" applyBorder="1" applyAlignment="1">
      <alignment horizontal="left" wrapText="1"/>
    </xf>
    <xf numFmtId="166" fontId="3" fillId="0" borderId="0" xfId="1" applyNumberFormat="1"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3" xfId="2" applyNumberFormat="1" applyFont="1" applyBorder="1"/>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49" fontId="3" fillId="0" borderId="3" xfId="2" applyNumberFormat="1" applyFont="1" applyBorder="1" applyAlignment="1">
      <alignment horizontal="center"/>
    </xf>
    <xf numFmtId="49" fontId="3" fillId="0" borderId="2" xfId="2" applyNumberFormat="1" applyFont="1" applyBorder="1" applyAlignment="1">
      <alignment horizontal="center"/>
    </xf>
    <xf numFmtId="0" fontId="3" fillId="0" borderId="0" xfId="0" applyFont="1" applyAlignment="1">
      <alignment horizontal="left" wrapText="1"/>
    </xf>
    <xf numFmtId="166" fontId="3" fillId="0" borderId="2" xfId="2" applyNumberFormat="1" applyFont="1" applyBorder="1" applyAlignment="1">
      <alignment horizontal="center" wrapText="1"/>
    </xf>
    <xf numFmtId="166" fontId="3" fillId="0" borderId="1" xfId="2" applyNumberFormat="1" applyFont="1" applyBorder="1" applyAlignment="1">
      <alignment horizontal="center" wrapText="1"/>
    </xf>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0" fontId="6" fillId="0" borderId="2" xfId="2" applyNumberFormat="1" applyFont="1" applyBorder="1"/>
    <xf numFmtId="49" fontId="3" fillId="0" borderId="2" xfId="2" applyNumberFormat="1" applyFont="1" applyBorder="1" applyAlignment="1">
      <alignment horizontal="center"/>
    </xf>
    <xf numFmtId="0" fontId="3" fillId="0" borderId="1" xfId="0" applyFont="1" applyBorder="1" applyAlignment="1">
      <alignment horizontal="center" vertical="center" wrapText="1"/>
    </xf>
    <xf numFmtId="44" fontId="3" fillId="0" borderId="0" xfId="0" applyNumberFormat="1" applyFont="1"/>
    <xf numFmtId="49" fontId="3" fillId="0" borderId="3" xfId="2" applyNumberFormat="1" applyFont="1" applyBorder="1" applyAlignment="1">
      <alignment horizontal="center"/>
    </xf>
    <xf numFmtId="0" fontId="8" fillId="0" borderId="2" xfId="2" applyNumberFormat="1" applyFont="1" applyBorder="1"/>
    <xf numFmtId="0" fontId="32" fillId="0" borderId="0" xfId="0" applyFont="1"/>
    <xf numFmtId="166" fontId="3" fillId="0" borderId="5" xfId="1" applyNumberFormat="1" applyFont="1" applyBorder="1"/>
    <xf numFmtId="166" fontId="3" fillId="0" borderId="0" xfId="0" applyNumberFormat="1" applyFont="1"/>
    <xf numFmtId="0" fontId="3" fillId="0" borderId="28" xfId="0" applyFont="1" applyBorder="1" applyAlignment="1">
      <alignment horizont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4" fontId="3" fillId="0" borderId="0" xfId="2" applyFont="1" applyFill="1" applyBorder="1" applyAlignment="1">
      <alignment horizontal="left" wrapText="1"/>
    </xf>
    <xf numFmtId="0" fontId="3" fillId="0" borderId="0" xfId="0" applyFont="1" applyFill="1" applyBorder="1" applyAlignment="1">
      <alignment horizontal="center" wrapText="1"/>
    </xf>
    <xf numFmtId="44" fontId="3" fillId="0" borderId="0" xfId="2" applyFont="1" applyFill="1" applyBorder="1" applyAlignment="1">
      <alignment horizontal="left"/>
    </xf>
    <xf numFmtId="0" fontId="3" fillId="0" borderId="0" xfId="0" applyFont="1" applyFill="1" applyBorder="1"/>
    <xf numFmtId="0" fontId="12" fillId="0" borderId="0" xfId="0" applyFont="1" applyFill="1" applyBorder="1" applyAlignment="1">
      <alignment horizontal="center" vertical="center"/>
    </xf>
    <xf numFmtId="0" fontId="3" fillId="0" borderId="0" xfId="0" applyFont="1" applyFill="1" applyBorder="1" applyAlignment="1">
      <alignment horizontal="center"/>
    </xf>
    <xf numFmtId="44" fontId="3" fillId="0" borderId="0" xfId="2" applyFont="1" applyFill="1" applyBorder="1" applyAlignment="1">
      <alignment horizontal="left" vertical="center" wrapText="1"/>
    </xf>
    <xf numFmtId="44" fontId="3" fillId="0" borderId="0" xfId="2" applyFont="1" applyFill="1" applyBorder="1" applyAlignment="1">
      <alignment horizontal="center" wrapText="1"/>
    </xf>
    <xf numFmtId="0" fontId="2" fillId="0" borderId="0" xfId="0" applyFont="1" applyFill="1" applyBorder="1" applyAlignment="1">
      <alignment horizontal="center"/>
    </xf>
    <xf numFmtId="0" fontId="9" fillId="0" borderId="0" xfId="0" applyFont="1" applyFill="1" applyBorder="1" applyAlignment="1">
      <alignment horizontal="center"/>
    </xf>
    <xf numFmtId="44" fontId="2" fillId="0" borderId="0" xfId="2" applyFont="1" applyFill="1" applyBorder="1" applyAlignment="1">
      <alignment horizontal="left"/>
    </xf>
    <xf numFmtId="0" fontId="2" fillId="0" borderId="0" xfId="0" applyFont="1" applyFill="1" applyBorder="1"/>
    <xf numFmtId="0" fontId="10" fillId="0" borderId="0" xfId="0" applyFont="1" applyFill="1" applyBorder="1" applyAlignment="1">
      <alignment horizontal="center"/>
    </xf>
    <xf numFmtId="0" fontId="9" fillId="2" borderId="1" xfId="3" applyFont="1" applyFill="1" applyBorder="1" applyAlignment="1">
      <alignment horizontal="center" vertic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16" xfId="0" applyFont="1" applyBorder="1" applyAlignment="1">
      <alignment horizontal="center" wrapText="1"/>
    </xf>
    <xf numFmtId="0" fontId="3" fillId="0" borderId="1" xfId="0" applyFont="1" applyBorder="1" applyAlignment="1">
      <alignment horizontal="left"/>
    </xf>
    <xf numFmtId="0" fontId="3" fillId="0" borderId="29" xfId="0" applyFont="1" applyBorder="1" applyAlignment="1">
      <alignment horizontal="center"/>
    </xf>
    <xf numFmtId="44" fontId="2" fillId="0" borderId="3" xfId="2" applyFont="1" applyBorder="1"/>
    <xf numFmtId="49" fontId="2" fillId="0" borderId="3" xfId="2" applyNumberFormat="1" applyFont="1" applyBorder="1"/>
    <xf numFmtId="0" fontId="2" fillId="0" borderId="3" xfId="2" applyNumberFormat="1" applyFont="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indent="2"/>
    </xf>
    <xf numFmtId="164" fontId="3" fillId="9" borderId="1" xfId="2" applyNumberFormat="1" applyFont="1" applyFill="1" applyBorder="1" applyAlignment="1">
      <alignment horizontal="center" wrapText="1"/>
    </xf>
    <xf numFmtId="0" fontId="2" fillId="9" borderId="0" xfId="0" applyFont="1" applyFill="1" applyAlignment="1">
      <alignment horizontal="center"/>
    </xf>
    <xf numFmtId="0" fontId="2" fillId="0" borderId="0" xfId="0" applyFont="1" applyAlignment="1">
      <alignment horizontal="right"/>
    </xf>
    <xf numFmtId="164" fontId="2" fillId="0" borderId="0" xfId="0" applyNumberFormat="1" applyFon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3" fillId="4" borderId="10" xfId="0" applyFont="1" applyFill="1" applyBorder="1" applyAlignment="1">
      <alignment horizontal="center" vertical="center" wrapText="1"/>
    </xf>
    <xf numFmtId="0" fontId="33" fillId="0" borderId="0" xfId="0" applyFont="1" applyAlignment="1">
      <alignment wrapText="1"/>
    </xf>
    <xf numFmtId="0" fontId="34" fillId="0" borderId="10" xfId="0" applyFont="1" applyBorder="1" applyAlignment="1">
      <alignment horizontal="center" wrapText="1"/>
    </xf>
    <xf numFmtId="44" fontId="34" fillId="0" borderId="11" xfId="0" applyNumberFormat="1" applyFont="1" applyBorder="1" applyAlignment="1">
      <alignment horizontal="center" wrapText="1"/>
    </xf>
    <xf numFmtId="44" fontId="34" fillId="0" borderId="10" xfId="0" applyNumberFormat="1" applyFont="1" applyBorder="1" applyAlignment="1">
      <alignment horizontal="center" wrapText="1"/>
    </xf>
    <xf numFmtId="49" fontId="34" fillId="0" borderId="10" xfId="0" applyNumberFormat="1" applyFont="1" applyBorder="1" applyAlignment="1">
      <alignment horizontal="center" wrapText="1"/>
    </xf>
    <xf numFmtId="0" fontId="35" fillId="0" borderId="0" xfId="0" applyFont="1"/>
    <xf numFmtId="0" fontId="36" fillId="0" borderId="0" xfId="0" applyFont="1" applyAlignment="1">
      <alignment horizontal="center"/>
    </xf>
    <xf numFmtId="0" fontId="33" fillId="4" borderId="0" xfId="0" applyFont="1" applyFill="1" applyAlignment="1">
      <alignment horizontal="center"/>
    </xf>
    <xf numFmtId="44" fontId="35" fillId="0" borderId="0" xfId="0" applyNumberFormat="1" applyFont="1"/>
    <xf numFmtId="0" fontId="35" fillId="0" borderId="0" xfId="0" applyFont="1" applyAlignment="1">
      <alignment horizontal="center"/>
    </xf>
    <xf numFmtId="44" fontId="34" fillId="0" borderId="11" xfId="0" applyNumberFormat="1" applyFont="1" applyBorder="1"/>
    <xf numFmtId="44" fontId="35" fillId="0" borderId="11" xfId="0" applyNumberFormat="1" applyFont="1" applyBorder="1"/>
    <xf numFmtId="0" fontId="33" fillId="0" borderId="0" xfId="0" applyFont="1" applyAlignment="1">
      <alignment horizontal="center"/>
    </xf>
    <xf numFmtId="44" fontId="33" fillId="4" borderId="10" xfId="0" applyNumberFormat="1" applyFont="1" applyFill="1" applyBorder="1" applyAlignment="1">
      <alignment horizontal="center" vertical="center" wrapText="1"/>
    </xf>
    <xf numFmtId="0" fontId="35" fillId="0" borderId="0" xfId="0" applyFont="1" applyAlignment="1">
      <alignment horizontal="left"/>
    </xf>
    <xf numFmtId="44" fontId="34" fillId="0" borderId="12" xfId="0" applyNumberFormat="1" applyFont="1" applyBorder="1"/>
    <xf numFmtId="49" fontId="34" fillId="0" borderId="12" xfId="0" applyNumberFormat="1" applyFont="1" applyBorder="1"/>
    <xf numFmtId="0" fontId="35" fillId="0" borderId="12" xfId="0" applyFont="1" applyBorder="1"/>
    <xf numFmtId="49" fontId="35" fillId="0" borderId="11" xfId="0" applyNumberFormat="1" applyFont="1" applyBorder="1"/>
    <xf numFmtId="0" fontId="35" fillId="0" borderId="11" xfId="0" applyFont="1" applyBorder="1"/>
    <xf numFmtId="49" fontId="34" fillId="0" borderId="11" xfId="0" applyNumberFormat="1" applyFont="1" applyBorder="1"/>
    <xf numFmtId="0" fontId="35" fillId="0" borderId="13" xfId="0" applyFont="1" applyBorder="1" applyAlignment="1">
      <alignment horizontal="center"/>
    </xf>
    <xf numFmtId="44" fontId="33" fillId="0" borderId="11" xfId="0" applyNumberFormat="1" applyFont="1" applyBorder="1"/>
    <xf numFmtId="49" fontId="33" fillId="0" borderId="11" xfId="0" applyNumberFormat="1" applyFont="1" applyBorder="1"/>
    <xf numFmtId="0" fontId="33" fillId="0" borderId="11" xfId="0" applyFont="1" applyBorder="1"/>
    <xf numFmtId="0" fontId="3" fillId="0" borderId="3" xfId="2" applyNumberFormat="1" applyFont="1" applyBorder="1" applyAlignment="1">
      <alignment horizontal="center"/>
    </xf>
    <xf numFmtId="0" fontId="2" fillId="0" borderId="2" xfId="2" applyNumberFormat="1" applyFont="1" applyBorder="1" applyAlignment="1">
      <alignment horizontal="center"/>
    </xf>
    <xf numFmtId="0" fontId="16" fillId="0" borderId="0" xfId="0" applyFont="1"/>
    <xf numFmtId="164" fontId="24" fillId="0" borderId="0" xfId="0" applyNumberFormat="1" applyFont="1"/>
    <xf numFmtId="0" fontId="10" fillId="0" borderId="0" xfId="5" applyFont="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5" fillId="0" borderId="1" xfId="0" applyFont="1" applyBorder="1" applyAlignment="1">
      <alignment horizontal="center" wrapText="1"/>
    </xf>
    <xf numFmtId="44" fontId="3" fillId="2" borderId="2" xfId="2" applyFont="1" applyFill="1" applyBorder="1"/>
    <xf numFmtId="0" fontId="3" fillId="2" borderId="1" xfId="0" applyFont="1" applyFill="1" applyBorder="1" applyAlignment="1">
      <alignment vertical="top" wrapText="1"/>
    </xf>
    <xf numFmtId="0" fontId="3" fillId="2" borderId="1" xfId="0" applyFont="1" applyFill="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2" xfId="2" applyNumberFormat="1" applyFont="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3" xfId="2" applyNumberFormat="1" applyFont="1" applyBorder="1" applyAlignment="1">
      <alignment horizontal="center" wrapText="1"/>
    </xf>
    <xf numFmtId="44" fontId="2" fillId="0" borderId="2" xfId="2" applyFont="1" applyBorder="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164" fontId="0" fillId="0" borderId="1" xfId="2" applyNumberFormat="1" applyFont="1" applyBorder="1"/>
    <xf numFmtId="44" fontId="3" fillId="10" borderId="2" xfId="2" applyFont="1" applyFill="1" applyBorder="1" applyAlignment="1">
      <alignment horizontal="center"/>
    </xf>
    <xf numFmtId="0" fontId="3" fillId="11" borderId="0" xfId="0" applyFont="1" applyFill="1" applyAlignment="1">
      <alignment horizontal="left"/>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0" borderId="0" xfId="0" applyNumberFormat="1" applyFont="1" applyFill="1" applyBorder="1"/>
    <xf numFmtId="0" fontId="9" fillId="0" borderId="0" xfId="0" applyFont="1"/>
    <xf numFmtId="0" fontId="3" fillId="12" borderId="0" xfId="0" applyFont="1" applyFill="1" applyAlignment="1">
      <alignment horizontal="center"/>
    </xf>
    <xf numFmtId="44" fontId="3" fillId="12" borderId="2" xfId="2" applyFont="1" applyFill="1" applyBorder="1"/>
    <xf numFmtId="43" fontId="3" fillId="0" borderId="3" xfId="1" applyFont="1" applyBorder="1"/>
    <xf numFmtId="168" fontId="3" fillId="0" borderId="3" xfId="2" applyNumberFormat="1" applyFont="1" applyBorder="1"/>
    <xf numFmtId="168" fontId="3" fillId="0" borderId="2" xfId="2" applyNumberFormat="1" applyFont="1" applyBorder="1"/>
    <xf numFmtId="168" fontId="3" fillId="0" borderId="0" xfId="0" applyNumberFormat="1" applyFont="1"/>
    <xf numFmtId="168" fontId="2" fillId="0" borderId="0" xfId="0" applyNumberFormat="1" applyFont="1"/>
    <xf numFmtId="0" fontId="16" fillId="0" borderId="2" xfId="2" applyNumberFormat="1" applyFont="1" applyBorder="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44" fontId="3" fillId="0" borderId="3" xfId="2" applyFont="1" applyBorder="1" applyAlignment="1">
      <alignment wrapText="1"/>
    </xf>
    <xf numFmtId="49" fontId="3" fillId="0" borderId="3" xfId="2" applyNumberFormat="1" applyFont="1" applyBorder="1" applyAlignment="1">
      <alignment wrapText="1"/>
    </xf>
    <xf numFmtId="44" fontId="3" fillId="0" borderId="2" xfId="2" applyFont="1" applyBorder="1" applyAlignment="1">
      <alignment wrapText="1"/>
    </xf>
    <xf numFmtId="44" fontId="2" fillId="0" borderId="2" xfId="2" applyFont="1" applyBorder="1" applyAlignment="1">
      <alignment wrapText="1"/>
    </xf>
    <xf numFmtId="49" fontId="2" fillId="0" borderId="2" xfId="2" applyNumberFormat="1" applyFont="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164" fontId="16" fillId="0" borderId="2" xfId="2" applyNumberFormat="1" applyFont="1" applyBorder="1" applyAlignment="1">
      <alignment horizontal="center" wrapText="1"/>
    </xf>
    <xf numFmtId="0" fontId="10" fillId="0" borderId="1" xfId="0" applyFont="1" applyBorder="1" applyAlignment="1">
      <alignment horizontal="center" wrapText="1"/>
    </xf>
    <xf numFmtId="44" fontId="16" fillId="0" borderId="1" xfId="2" applyFont="1" applyBorder="1" applyAlignment="1">
      <alignment horizontal="center" wrapText="1"/>
    </xf>
    <xf numFmtId="164" fontId="16" fillId="0" borderId="2" xfId="2" applyNumberFormat="1" applyFont="1" applyBorder="1"/>
    <xf numFmtId="44" fontId="3" fillId="0" borderId="0" xfId="2" applyFont="1" applyFill="1" applyBorder="1" applyAlignment="1">
      <alignment horizontal="center" vertical="center" wrapText="1"/>
    </xf>
    <xf numFmtId="44" fontId="3" fillId="0" borderId="0" xfId="2" applyFont="1" applyFill="1" applyBorder="1"/>
    <xf numFmtId="44" fontId="2" fillId="0" borderId="0" xfId="2" applyFont="1" applyFill="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7" fillId="0" borderId="0" xfId="0" applyFont="1" applyAlignment="1">
      <alignment horizontal="center"/>
    </xf>
    <xf numFmtId="0" fontId="38" fillId="0" borderId="0" xfId="0" applyFont="1" applyAlignment="1">
      <alignment horizontal="center"/>
    </xf>
    <xf numFmtId="44" fontId="37" fillId="0" borderId="0" xfId="2" applyFont="1" applyAlignment="1">
      <alignment horizontal="center"/>
    </xf>
    <xf numFmtId="0" fontId="39" fillId="0" borderId="0" xfId="0" applyFont="1" applyAlignment="1">
      <alignment horizontal="center"/>
    </xf>
    <xf numFmtId="44" fontId="39" fillId="0" borderId="0" xfId="2" applyFont="1" applyAlignment="1">
      <alignment horizontal="center"/>
    </xf>
    <xf numFmtId="14" fontId="37" fillId="0" borderId="0" xfId="0" applyNumberFormat="1" applyFont="1" applyAlignment="1">
      <alignment horizontal="center"/>
    </xf>
    <xf numFmtId="0" fontId="37" fillId="0" borderId="0" xfId="0" applyFont="1"/>
    <xf numFmtId="16" fontId="37" fillId="0" borderId="0" xfId="0" applyNumberFormat="1" applyFont="1" applyAlignment="1">
      <alignment horizontal="center"/>
    </xf>
    <xf numFmtId="44" fontId="39" fillId="0" borderId="15" xfId="2" applyFont="1" applyBorder="1" applyAlignment="1">
      <alignment horizontal="center"/>
    </xf>
    <xf numFmtId="0" fontId="39" fillId="0" borderId="0" xfId="0" applyFont="1"/>
    <xf numFmtId="4" fontId="3" fillId="0" borderId="2" xfId="2" applyNumberFormat="1" applyFont="1" applyBorder="1"/>
    <xf numFmtId="4" fontId="3" fillId="0" borderId="0" xfId="0" applyNumberFormat="1" applyFont="1"/>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4" fontId="3" fillId="0" borderId="3" xfId="2" applyNumberFormat="1" applyFont="1" applyBorder="1"/>
    <xf numFmtId="4" fontId="2" fillId="0" borderId="2" xfId="2" applyNumberFormat="1" applyFont="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2" fillId="13" borderId="2" xfId="2" applyFont="1" applyFill="1" applyBorder="1"/>
    <xf numFmtId="49" fontId="3" fillId="0" borderId="4" xfId="2" applyNumberFormat="1" applyFont="1" applyBorder="1"/>
    <xf numFmtId="49" fontId="3" fillId="0" borderId="14" xfId="2" applyNumberFormat="1" applyFont="1" applyBorder="1"/>
    <xf numFmtId="44" fontId="3" fillId="0" borderId="1" xfId="2" applyFont="1" applyBorder="1" applyAlignment="1">
      <alignment horizontal="right"/>
    </xf>
    <xf numFmtId="168" fontId="3" fillId="0" borderId="1" xfId="0" applyNumberFormat="1" applyFont="1" applyBorder="1"/>
    <xf numFmtId="8" fontId="10" fillId="0" borderId="1" xfId="0" applyNumberFormat="1" applyFont="1" applyBorder="1"/>
    <xf numFmtId="49" fontId="2" fillId="0" borderId="14" xfId="2" applyNumberFormat="1" applyFont="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11" borderId="2" xfId="2" applyFont="1" applyFill="1" applyBorder="1"/>
    <xf numFmtId="44" fontId="40" fillId="0" borderId="2" xfId="2" applyFont="1" applyBorder="1"/>
    <xf numFmtId="0" fontId="3" fillId="0" borderId="0" xfId="0" applyFont="1" applyAlignment="1">
      <alignment horizontal="center" vertical="center" wrapText="1"/>
    </xf>
    <xf numFmtId="44" fontId="3" fillId="0" borderId="0" xfId="2" applyFont="1" applyAlignment="1">
      <alignment horizontal="left"/>
    </xf>
    <xf numFmtId="0" fontId="9" fillId="0" borderId="0" xfId="0" applyFont="1" applyAlignment="1">
      <alignment horizontal="center"/>
    </xf>
    <xf numFmtId="44" fontId="2" fillId="0" borderId="0" xfId="2" applyFont="1" applyAlignment="1">
      <alignment horizontal="left"/>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0" borderId="0" xfId="0" applyNumberFormat="1" applyFont="1" applyAlignment="1">
      <alignment vertic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3" fontId="6" fillId="0" borderId="1" xfId="0" applyNumberFormat="1" applyFont="1" applyBorder="1" applyAlignment="1">
      <alignment horizontal="center" wrapText="1"/>
    </xf>
    <xf numFmtId="8" fontId="3" fillId="0" borderId="3" xfId="2" applyNumberFormat="1" applyFont="1" applyBorder="1" applyAlignment="1">
      <alignment horizontal="center"/>
    </xf>
    <xf numFmtId="6" fontId="3" fillId="0" borderId="2" xfId="2" applyNumberFormat="1" applyFont="1" applyBorder="1" applyAlignment="1">
      <alignment horizontal="center"/>
    </xf>
    <xf numFmtId="8" fontId="3" fillId="0" borderId="2" xfId="2" applyNumberFormat="1" applyFont="1" applyBorder="1" applyAlignment="1">
      <alignment horizontal="center"/>
    </xf>
    <xf numFmtId="49" fontId="2" fillId="0" borderId="2" xfId="2" applyNumberFormat="1" applyFont="1" applyBorder="1" applyAlignment="1">
      <alignment horizontal="right"/>
    </xf>
    <xf numFmtId="0" fontId="10" fillId="0" borderId="0" xfId="4" applyFont="1" applyBorder="1" applyAlignment="1">
      <alignment horizontal="center"/>
    </xf>
    <xf numFmtId="0" fontId="9" fillId="7" borderId="26" xfId="5" applyFont="1" applyFill="1" applyBorder="1" applyAlignment="1">
      <alignment horizontal="center"/>
    </xf>
    <xf numFmtId="0" fontId="10" fillId="0" borderId="0" xfId="0" applyFont="1" applyBorder="1" applyAlignment="1">
      <alignment horizontal="center"/>
    </xf>
    <xf numFmtId="0" fontId="10" fillId="0" borderId="27" xfId="4" applyFont="1" applyBorder="1" applyAlignment="1">
      <alignment horizontal="center" wrapText="1"/>
    </xf>
    <xf numFmtId="0" fontId="10" fillId="0" borderId="27" xfId="0" applyFont="1" applyBorder="1" applyAlignment="1">
      <alignment horizontal="center"/>
    </xf>
    <xf numFmtId="0" fontId="10" fillId="3" borderId="27" xfId="4" applyFont="1" applyFill="1" applyBorder="1" applyAlignment="1">
      <alignment horizontal="center" wrapText="1"/>
    </xf>
    <xf numFmtId="0" fontId="10" fillId="0" borderId="0" xfId="4" applyFont="1" applyAlignment="1">
      <alignment horizontal="center"/>
    </xf>
    <xf numFmtId="0" fontId="10" fillId="0" borderId="0" xfId="4" applyFont="1" applyBorder="1" applyAlignment="1">
      <alignment horizontal="center" wrapText="1"/>
    </xf>
    <xf numFmtId="0" fontId="10" fillId="8" borderId="27" xfId="4" applyFont="1" applyFill="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0" fillId="0" borderId="0" xfId="0" applyNumberForma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 fontId="3" fillId="3" borderId="1" xfId="2" applyNumberFormat="1" applyFont="1" applyFill="1" applyBorder="1" applyAlignment="1">
      <alignment vertical="center" wrapText="1"/>
    </xf>
    <xf numFmtId="168" fontId="3" fillId="3" borderId="1" xfId="0" applyNumberFormat="1" applyFont="1" applyFill="1" applyBorder="1" applyAlignment="1">
      <alignment vertical="center" wrapText="1"/>
    </xf>
    <xf numFmtId="168" fontId="2" fillId="0" borderId="2" xfId="2" applyNumberFormat="1" applyFont="1" applyBorder="1"/>
    <xf numFmtId="0" fontId="3" fillId="2" borderId="0" xfId="0" applyFont="1" applyFill="1" applyAlignment="1">
      <alignment horizontal="left"/>
    </xf>
    <xf numFmtId="0" fontId="3" fillId="2" borderId="2" xfId="2" applyNumberFormat="1" applyFont="1" applyFill="1" applyBorder="1"/>
    <xf numFmtId="0" fontId="2" fillId="2" borderId="1" xfId="6" applyFont="1" applyFill="1" applyBorder="1" applyAlignment="1">
      <alignment horizontal="center" vertical="center" wrapText="1"/>
    </xf>
    <xf numFmtId="0" fontId="2" fillId="0" borderId="0" xfId="6" applyFont="1" applyAlignment="1">
      <alignment wrapText="1"/>
    </xf>
    <xf numFmtId="0" fontId="41" fillId="0" borderId="1" xfId="6" applyFont="1" applyBorder="1" applyAlignment="1">
      <alignment horizontal="center" wrapText="1"/>
    </xf>
    <xf numFmtId="44" fontId="3" fillId="0" borderId="2" xfId="7" applyFont="1" applyBorder="1" applyAlignment="1">
      <alignment horizontal="center" wrapText="1"/>
    </xf>
    <xf numFmtId="0" fontId="3" fillId="0" borderId="1" xfId="6" applyFont="1" applyBorder="1" applyAlignment="1">
      <alignment horizontal="center" wrapText="1"/>
    </xf>
    <xf numFmtId="44" fontId="3" fillId="0" borderId="1" xfId="7" applyFont="1" applyBorder="1" applyAlignment="1">
      <alignment horizontal="center" wrapText="1"/>
    </xf>
    <xf numFmtId="49" fontId="3" fillId="0" borderId="1" xfId="7" applyNumberFormat="1" applyFont="1" applyBorder="1" applyAlignment="1">
      <alignment horizontal="center" wrapText="1"/>
    </xf>
    <xf numFmtId="0" fontId="3" fillId="0" borderId="0" xfId="6" applyFont="1"/>
    <xf numFmtId="0" fontId="4" fillId="0" borderId="0" xfId="6" applyFont="1" applyAlignment="1">
      <alignment horizontal="center"/>
    </xf>
    <xf numFmtId="0" fontId="2" fillId="2" borderId="0" xfId="6" applyFont="1" applyFill="1" applyAlignment="1">
      <alignment horizontal="center"/>
    </xf>
    <xf numFmtId="44" fontId="3" fillId="0" borderId="0" xfId="7" applyFont="1"/>
    <xf numFmtId="0" fontId="3" fillId="0" borderId="0" xfId="6" applyFont="1" applyAlignment="1">
      <alignment horizontal="center"/>
    </xf>
    <xf numFmtId="44" fontId="3" fillId="0" borderId="2" xfId="7" applyFont="1" applyBorder="1"/>
    <xf numFmtId="0" fontId="2" fillId="0" borderId="0" xfId="6" applyFont="1" applyAlignment="1">
      <alignment horizontal="center"/>
    </xf>
    <xf numFmtId="44" fontId="2" fillId="2" borderId="1" xfId="7" applyFont="1" applyFill="1" applyBorder="1" applyAlignment="1">
      <alignment horizontal="center" vertical="center" wrapText="1"/>
    </xf>
    <xf numFmtId="0" fontId="3" fillId="0" borderId="0" xfId="6" applyFont="1" applyAlignment="1">
      <alignment horizontal="left"/>
    </xf>
    <xf numFmtId="44" fontId="3" fillId="0" borderId="3" xfId="7" applyFont="1" applyBorder="1"/>
    <xf numFmtId="49" fontId="3" fillId="0" borderId="3" xfId="7" applyNumberFormat="1" applyFont="1" applyBorder="1" applyAlignment="1">
      <alignment horizontal="center"/>
    </xf>
    <xf numFmtId="0" fontId="3" fillId="0" borderId="3" xfId="7" applyNumberFormat="1" applyFont="1" applyBorder="1" applyAlignment="1">
      <alignment horizontal="center" wrapText="1"/>
    </xf>
    <xf numFmtId="49" fontId="3" fillId="14" borderId="3" xfId="7" applyNumberFormat="1" applyFont="1" applyFill="1" applyBorder="1" applyAlignment="1">
      <alignment horizontal="center"/>
    </xf>
    <xf numFmtId="49" fontId="3" fillId="0" borderId="2" xfId="7" applyNumberFormat="1" applyFont="1" applyBorder="1" applyAlignment="1">
      <alignment horizontal="center"/>
    </xf>
    <xf numFmtId="49" fontId="3" fillId="0" borderId="2" xfId="7" applyNumberFormat="1" applyFont="1" applyBorder="1"/>
    <xf numFmtId="0" fontId="3" fillId="0" borderId="2" xfId="7" applyNumberFormat="1" applyFont="1" applyBorder="1"/>
    <xf numFmtId="0" fontId="3" fillId="0" borderId="4" xfId="6" applyFont="1" applyBorder="1" applyAlignment="1">
      <alignment horizontal="center"/>
    </xf>
    <xf numFmtId="44" fontId="2" fillId="0" borderId="2" xfId="7" applyFont="1" applyBorder="1"/>
    <xf numFmtId="49" fontId="2" fillId="0" borderId="2" xfId="7" applyNumberFormat="1" applyFont="1" applyBorder="1"/>
    <xf numFmtId="0" fontId="2" fillId="0" borderId="2" xfId="7" applyNumberFormat="1" applyFont="1" applyBorder="1"/>
    <xf numFmtId="44" fontId="3" fillId="0" borderId="0" xfId="6" applyNumberFormat="1" applyFont="1"/>
    <xf numFmtId="44" fontId="2" fillId="0" borderId="31" xfId="6" applyNumberFormat="1" applyFont="1" applyBorder="1"/>
    <xf numFmtId="0" fontId="10" fillId="0" borderId="0" xfId="4" applyFont="1" applyAlignment="1">
      <alignment horizontal="center" wrapText="1"/>
    </xf>
    <xf numFmtId="0" fontId="9" fillId="6" borderId="0" xfId="0" applyFont="1" applyFill="1" applyAlignment="1">
      <alignment horizontal="center"/>
    </xf>
    <xf numFmtId="14" fontId="9" fillId="6" borderId="0" xfId="0" applyNumberFormat="1" applyFont="1" applyFill="1" applyAlignment="1">
      <alignment horizontal="center"/>
    </xf>
    <xf numFmtId="0" fontId="10" fillId="0" borderId="0" xfId="0" applyFont="1" applyAlignment="1">
      <alignment horizontal="center" vertical="center"/>
    </xf>
    <xf numFmtId="16" fontId="10" fillId="0" borderId="0" xfId="0" applyNumberFormat="1" applyFont="1" applyAlignment="1">
      <alignment horizontal="center"/>
    </xf>
    <xf numFmtId="0" fontId="10" fillId="3" borderId="0" xfId="0" applyFont="1" applyFill="1" applyAlignment="1">
      <alignment horizontal="center" vertical="center"/>
    </xf>
    <xf numFmtId="0" fontId="10" fillId="0" borderId="0" xfId="0" applyFont="1" applyFill="1" applyAlignment="1">
      <alignment horizontal="center" vertical="center"/>
    </xf>
    <xf numFmtId="16" fontId="10" fillId="0" borderId="0" xfId="0" applyNumberFormat="1" applyFont="1" applyFill="1" applyAlignment="1">
      <alignment horizontal="center"/>
    </xf>
    <xf numFmtId="16" fontId="10" fillId="3" borderId="0" xfId="0" applyNumberFormat="1" applyFont="1" applyFill="1" applyAlignment="1">
      <alignment horizontal="center"/>
    </xf>
    <xf numFmtId="0" fontId="10" fillId="3" borderId="0" xfId="4" applyFont="1" applyFill="1" applyAlignment="1">
      <alignment horizontal="center" wrapText="1"/>
    </xf>
    <xf numFmtId="14" fontId="10" fillId="0" borderId="0" xfId="0" applyNumberFormat="1" applyFont="1" applyAlignment="1">
      <alignment horizontal="center"/>
    </xf>
    <xf numFmtId="0" fontId="10" fillId="0" borderId="0" xfId="4" applyFont="1" applyAlignment="1">
      <alignment horizontal="center" vertical="center"/>
    </xf>
    <xf numFmtId="0" fontId="10" fillId="0" borderId="0" xfId="4" applyFon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1" fillId="0" borderId="0" xfId="4" applyAlignment="1">
      <alignment horizontal="center"/>
    </xf>
    <xf numFmtId="0" fontId="42" fillId="0" borderId="0" xfId="4"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10" fillId="0" borderId="0" xfId="0" applyFont="1" applyFill="1" applyAlignment="1">
      <alignment horizontal="center"/>
    </xf>
    <xf numFmtId="44" fontId="3" fillId="0" borderId="0" xfId="2" applyFont="1" applyBorder="1"/>
    <xf numFmtId="0" fontId="3" fillId="0" borderId="0" xfId="0" applyFont="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0" xfId="0" quotePrefix="1"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3" fillId="0" borderId="30" xfId="0" applyFont="1" applyBorder="1" applyAlignment="1">
      <alignment horizontal="center" wrapText="1"/>
    </xf>
    <xf numFmtId="0" fontId="0" fillId="0" borderId="0" xfId="0" applyAlignment="1">
      <alignment horizontal="left" wrapText="1"/>
    </xf>
  </cellXfs>
  <cellStyles count="8">
    <cellStyle name="Comma" xfId="1" builtinId="3"/>
    <cellStyle name="Currency" xfId="2" builtinId="4"/>
    <cellStyle name="Currency 2" xfId="7" xr:uid="{5A7D0A14-8043-4A6D-805B-FA688EEACB4B}"/>
    <cellStyle name="Hyperlink" xfId="4" builtinId="8"/>
    <cellStyle name="Normal" xfId="0" builtinId="0"/>
    <cellStyle name="Normal 2" xfId="6" xr:uid="{BF32BEDD-6B40-40ED-9206-2F8C1B4A189A}"/>
    <cellStyle name="Normal_Sheet1" xfId="5" xr:uid="{A62F0B1B-F0B6-4F19-972E-1E2E05C7996E}"/>
    <cellStyle name="Normal_Town Mailing List_1" xfId="3" xr:uid="{9A2FAABF-7E6D-43ED-8C59-76548221B1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externalLink" Target="externalLinks/externalLink3.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externalLink" Target="externalLinks/externalLink4.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externalLink" Target="externalLinks/externalLink1.xml"/><Relationship Id="rId208"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sharedStrings" Target="sharedStrings.xml"/><Relationship Id="rId190" Type="http://schemas.openxmlformats.org/officeDocument/2006/relationships/worksheet" Target="worksheets/sheet190.xml"/><Relationship Id="rId204" Type="http://schemas.openxmlformats.org/officeDocument/2006/relationships/externalLink" Target="externalLinks/externalLink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calcChain" Target="calcChain.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inance\Director\Administration\COVID%2019%20docs%20and%20ER%20procedures\FEMA\Municipal%20Data%20Request%20Form%20as%20of%20May%201%20projected%20June%2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GPP%20COVID-19/COVID19%20Municipal%20CRF/Municipal%20Data/Municipal%20Data%206.30%20Estimates/Middletown%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Finance%20Dept\Tax%20Abatement%20Committee\Covid-19\Program%20Fiscal%20Impact%20Analysis%204-8-20%20v2%20with%20pariticipation%20rate%20inpu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eftMar\AppData\Local\Microsoft\Windows\INetCache\Content.Outlook\OUL51KWD\State%20Forecast%20Revised%20June%205%202020%20to%20Martin%20He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al Data Request Form"/>
      <sheetName val="Revenues"/>
      <sheetName val="MARB &amp; Budget"/>
      <sheetName val="City Report Actuals through 51"/>
      <sheetName val="Detail reclassed to State categ"/>
      <sheetName val="Encumbrances"/>
      <sheetName val="Reqs and Unprocessed"/>
      <sheetName val="Projections"/>
      <sheetName val="Board of Ed"/>
      <sheetName val="HHS projection"/>
    </sheetNames>
    <sheetDataSet>
      <sheetData sheetId="0" refreshError="1"/>
      <sheetData sheetId="1" refreshError="1">
        <row r="13">
          <cell r="E13">
            <v>5522431</v>
          </cell>
        </row>
        <row r="15">
          <cell r="E15">
            <v>2456404</v>
          </cell>
        </row>
      </sheetData>
      <sheetData sheetId="2" refreshError="1"/>
      <sheetData sheetId="3" refreshError="1"/>
      <sheetData sheetId="4" refreshError="1">
        <row r="130">
          <cell r="T130">
            <v>130927.56999999999</v>
          </cell>
        </row>
        <row r="131">
          <cell r="T131">
            <v>120747.53</v>
          </cell>
        </row>
        <row r="132">
          <cell r="T132">
            <v>1397709.27</v>
          </cell>
        </row>
        <row r="133">
          <cell r="T133">
            <v>2261</v>
          </cell>
        </row>
        <row r="134">
          <cell r="T134">
            <v>4250.46</v>
          </cell>
        </row>
        <row r="135">
          <cell r="T135">
            <v>39080</v>
          </cell>
        </row>
        <row r="136">
          <cell r="T136">
            <v>233514.26</v>
          </cell>
        </row>
      </sheetData>
      <sheetData sheetId="5" refreshError="1"/>
      <sheetData sheetId="6" refreshError="1"/>
      <sheetData sheetId="7" refreshError="1">
        <row r="5">
          <cell r="N5">
            <v>281237.29000000004</v>
          </cell>
        </row>
        <row r="6">
          <cell r="N6">
            <v>73700</v>
          </cell>
        </row>
        <row r="7">
          <cell r="N7">
            <v>179263.95</v>
          </cell>
        </row>
        <row r="8">
          <cell r="N8">
            <v>17000</v>
          </cell>
        </row>
        <row r="9">
          <cell r="N9">
            <v>228509.91</v>
          </cell>
        </row>
        <row r="10">
          <cell r="N10">
            <v>181225</v>
          </cell>
        </row>
        <row r="11">
          <cell r="N11">
            <v>544715.73</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IT"/>
      <sheetName val="Fire Dept"/>
      <sheetName val="EM"/>
      <sheetName val="PD"/>
      <sheetName val="PW"/>
      <sheetName val="BOE"/>
      <sheetName val="Totals"/>
    </sheetNames>
    <sheetDataSet>
      <sheetData sheetId="0"/>
      <sheetData sheetId="1">
        <row r="2">
          <cell r="B2">
            <v>0</v>
          </cell>
          <cell r="C2">
            <v>0</v>
          </cell>
        </row>
        <row r="3">
          <cell r="B3">
            <v>0</v>
          </cell>
          <cell r="C3">
            <v>37000</v>
          </cell>
          <cell r="E3"/>
        </row>
        <row r="4">
          <cell r="B4">
            <v>0</v>
          </cell>
          <cell r="C4">
            <v>0</v>
          </cell>
        </row>
        <row r="5">
          <cell r="B5">
            <v>0</v>
          </cell>
          <cell r="C5">
            <v>0</v>
          </cell>
          <cell r="E5"/>
        </row>
        <row r="6">
          <cell r="B6">
            <v>0</v>
          </cell>
          <cell r="C6">
            <v>0</v>
          </cell>
          <cell r="E6"/>
        </row>
        <row r="7">
          <cell r="B7">
            <v>0</v>
          </cell>
          <cell r="C7">
            <v>0</v>
          </cell>
        </row>
        <row r="8">
          <cell r="B8">
            <v>0</v>
          </cell>
          <cell r="C8">
            <v>0</v>
          </cell>
        </row>
      </sheetData>
      <sheetData sheetId="2">
        <row r="2">
          <cell r="B2">
            <v>1727</v>
          </cell>
          <cell r="C2">
            <v>3727</v>
          </cell>
        </row>
        <row r="3">
          <cell r="B3">
            <v>0</v>
          </cell>
          <cell r="C3">
            <v>0</v>
          </cell>
          <cell r="E3"/>
        </row>
        <row r="4">
          <cell r="B4">
            <v>0</v>
          </cell>
          <cell r="C4">
            <v>0</v>
          </cell>
        </row>
        <row r="5">
          <cell r="B5">
            <v>0</v>
          </cell>
          <cell r="C5">
            <v>0</v>
          </cell>
          <cell r="E5"/>
        </row>
        <row r="6">
          <cell r="B6">
            <v>0</v>
          </cell>
          <cell r="C6">
            <v>0</v>
          </cell>
          <cell r="E6"/>
        </row>
        <row r="7">
          <cell r="B7">
            <v>90000</v>
          </cell>
          <cell r="C7">
            <v>126000</v>
          </cell>
        </row>
        <row r="8">
          <cell r="B8">
            <v>5000</v>
          </cell>
          <cell r="C8">
            <v>7000</v>
          </cell>
        </row>
      </sheetData>
      <sheetData sheetId="3">
        <row r="2">
          <cell r="B2">
            <v>0</v>
          </cell>
          <cell r="C2">
            <v>0</v>
          </cell>
        </row>
        <row r="3">
          <cell r="B3">
            <v>0</v>
          </cell>
          <cell r="C3">
            <v>0</v>
          </cell>
        </row>
        <row r="4">
          <cell r="B4">
            <v>0</v>
          </cell>
          <cell r="C4">
            <v>0</v>
          </cell>
        </row>
        <row r="5">
          <cell r="B5">
            <v>0</v>
          </cell>
          <cell r="C5">
            <v>0</v>
          </cell>
        </row>
        <row r="6">
          <cell r="B6">
            <v>0</v>
          </cell>
          <cell r="C6">
            <v>0</v>
          </cell>
        </row>
        <row r="7">
          <cell r="B7">
            <v>0</v>
          </cell>
          <cell r="C7">
            <v>0</v>
          </cell>
        </row>
        <row r="8">
          <cell r="B8">
            <v>12000</v>
          </cell>
          <cell r="C8">
            <v>17000</v>
          </cell>
        </row>
      </sheetData>
      <sheetData sheetId="4">
        <row r="2">
          <cell r="B2">
            <v>6581.9</v>
          </cell>
          <cell r="C2">
            <v>9500</v>
          </cell>
        </row>
        <row r="3">
          <cell r="B3">
            <v>1052.47</v>
          </cell>
          <cell r="C3">
            <v>1400</v>
          </cell>
          <cell r="E3"/>
        </row>
        <row r="4">
          <cell r="B4">
            <v>1156.1300000000001</v>
          </cell>
          <cell r="C4">
            <v>1500</v>
          </cell>
        </row>
        <row r="5">
          <cell r="B5">
            <v>0</v>
          </cell>
          <cell r="C5">
            <v>0</v>
          </cell>
          <cell r="E5"/>
        </row>
        <row r="6">
          <cell r="B6">
            <v>0</v>
          </cell>
          <cell r="C6">
            <v>0</v>
          </cell>
          <cell r="E6"/>
        </row>
        <row r="7">
          <cell r="B7">
            <v>8682.85</v>
          </cell>
          <cell r="C7">
            <v>15345</v>
          </cell>
        </row>
        <row r="8">
          <cell r="B8">
            <v>4272.34</v>
          </cell>
          <cell r="C8">
            <v>6500</v>
          </cell>
        </row>
      </sheetData>
      <sheetData sheetId="5">
        <row r="2">
          <cell r="B2">
            <v>360</v>
          </cell>
          <cell r="C2">
            <v>0</v>
          </cell>
        </row>
        <row r="3">
          <cell r="B3">
            <v>0</v>
          </cell>
          <cell r="C3">
            <v>0</v>
          </cell>
          <cell r="E3"/>
        </row>
        <row r="4">
          <cell r="B4">
            <v>0</v>
          </cell>
          <cell r="C4">
            <v>0</v>
          </cell>
        </row>
        <row r="5">
          <cell r="B5">
            <v>0</v>
          </cell>
          <cell r="C5">
            <v>0</v>
          </cell>
          <cell r="E5"/>
        </row>
        <row r="6">
          <cell r="B6">
            <v>1300.54</v>
          </cell>
          <cell r="C6">
            <v>2000</v>
          </cell>
          <cell r="E6"/>
        </row>
        <row r="7">
          <cell r="B7">
            <v>534.04</v>
          </cell>
          <cell r="C7">
            <v>0</v>
          </cell>
        </row>
        <row r="8">
          <cell r="B8">
            <v>0</v>
          </cell>
          <cell r="C8">
            <v>0</v>
          </cell>
        </row>
      </sheetData>
      <sheetData sheetId="6">
        <row r="2">
          <cell r="B2">
            <v>22369</v>
          </cell>
          <cell r="C2">
            <v>37369</v>
          </cell>
        </row>
        <row r="3">
          <cell r="B3">
            <v>249058</v>
          </cell>
          <cell r="C3">
            <v>549058</v>
          </cell>
        </row>
        <row r="4">
          <cell r="B4">
            <v>186192</v>
          </cell>
          <cell r="C4">
            <v>561192</v>
          </cell>
        </row>
        <row r="5">
          <cell r="B5">
            <v>0</v>
          </cell>
          <cell r="C5">
            <v>0</v>
          </cell>
        </row>
        <row r="6">
          <cell r="B6">
            <v>0</v>
          </cell>
          <cell r="C6">
            <v>0</v>
          </cell>
        </row>
        <row r="7">
          <cell r="B7">
            <v>7965</v>
          </cell>
          <cell r="C7">
            <v>15965</v>
          </cell>
        </row>
        <row r="8">
          <cell r="B8">
            <v>4500</v>
          </cell>
          <cell r="C8">
            <v>29500</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 Pager"/>
      <sheetName val="Participation Rates"/>
      <sheetName val="Analysis"/>
    </sheetNames>
    <sheetDataSet>
      <sheetData sheetId="0" refreshError="1"/>
      <sheetData sheetId="1" refreshError="1"/>
      <sheetData sheetId="2" refreshError="1">
        <row r="12">
          <cell r="D12">
            <v>2500187.8929999992</v>
          </cell>
          <cell r="I12">
            <v>10000751.571999997</v>
          </cell>
        </row>
        <row r="13">
          <cell r="D13">
            <v>257797.90000000002</v>
          </cell>
          <cell r="I13">
            <v>26859.800000000003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 Detail Export"/>
      <sheetName val="Municipal Data Request Form"/>
    </sheetNames>
    <sheetDataSet>
      <sheetData sheetId="0">
        <row r="138">
          <cell r="N138">
            <v>34946.629999999997</v>
          </cell>
        </row>
        <row r="144">
          <cell r="N144">
            <v>2058</v>
          </cell>
        </row>
        <row r="149">
          <cell r="N149">
            <v>12238.05</v>
          </cell>
        </row>
        <row r="155">
          <cell r="N155">
            <v>12583.78</v>
          </cell>
        </row>
        <row r="213">
          <cell r="N213">
            <v>36430.729999999996</v>
          </cell>
        </row>
        <row r="217">
          <cell r="N217">
            <v>43000</v>
          </cell>
        </row>
        <row r="253">
          <cell r="N253">
            <v>54743.000000000007</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lspielman@ellington-ct.gov" TargetMode="External"/><Relationship Id="rId21" Type="http://schemas.openxmlformats.org/officeDocument/2006/relationships/hyperlink" Target="mailto:selectman@sterlingct.us" TargetMode="External"/><Relationship Id="rId42" Type="http://schemas.openxmlformats.org/officeDocument/2006/relationships/hyperlink" Target="mailto:pcofrancesco@bethany-ct.com" TargetMode="External"/><Relationship Id="rId47" Type="http://schemas.openxmlformats.org/officeDocument/2006/relationships/hyperlink" Target="mailto:eanderson@andoverct.org" TargetMode="External"/><Relationship Id="rId63" Type="http://schemas.openxmlformats.org/officeDocument/2006/relationships/hyperlink" Target="mailto:treasurer@norfolkct.org" TargetMode="External"/><Relationship Id="rId68" Type="http://schemas.openxmlformats.org/officeDocument/2006/relationships/hyperlink" Target="mailto:ltrzetziak@easthartfordct.gov" TargetMode="External"/><Relationship Id="rId84" Type="http://schemas.openxmlformats.org/officeDocument/2006/relationships/hyperlink" Target="mailto:RALLL001@hartford.gov" TargetMode="External"/><Relationship Id="rId89" Type="http://schemas.openxmlformats.org/officeDocument/2006/relationships/hyperlink" Target="mailto:kmcliverty@derbyct.gov" TargetMode="External"/><Relationship Id="rId16" Type="http://schemas.openxmlformats.org/officeDocument/2006/relationships/hyperlink" Target="mailto:tcoon@meridenct.gov" TargetMode="External"/><Relationship Id="rId11" Type="http://schemas.openxmlformats.org/officeDocument/2006/relationships/hyperlink" Target="mailto:sriv001@hartford.gov" TargetMode="External"/><Relationship Id="rId32" Type="http://schemas.openxmlformats.org/officeDocument/2006/relationships/hyperlink" Target="mailto:dcox@easthamptonct.gov" TargetMode="External"/><Relationship Id="rId37" Type="http://schemas.openxmlformats.org/officeDocument/2006/relationships/hyperlink" Target="mailto:lyonsp@madisonct.org" TargetMode="External"/><Relationship Id="rId53" Type="http://schemas.openxmlformats.org/officeDocument/2006/relationships/hyperlink" Target="mailto:pbrown@easthamptonct.gov" TargetMode="External"/><Relationship Id="rId58" Type="http://schemas.openxmlformats.org/officeDocument/2006/relationships/hyperlink" Target="mailto:jdambowsky@naugatuck-ct.gov" TargetMode="External"/><Relationship Id="rId74" Type="http://schemas.openxmlformats.org/officeDocument/2006/relationships/hyperlink" Target="mailto:rgelormino@goshenct.gov" TargetMode="External"/><Relationship Id="rId79" Type="http://schemas.openxmlformats.org/officeDocument/2006/relationships/hyperlink" Target="mailto:pcolligan@avonct.gov" TargetMode="External"/><Relationship Id="rId5" Type="http://schemas.openxmlformats.org/officeDocument/2006/relationships/hyperlink" Target="mailto:mleclerc@easthartfordct.gov" TargetMode="External"/><Relationship Id="rId90" Type="http://schemas.openxmlformats.org/officeDocument/2006/relationships/hyperlink" Target="mailto:treasurer@canaanfallsvillage.org" TargetMode="External"/><Relationship Id="rId95" Type="http://schemas.openxmlformats.org/officeDocument/2006/relationships/hyperlink" Target="mailto:wgeiger@townofcantonct.org" TargetMode="External"/><Relationship Id="rId22" Type="http://schemas.openxmlformats.org/officeDocument/2006/relationships/hyperlink" Target="mailto:pdelmonaco@newfairfield.org" TargetMode="External"/><Relationship Id="rId27" Type="http://schemas.openxmlformats.org/officeDocument/2006/relationships/hyperlink" Target="mailto:mayor@plymouthct.us" TargetMode="External"/><Relationship Id="rId43" Type="http://schemas.openxmlformats.org/officeDocument/2006/relationships/hyperlink" Target="mailto:info@townofprospect.org" TargetMode="External"/><Relationship Id="rId48" Type="http://schemas.openxmlformats.org/officeDocument/2006/relationships/hyperlink" Target="mailto:mcalorio@killinglyct.org" TargetMode="External"/><Relationship Id="rId64" Type="http://schemas.openxmlformats.org/officeDocument/2006/relationships/hyperlink" Target="mailto:slane@bethany-ct.com" TargetMode="External"/><Relationship Id="rId69" Type="http://schemas.openxmlformats.org/officeDocument/2006/relationships/hyperlink" Target="mailto:mleblanc@waterburyct.org" TargetMode="External"/><Relationship Id="rId80" Type="http://schemas.openxmlformats.org/officeDocument/2006/relationships/hyperlink" Target="mailto:cates@brooklynschools.org" TargetMode="External"/><Relationship Id="rId85" Type="http://schemas.openxmlformats.org/officeDocument/2006/relationships/hyperlink" Target="mailto:keseppi56@yahoo.com" TargetMode="External"/><Relationship Id="rId12" Type="http://schemas.openxmlformats.org/officeDocument/2006/relationships/hyperlink" Target="mailto:acroteau@bloomfieldct.org" TargetMode="External"/><Relationship Id="rId17" Type="http://schemas.openxmlformats.org/officeDocument/2006/relationships/hyperlink" Target="mailto:KKane@granby-ct.gov" TargetMode="External"/><Relationship Id="rId25" Type="http://schemas.openxmlformats.org/officeDocument/2006/relationships/hyperlink" Target="mailto:Scotlandselect1@yahoo.com" TargetMode="External"/><Relationship Id="rId33" Type="http://schemas.openxmlformats.org/officeDocument/2006/relationships/hyperlink" Target="mailto:dbindelglass@eastonct.gov" TargetMode="External"/><Relationship Id="rId38" Type="http://schemas.openxmlformats.org/officeDocument/2006/relationships/hyperlink" Target="mailto:mayor@MiddletownCT.gov" TargetMode="External"/><Relationship Id="rId46" Type="http://schemas.openxmlformats.org/officeDocument/2006/relationships/hyperlink" Target="mailto:jeff.maguire@kolbmaguire.com" TargetMode="External"/><Relationship Id="rId59" Type="http://schemas.openxmlformats.org/officeDocument/2006/relationships/hyperlink" Target="mailto:dcassetti@ansoniact.org" TargetMode="External"/><Relationship Id="rId67" Type="http://schemas.openxmlformats.org/officeDocument/2006/relationships/hyperlink" Target="mailto:treasurer@andoverct.org" TargetMode="External"/><Relationship Id="rId20" Type="http://schemas.openxmlformats.org/officeDocument/2006/relationships/hyperlink" Target="mailto:selectmen@hartland.necoxmail.com" TargetMode="External"/><Relationship Id="rId41" Type="http://schemas.openxmlformats.org/officeDocument/2006/relationships/hyperlink" Target="mailto:gsmith@tobfct.com" TargetMode="External"/><Relationship Id="rId54" Type="http://schemas.openxmlformats.org/officeDocument/2006/relationships/hyperlink" Target="mailto:ajayawickrema@town.berlin.ct.us" TargetMode="External"/><Relationship Id="rId62" Type="http://schemas.openxmlformats.org/officeDocument/2006/relationships/hyperlink" Target="mailto:dcerrato@suffieldct.gov" TargetMode="External"/><Relationship Id="rId70" Type="http://schemas.openxmlformats.org/officeDocument/2006/relationships/hyperlink" Target="mailto:arheault@plymouthct.us" TargetMode="External"/><Relationship Id="rId75" Type="http://schemas.openxmlformats.org/officeDocument/2006/relationships/hyperlink" Target="mailto:jhawkins@killinglyct.org" TargetMode="External"/><Relationship Id="rId83" Type="http://schemas.openxmlformats.org/officeDocument/2006/relationships/hyperlink" Target="mailto:kvachon@plainfieldct.org" TargetMode="External"/><Relationship Id="rId88" Type="http://schemas.openxmlformats.org/officeDocument/2006/relationships/hyperlink" Target="mailto:mgormany@newhavenct.gov" TargetMode="External"/><Relationship Id="rId91" Type="http://schemas.openxmlformats.org/officeDocument/2006/relationships/hyperlink" Target="mailto:lunda.asmani@newcanaanct.gov" TargetMode="External"/><Relationship Id="rId96" Type="http://schemas.openxmlformats.org/officeDocument/2006/relationships/hyperlink" Target="mailto:mayor@milfordct.gov" TargetMode="External"/><Relationship Id="rId1" Type="http://schemas.openxmlformats.org/officeDocument/2006/relationships/hyperlink" Target="mailto:selectman@deepriverct.us" TargetMode="External"/><Relationship Id="rId6" Type="http://schemas.openxmlformats.org/officeDocument/2006/relationships/hyperlink" Target="mailto:cleng@hamden.com" TargetMode="External"/><Relationship Id="rId15" Type="http://schemas.openxmlformats.org/officeDocument/2006/relationships/hyperlink" Target="mailto:dmartin@stamfordct.gov" TargetMode="External"/><Relationship Id="rId23" Type="http://schemas.openxmlformats.org/officeDocument/2006/relationships/hyperlink" Target="mailto:blonskik@farmington-ct.org" TargetMode="External"/><Relationship Id="rId28" Type="http://schemas.openxmlformats.org/officeDocument/2006/relationships/hyperlink" Target="mailto:firstselectman@ctsprague.org" TargetMode="External"/><Relationship Id="rId36" Type="http://schemas.openxmlformats.org/officeDocument/2006/relationships/hyperlink" Target="mailto:draap@TownofLitchfield.org" TargetMode="External"/><Relationship Id="rId49" Type="http://schemas.openxmlformats.org/officeDocument/2006/relationships/hyperlink" Target="mailto:lmarotta@rockyhillct.gov" TargetMode="External"/><Relationship Id="rId57" Type="http://schemas.openxmlformats.org/officeDocument/2006/relationships/hyperlink" Target="mailto:nwhess@naugatuck-ct.gov" TargetMode="External"/><Relationship Id="rId10" Type="http://schemas.openxmlformats.org/officeDocument/2006/relationships/hyperlink" Target="mailto:ckervick@wlocks.com" TargetMode="External"/><Relationship Id="rId31" Type="http://schemas.openxmlformats.org/officeDocument/2006/relationships/hyperlink" Target="mailto:rbrule@waterfordct.org" TargetMode="External"/><Relationship Id="rId44" Type="http://schemas.openxmlformats.org/officeDocument/2006/relationships/hyperlink" Target="mailto:MoranT@mansfieldct.org" TargetMode="External"/><Relationship Id="rId52" Type="http://schemas.openxmlformats.org/officeDocument/2006/relationships/hyperlink" Target="mailto:cbromson@enfield.org" TargetMode="External"/><Relationship Id="rId60" Type="http://schemas.openxmlformats.org/officeDocument/2006/relationships/hyperlink" Target="mailto:jpothier@cityofnorwich.org" TargetMode="External"/><Relationship Id="rId65" Type="http://schemas.openxmlformats.org/officeDocument/2006/relationships/hyperlink" Target="mailto:jayfountain@stamfordct.gov" TargetMode="External"/><Relationship Id="rId73" Type="http://schemas.openxmlformats.org/officeDocument/2006/relationships/hyperlink" Target="mailto:lepler@canterburyct.org" TargetMode="External"/><Relationship Id="rId78" Type="http://schemas.openxmlformats.org/officeDocument/2006/relationships/hyperlink" Target="mailto:rregolo@townofkillingworth.com" TargetMode="External"/><Relationship Id="rId81" Type="http://schemas.openxmlformats.org/officeDocument/2006/relationships/hyperlink" Target="mailto:dgray@waterfordct.org" TargetMode="External"/><Relationship Id="rId86" Type="http://schemas.openxmlformats.org/officeDocument/2006/relationships/hyperlink" Target="mailto:jkeeley@townofeasthavenct.org" TargetMode="External"/><Relationship Id="rId94" Type="http://schemas.openxmlformats.org/officeDocument/2006/relationships/hyperlink" Target="mailto:noleary@waterburyct.org" TargetMode="External"/><Relationship Id="rId99" Type="http://schemas.openxmlformats.org/officeDocument/2006/relationships/hyperlink" Target="mailto:kkilduff@clintonct.org" TargetMode="External"/><Relationship Id="rId101" Type="http://schemas.openxmlformats.org/officeDocument/2006/relationships/printerSettings" Target="../printerSettings/printerSettings1.bin"/><Relationship Id="rId4" Type="http://schemas.openxmlformats.org/officeDocument/2006/relationships/hyperlink" Target="mailto:rdziekan@derbyct.gov" TargetMode="External"/><Relationship Id="rId9" Type="http://schemas.openxmlformats.org/officeDocument/2006/relationships/hyperlink" Target="mailto:nrossi@westhaven-ct.gov" TargetMode="External"/><Relationship Id="rId13" Type="http://schemas.openxmlformats.org/officeDocument/2006/relationships/hyperlink" Target="mailto:jubrey@townofwindsorct.com" TargetMode="External"/><Relationship Id="rId18" Type="http://schemas.openxmlformats.org/officeDocument/2006/relationships/hyperlink" Target="mailto:firstselectman@norfolkct.org" TargetMode="External"/><Relationship Id="rId39" Type="http://schemas.openxmlformats.org/officeDocument/2006/relationships/hyperlink" Target="mailto:michael.maniscalco@southwindsor.org" TargetMode="External"/><Relationship Id="rId34" Type="http://schemas.openxmlformats.org/officeDocument/2006/relationships/hyperlink" Target="mailto:phopkins@killinglyct.org" TargetMode="External"/><Relationship Id="rId50" Type="http://schemas.openxmlformats.org/officeDocument/2006/relationships/hyperlink" Target="mailto:deborah.reid@southwindsor.org" TargetMode="External"/><Relationship Id="rId55" Type="http://schemas.openxmlformats.org/officeDocument/2006/relationships/hyperlink" Target="mailto:finance@harwinton.us" TargetMode="External"/><Relationship Id="rId76" Type="http://schemas.openxmlformats.org/officeDocument/2006/relationships/hyperlink" Target="mailto:Rstanziale@middlebury-ct.org" TargetMode="External"/><Relationship Id="rId97" Type="http://schemas.openxmlformats.org/officeDocument/2006/relationships/hyperlink" Target="mailto:perodici@milfordct.gov" TargetMode="External"/><Relationship Id="rId7" Type="http://schemas.openxmlformats.org/officeDocument/2006/relationships/hyperlink" Target="mailto:Mayor@NewBritainCT.gov" TargetMode="External"/><Relationship Id="rId71" Type="http://schemas.openxmlformats.org/officeDocument/2006/relationships/hyperlink" Target="mailto:smonroe@barkhamsted.us" TargetMode="External"/><Relationship Id="rId92" Type="http://schemas.openxmlformats.org/officeDocument/2006/relationships/hyperlink" Target="mailto:cdias@northstoningtonct.gov" TargetMode="External"/><Relationship Id="rId2" Type="http://schemas.openxmlformats.org/officeDocument/2006/relationships/hyperlink" Target="mailto:mayor@bridgeportct.gov" TargetMode="External"/><Relationship Id="rId29" Type="http://schemas.openxmlformats.org/officeDocument/2006/relationships/hyperlink" Target="mailto:selectmen@stonington-ct.gov" TargetMode="External"/><Relationship Id="rId24" Type="http://schemas.openxmlformats.org/officeDocument/2006/relationships/hyperlink" Target="mailto:Kcunninghamselectman@plainfieldct.org" TargetMode="External"/><Relationship Id="rId40" Type="http://schemas.openxmlformats.org/officeDocument/2006/relationships/hyperlink" Target="mailto:jelicker@newhavenct.gov" TargetMode="External"/><Relationship Id="rId45" Type="http://schemas.openxmlformats.org/officeDocument/2006/relationships/hyperlink" Target="mailto:firstselectman@trumbull-ct.gov" TargetMode="External"/><Relationship Id="rId66" Type="http://schemas.openxmlformats.org/officeDocument/2006/relationships/hyperlink" Target="mailto:zappone@watertownct.org" TargetMode="External"/><Relationship Id="rId87" Type="http://schemas.openxmlformats.org/officeDocument/2006/relationships/hyperlink" Target="mailto:michell.e@burlingtonct.us" TargetMode="External"/><Relationship Id="rId61" Type="http://schemas.openxmlformats.org/officeDocument/2006/relationships/hyperlink" Target="mailto:scunningham@clintonct.org" TargetMode="External"/><Relationship Id="rId82" Type="http://schemas.openxmlformats.org/officeDocument/2006/relationships/hyperlink" Target="mailto:kmcnabola@meridenct.gov" TargetMode="External"/><Relationship Id="rId19" Type="http://schemas.openxmlformats.org/officeDocument/2006/relationships/hyperlink" Target="mailto:mludwick@enfield.org" TargetMode="External"/><Relationship Id="rId14" Type="http://schemas.openxmlformats.org/officeDocument/2006/relationships/hyperlink" Target="mailto:gary.evans@wethersfieldct.gov" TargetMode="External"/><Relationship Id="rId30" Type="http://schemas.openxmlformats.org/officeDocument/2006/relationships/hyperlink" Target="mailto:mrosen@tolland.org" TargetMode="External"/><Relationship Id="rId35" Type="http://schemas.openxmlformats.org/officeDocument/2006/relationships/hyperlink" Target="mailto:kcwikla@lebanonct.gov" TargetMode="External"/><Relationship Id="rId56" Type="http://schemas.openxmlformats.org/officeDocument/2006/relationships/hyperlink" Target="mailto:fallsvillagetc@yahoo.com" TargetMode="External"/><Relationship Id="rId77" Type="http://schemas.openxmlformats.org/officeDocument/2006/relationships/hyperlink" Target="mailto:dmcbride@ci.new-london.ct.us" TargetMode="External"/><Relationship Id="rId100" Type="http://schemas.openxmlformats.org/officeDocument/2006/relationships/hyperlink" Target="mailto:souza@townofwindsorct.com" TargetMode="External"/><Relationship Id="rId8" Type="http://schemas.openxmlformats.org/officeDocument/2006/relationships/hyperlink" Target="mailto:HRilling@norwalkct.org" TargetMode="External"/><Relationship Id="rId51" Type="http://schemas.openxmlformats.org/officeDocument/2006/relationships/hyperlink" Target="mailto:mpurcaro@vernon-ct.gov" TargetMode="External"/><Relationship Id="rId72" Type="http://schemas.openxmlformats.org/officeDocument/2006/relationships/hyperlink" Target="mailto:nnau@townofbeaconfalls.com" TargetMode="External"/><Relationship Id="rId93" Type="http://schemas.openxmlformats.org/officeDocument/2006/relationships/hyperlink" Target="mailto:noleary@waterburyct.org" TargetMode="External"/><Relationship Id="rId98" Type="http://schemas.openxmlformats.org/officeDocument/2006/relationships/hyperlink" Target="mailto:jjaskot@cheshirect.org" TargetMode="External"/><Relationship Id="rId3" Type="http://schemas.openxmlformats.org/officeDocument/2006/relationships/hyperlink" Target="mailto:r.Ives@brooklynct.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F349-2A68-4992-8E46-F2DA25A579CB}">
  <sheetPr>
    <pageSetUpPr fitToPage="1"/>
  </sheetPr>
  <dimension ref="A1:G170"/>
  <sheetViews>
    <sheetView workbookViewId="0">
      <pane ySplit="1" topLeftCell="A20" activePane="bottomLeft" state="frozen"/>
      <selection activeCell="B1" sqref="B1"/>
      <selection pane="bottomLeft" activeCell="A25" sqref="A25"/>
    </sheetView>
  </sheetViews>
  <sheetFormatPr defaultColWidth="64.5546875" defaultRowHeight="15.6" x14ac:dyDescent="0.3"/>
  <cols>
    <col min="1" max="1" width="7.88671875" style="93" bestFit="1" customWidth="1"/>
    <col min="2" max="2" width="35.33203125" style="93" bestFit="1" customWidth="1"/>
    <col min="3" max="3" width="8.5546875" style="746" bestFit="1" customWidth="1"/>
    <col min="4" max="4" width="50" style="338" bestFit="1" customWidth="1"/>
    <col min="5" max="5" width="47.33203125" style="93" bestFit="1" customWidth="1"/>
    <col min="6" max="6" width="51" style="93" bestFit="1" customWidth="1"/>
    <col min="7" max="7" width="32.5546875" style="93" bestFit="1" customWidth="1"/>
    <col min="8" max="16384" width="64.5546875" style="93"/>
  </cols>
  <sheetData>
    <row r="1" spans="1:7" s="664" customFormat="1" x14ac:dyDescent="0.3">
      <c r="A1" s="737" t="s">
        <v>354</v>
      </c>
      <c r="B1" s="333" t="s">
        <v>2485</v>
      </c>
      <c r="C1" s="738" t="s">
        <v>1524</v>
      </c>
      <c r="D1" s="334" t="s">
        <v>1549</v>
      </c>
      <c r="E1" s="685" t="s">
        <v>1551</v>
      </c>
      <c r="F1" s="737" t="s">
        <v>1550</v>
      </c>
      <c r="G1" s="737" t="s">
        <v>1552</v>
      </c>
    </row>
    <row r="2" spans="1:7" x14ac:dyDescent="0.3">
      <c r="A2" s="739">
        <v>1</v>
      </c>
      <c r="B2" s="739" t="s">
        <v>355</v>
      </c>
      <c r="C2" s="740">
        <v>43955</v>
      </c>
      <c r="D2" s="684" t="s">
        <v>1553</v>
      </c>
      <c r="E2" s="687" t="s">
        <v>1555</v>
      </c>
      <c r="F2" s="691" t="s">
        <v>1554</v>
      </c>
    </row>
    <row r="3" spans="1:7" x14ac:dyDescent="0.3">
      <c r="A3" s="739">
        <v>2</v>
      </c>
      <c r="B3" s="739" t="s">
        <v>223</v>
      </c>
      <c r="C3" s="740">
        <v>43965</v>
      </c>
      <c r="D3" s="687" t="s">
        <v>1556</v>
      </c>
      <c r="E3" s="687" t="s">
        <v>1557</v>
      </c>
    </row>
    <row r="4" spans="1:7" x14ac:dyDescent="0.3">
      <c r="A4" s="739">
        <v>3</v>
      </c>
      <c r="B4" s="739" t="s">
        <v>356</v>
      </c>
      <c r="C4" s="740">
        <v>43952</v>
      </c>
      <c r="D4" s="335" t="s">
        <v>1558</v>
      </c>
      <c r="E4" s="335" t="s">
        <v>1559</v>
      </c>
      <c r="F4" s="686"/>
      <c r="G4" s="335" t="s">
        <v>1560</v>
      </c>
    </row>
    <row r="5" spans="1:7" x14ac:dyDescent="0.3">
      <c r="A5" s="739">
        <v>4</v>
      </c>
      <c r="B5" s="739" t="s">
        <v>224</v>
      </c>
      <c r="C5" s="740">
        <v>43955</v>
      </c>
      <c r="D5" s="335" t="s">
        <v>1561</v>
      </c>
      <c r="E5" s="687" t="s">
        <v>1563</v>
      </c>
      <c r="F5" s="335" t="s">
        <v>1562</v>
      </c>
    </row>
    <row r="6" spans="1:7" x14ac:dyDescent="0.3">
      <c r="A6" s="739">
        <v>5</v>
      </c>
      <c r="B6" s="739" t="s">
        <v>62</v>
      </c>
      <c r="C6" s="740">
        <v>43955</v>
      </c>
      <c r="D6" s="335" t="s">
        <v>1564</v>
      </c>
      <c r="E6" s="687" t="s">
        <v>1565</v>
      </c>
      <c r="F6" s="686"/>
    </row>
    <row r="7" spans="1:7" x14ac:dyDescent="0.3">
      <c r="A7" s="739">
        <v>6</v>
      </c>
      <c r="B7" s="739" t="s">
        <v>357</v>
      </c>
      <c r="C7" s="740">
        <v>43951</v>
      </c>
      <c r="D7" s="687" t="s">
        <v>1566</v>
      </c>
      <c r="E7" s="687" t="s">
        <v>1567</v>
      </c>
    </row>
    <row r="8" spans="1:7" x14ac:dyDescent="0.3">
      <c r="A8" s="739">
        <v>7</v>
      </c>
      <c r="B8" s="739" t="s">
        <v>358</v>
      </c>
      <c r="C8" s="740">
        <v>43952</v>
      </c>
      <c r="D8" s="335" t="s">
        <v>1568</v>
      </c>
      <c r="E8" s="335" t="s">
        <v>1570</v>
      </c>
      <c r="F8" s="687" t="s">
        <v>1569</v>
      </c>
    </row>
    <row r="9" spans="1:7" x14ac:dyDescent="0.3">
      <c r="A9" s="739">
        <v>8</v>
      </c>
      <c r="B9" s="739" t="s">
        <v>225</v>
      </c>
      <c r="C9" s="740">
        <v>43964</v>
      </c>
      <c r="D9" s="687" t="s">
        <v>1571</v>
      </c>
      <c r="E9" s="687" t="s">
        <v>1572</v>
      </c>
    </row>
    <row r="10" spans="1:7" x14ac:dyDescent="0.3">
      <c r="A10" s="739">
        <v>9</v>
      </c>
      <c r="B10" s="739" t="s">
        <v>359</v>
      </c>
      <c r="C10" s="740">
        <v>43952</v>
      </c>
      <c r="D10" s="335" t="s">
        <v>1573</v>
      </c>
      <c r="E10" s="335" t="s">
        <v>1574</v>
      </c>
      <c r="F10" s="686"/>
      <c r="G10" s="686"/>
    </row>
    <row r="11" spans="1:7" x14ac:dyDescent="0.3">
      <c r="A11" s="739">
        <v>10</v>
      </c>
      <c r="B11" s="739" t="s">
        <v>226</v>
      </c>
      <c r="C11" s="740">
        <v>43950</v>
      </c>
      <c r="D11" s="335" t="s">
        <v>1575</v>
      </c>
      <c r="E11" s="335" t="s">
        <v>1577</v>
      </c>
      <c r="F11" s="335" t="s">
        <v>1576</v>
      </c>
    </row>
    <row r="12" spans="1:7" x14ac:dyDescent="0.3">
      <c r="A12" s="739">
        <v>11</v>
      </c>
      <c r="B12" s="739" t="s">
        <v>109</v>
      </c>
      <c r="C12" s="740">
        <v>43952</v>
      </c>
      <c r="D12" s="689" t="s">
        <v>1578</v>
      </c>
      <c r="E12" s="93" t="s">
        <v>1580</v>
      </c>
      <c r="F12" s="335" t="s">
        <v>1579</v>
      </c>
    </row>
    <row r="13" spans="1:7" x14ac:dyDescent="0.3">
      <c r="A13" s="739">
        <v>12</v>
      </c>
      <c r="B13" s="739" t="s">
        <v>360</v>
      </c>
      <c r="C13" s="740">
        <v>43964</v>
      </c>
      <c r="D13" s="335" t="s">
        <v>1581</v>
      </c>
      <c r="E13" s="335" t="s">
        <v>1582</v>
      </c>
    </row>
    <row r="14" spans="1:7" x14ac:dyDescent="0.3">
      <c r="A14" s="739">
        <v>13</v>
      </c>
      <c r="B14" s="739" t="s">
        <v>227</v>
      </c>
      <c r="C14" s="740">
        <v>43969</v>
      </c>
      <c r="D14" s="335" t="s">
        <v>1583</v>
      </c>
      <c r="E14" s="335" t="s">
        <v>1584</v>
      </c>
    </row>
    <row r="15" spans="1:7" x14ac:dyDescent="0.3">
      <c r="A15" s="739">
        <v>14</v>
      </c>
      <c r="B15" s="739" t="s">
        <v>228</v>
      </c>
      <c r="C15" s="740">
        <v>43951</v>
      </c>
      <c r="D15" s="335" t="s">
        <v>1585</v>
      </c>
      <c r="E15" s="335" t="s">
        <v>1586</v>
      </c>
      <c r="F15" s="686"/>
    </row>
    <row r="16" spans="1:7" x14ac:dyDescent="0.3">
      <c r="A16" s="739">
        <v>15</v>
      </c>
      <c r="B16" s="739" t="s">
        <v>229</v>
      </c>
      <c r="C16" s="740">
        <v>43950</v>
      </c>
      <c r="D16" s="687" t="s">
        <v>1587</v>
      </c>
      <c r="E16" s="686" t="s">
        <v>1588</v>
      </c>
    </row>
    <row r="17" spans="1:7" x14ac:dyDescent="0.3">
      <c r="A17" s="739">
        <v>16</v>
      </c>
      <c r="B17" s="742" t="s">
        <v>230</v>
      </c>
      <c r="C17" s="759" t="s">
        <v>9</v>
      </c>
      <c r="D17" s="335" t="s">
        <v>1589</v>
      </c>
      <c r="E17" s="335" t="s">
        <v>1590</v>
      </c>
      <c r="F17" s="686"/>
    </row>
    <row r="18" spans="1:7" x14ac:dyDescent="0.3">
      <c r="A18" s="739">
        <v>17</v>
      </c>
      <c r="B18" s="739" t="s">
        <v>361</v>
      </c>
      <c r="C18" s="740">
        <v>43952</v>
      </c>
      <c r="D18" s="335" t="s">
        <v>1591</v>
      </c>
      <c r="E18" s="335" t="s">
        <v>1592</v>
      </c>
    </row>
    <row r="19" spans="1:7" x14ac:dyDescent="0.3">
      <c r="A19" s="739">
        <v>18</v>
      </c>
      <c r="B19" s="739" t="s">
        <v>231</v>
      </c>
      <c r="C19" s="740">
        <v>43945</v>
      </c>
      <c r="D19" s="335" t="s">
        <v>1593</v>
      </c>
      <c r="E19" s="335" t="s">
        <v>1594</v>
      </c>
    </row>
    <row r="20" spans="1:7" x14ac:dyDescent="0.3">
      <c r="A20" s="739">
        <v>19</v>
      </c>
      <c r="B20" s="739" t="s">
        <v>362</v>
      </c>
      <c r="C20" s="740">
        <v>43959</v>
      </c>
      <c r="D20" s="687" t="s">
        <v>1595</v>
      </c>
      <c r="E20" s="684" t="s">
        <v>1596</v>
      </c>
    </row>
    <row r="21" spans="1:7" x14ac:dyDescent="0.3">
      <c r="A21" s="739">
        <v>20</v>
      </c>
      <c r="B21" s="739" t="s">
        <v>232</v>
      </c>
      <c r="C21" s="740">
        <v>43952</v>
      </c>
      <c r="D21" s="335" t="s">
        <v>1597</v>
      </c>
      <c r="E21" s="687" t="s">
        <v>1598</v>
      </c>
    </row>
    <row r="22" spans="1:7" x14ac:dyDescent="0.3">
      <c r="A22" s="739">
        <v>21</v>
      </c>
      <c r="B22" s="739" t="s">
        <v>233</v>
      </c>
      <c r="C22" s="740">
        <v>43969</v>
      </c>
      <c r="D22" s="690" t="s">
        <v>2318</v>
      </c>
      <c r="E22" s="690" t="s">
        <v>2319</v>
      </c>
    </row>
    <row r="23" spans="1:7" x14ac:dyDescent="0.3">
      <c r="A23" s="739">
        <v>22</v>
      </c>
      <c r="B23" s="739" t="s">
        <v>234</v>
      </c>
      <c r="C23" s="740">
        <v>43951</v>
      </c>
      <c r="D23" s="335" t="s">
        <v>1599</v>
      </c>
      <c r="E23" s="690" t="s">
        <v>1600</v>
      </c>
      <c r="F23" s="686"/>
    </row>
    <row r="24" spans="1:7" x14ac:dyDescent="0.3">
      <c r="A24" s="739">
        <v>23</v>
      </c>
      <c r="B24" s="739" t="s">
        <v>235</v>
      </c>
      <c r="C24" s="740">
        <v>43958</v>
      </c>
      <c r="D24" s="335" t="s">
        <v>1601</v>
      </c>
      <c r="E24" s="747" t="s">
        <v>2552</v>
      </c>
      <c r="F24" s="335" t="s">
        <v>1602</v>
      </c>
      <c r="G24" s="93" t="s">
        <v>9</v>
      </c>
    </row>
    <row r="25" spans="1:7" x14ac:dyDescent="0.3">
      <c r="A25" s="739">
        <v>24</v>
      </c>
      <c r="B25" s="739" t="s">
        <v>236</v>
      </c>
      <c r="C25" s="740">
        <v>43964</v>
      </c>
      <c r="D25" s="335" t="s">
        <v>1603</v>
      </c>
      <c r="E25" s="335" t="s">
        <v>1604</v>
      </c>
      <c r="F25" s="686"/>
    </row>
    <row r="26" spans="1:7" x14ac:dyDescent="0.3">
      <c r="A26" s="739">
        <v>25</v>
      </c>
      <c r="B26" s="739" t="s">
        <v>237</v>
      </c>
      <c r="C26" s="740">
        <v>43952</v>
      </c>
      <c r="D26" s="335" t="s">
        <v>1605</v>
      </c>
      <c r="E26" s="690" t="s">
        <v>1607</v>
      </c>
      <c r="F26" s="335" t="s">
        <v>1606</v>
      </c>
      <c r="G26" s="335" t="s">
        <v>9</v>
      </c>
    </row>
    <row r="27" spans="1:7" x14ac:dyDescent="0.3">
      <c r="A27" s="739">
        <v>26</v>
      </c>
      <c r="B27" s="739" t="s">
        <v>238</v>
      </c>
      <c r="C27" s="740">
        <v>43951</v>
      </c>
      <c r="D27" s="335" t="s">
        <v>1608</v>
      </c>
      <c r="E27" s="335" t="s">
        <v>1609</v>
      </c>
    </row>
    <row r="28" spans="1:7" x14ac:dyDescent="0.3">
      <c r="A28" s="739">
        <v>27</v>
      </c>
      <c r="B28" s="739" t="s">
        <v>239</v>
      </c>
      <c r="C28" s="740">
        <v>43952</v>
      </c>
      <c r="D28" s="335" t="s">
        <v>1610</v>
      </c>
      <c r="E28" s="691" t="s">
        <v>1611</v>
      </c>
      <c r="F28" s="753" t="s">
        <v>2582</v>
      </c>
    </row>
    <row r="29" spans="1:7" x14ac:dyDescent="0.3">
      <c r="A29" s="739">
        <v>28</v>
      </c>
      <c r="B29" s="739" t="s">
        <v>240</v>
      </c>
      <c r="C29" s="740">
        <v>43966</v>
      </c>
      <c r="D29" s="687" t="s">
        <v>1612</v>
      </c>
      <c r="E29" s="686" t="s">
        <v>1613</v>
      </c>
    </row>
    <row r="30" spans="1:7" x14ac:dyDescent="0.3">
      <c r="A30" s="739">
        <v>29</v>
      </c>
      <c r="B30" s="739" t="s">
        <v>241</v>
      </c>
      <c r="C30" s="740">
        <v>43952</v>
      </c>
      <c r="D30" s="335" t="s">
        <v>1614</v>
      </c>
      <c r="E30" s="335" t="s">
        <v>1615</v>
      </c>
      <c r="F30" s="686"/>
      <c r="G30" s="335" t="s">
        <v>1616</v>
      </c>
    </row>
    <row r="31" spans="1:7" x14ac:dyDescent="0.3">
      <c r="A31" s="739">
        <v>30</v>
      </c>
      <c r="B31" s="739" t="s">
        <v>242</v>
      </c>
      <c r="C31" s="740">
        <v>43951</v>
      </c>
      <c r="D31" s="335" t="s">
        <v>1617</v>
      </c>
      <c r="E31" s="335" t="s">
        <v>1618</v>
      </c>
    </row>
    <row r="32" spans="1:7" x14ac:dyDescent="0.3">
      <c r="A32" s="739">
        <v>31</v>
      </c>
      <c r="B32" s="739" t="s">
        <v>243</v>
      </c>
      <c r="C32" s="740">
        <v>43956</v>
      </c>
      <c r="D32" s="335" t="s">
        <v>1619</v>
      </c>
      <c r="E32" s="335" t="s">
        <v>1620</v>
      </c>
      <c r="F32" s="686"/>
    </row>
    <row r="33" spans="1:7" x14ac:dyDescent="0.3">
      <c r="A33" s="739">
        <v>32</v>
      </c>
      <c r="B33" s="739" t="s">
        <v>244</v>
      </c>
      <c r="C33" s="740">
        <v>43952</v>
      </c>
      <c r="D33" s="335" t="s">
        <v>1621</v>
      </c>
      <c r="E33" s="335" t="s">
        <v>1623</v>
      </c>
      <c r="F33" s="335" t="s">
        <v>1622</v>
      </c>
    </row>
    <row r="34" spans="1:7" x14ac:dyDescent="0.3">
      <c r="A34" s="739">
        <v>33</v>
      </c>
      <c r="B34" s="739" t="s">
        <v>245</v>
      </c>
      <c r="C34" s="740">
        <v>43951</v>
      </c>
      <c r="D34" s="335" t="s">
        <v>1624</v>
      </c>
      <c r="E34" s="335" t="s">
        <v>1626</v>
      </c>
      <c r="F34" s="335" t="s">
        <v>1625</v>
      </c>
    </row>
    <row r="35" spans="1:7" x14ac:dyDescent="0.3">
      <c r="A35" s="739">
        <v>34</v>
      </c>
      <c r="B35" s="739" t="s">
        <v>246</v>
      </c>
      <c r="C35" s="740">
        <v>43952</v>
      </c>
      <c r="D35" s="684" t="s">
        <v>1627</v>
      </c>
      <c r="E35" s="93" t="s">
        <v>1628</v>
      </c>
    </row>
    <row r="36" spans="1:7" x14ac:dyDescent="0.3">
      <c r="A36" s="739">
        <v>35</v>
      </c>
      <c r="B36" s="739" t="s">
        <v>247</v>
      </c>
      <c r="C36" s="740">
        <v>43963</v>
      </c>
      <c r="D36" s="335" t="s">
        <v>1629</v>
      </c>
      <c r="E36" s="335" t="s">
        <v>1631</v>
      </c>
      <c r="F36" s="335" t="s">
        <v>1630</v>
      </c>
      <c r="G36" s="335" t="s">
        <v>1630</v>
      </c>
    </row>
    <row r="37" spans="1:7" x14ac:dyDescent="0.3">
      <c r="A37" s="739">
        <v>36</v>
      </c>
      <c r="B37" s="739" t="s">
        <v>248</v>
      </c>
      <c r="C37" s="740">
        <v>43952</v>
      </c>
      <c r="D37" s="687" t="s">
        <v>1632</v>
      </c>
      <c r="E37" s="686" t="s">
        <v>1633</v>
      </c>
    </row>
    <row r="38" spans="1:7" x14ac:dyDescent="0.3">
      <c r="A38" s="739">
        <v>37</v>
      </c>
      <c r="B38" s="739" t="s">
        <v>249</v>
      </c>
      <c r="C38" s="740">
        <v>43962</v>
      </c>
      <c r="D38" s="687" t="s">
        <v>1634</v>
      </c>
      <c r="E38" s="690" t="s">
        <v>2069</v>
      </c>
    </row>
    <row r="39" spans="1:7" x14ac:dyDescent="0.3">
      <c r="A39" s="739">
        <v>38</v>
      </c>
      <c r="B39" s="739" t="s">
        <v>250</v>
      </c>
      <c r="C39" s="740">
        <v>43952</v>
      </c>
      <c r="D39" s="335" t="s">
        <v>1635</v>
      </c>
      <c r="E39" s="687" t="s">
        <v>1636</v>
      </c>
    </row>
    <row r="40" spans="1:7" x14ac:dyDescent="0.3">
      <c r="A40" s="739">
        <v>39</v>
      </c>
      <c r="B40" s="739" t="s">
        <v>256</v>
      </c>
      <c r="C40" s="740">
        <v>43965</v>
      </c>
      <c r="D40" s="335" t="s">
        <v>1637</v>
      </c>
      <c r="E40" s="335" t="s">
        <v>1638</v>
      </c>
    </row>
    <row r="41" spans="1:7" x14ac:dyDescent="0.3">
      <c r="A41" s="739">
        <v>40</v>
      </c>
      <c r="B41" s="739" t="s">
        <v>251</v>
      </c>
      <c r="C41" s="740">
        <v>43955</v>
      </c>
      <c r="D41" s="335" t="s">
        <v>1639</v>
      </c>
      <c r="E41" s="335" t="s">
        <v>1640</v>
      </c>
    </row>
    <row r="42" spans="1:7" x14ac:dyDescent="0.3">
      <c r="A42" s="739">
        <v>41</v>
      </c>
      <c r="B42" s="739" t="s">
        <v>252</v>
      </c>
      <c r="C42" s="740">
        <v>43963</v>
      </c>
      <c r="D42" s="335" t="s">
        <v>1641</v>
      </c>
      <c r="E42" s="335" t="s">
        <v>1642</v>
      </c>
      <c r="F42" s="688"/>
    </row>
    <row r="43" spans="1:7" x14ac:dyDescent="0.3">
      <c r="A43" s="739">
        <v>42</v>
      </c>
      <c r="B43" s="739" t="s">
        <v>253</v>
      </c>
      <c r="C43" s="740">
        <v>43966</v>
      </c>
      <c r="D43" s="687" t="s">
        <v>1643</v>
      </c>
      <c r="E43" s="335" t="s">
        <v>1645</v>
      </c>
      <c r="F43" s="736" t="s">
        <v>1644</v>
      </c>
    </row>
    <row r="44" spans="1:7" x14ac:dyDescent="0.3">
      <c r="A44" s="739">
        <v>43</v>
      </c>
      <c r="B44" s="739" t="s">
        <v>254</v>
      </c>
      <c r="C44" s="740">
        <v>43952</v>
      </c>
      <c r="D44" s="687" t="s">
        <v>1646</v>
      </c>
      <c r="E44" s="684" t="s">
        <v>1647</v>
      </c>
    </row>
    <row r="45" spans="1:7" x14ac:dyDescent="0.3">
      <c r="A45" s="739">
        <v>44</v>
      </c>
      <c r="B45" s="741" t="s">
        <v>255</v>
      </c>
      <c r="C45" s="740">
        <v>43952</v>
      </c>
      <c r="D45" s="335" t="s">
        <v>1648</v>
      </c>
      <c r="E45" s="687" t="s">
        <v>1649</v>
      </c>
    </row>
    <row r="46" spans="1:7" x14ac:dyDescent="0.3">
      <c r="A46" s="739">
        <v>45</v>
      </c>
      <c r="B46" s="739" t="s">
        <v>363</v>
      </c>
      <c r="C46" s="740">
        <v>43957</v>
      </c>
      <c r="D46" s="335" t="s">
        <v>1650</v>
      </c>
      <c r="E46" s="335" t="s">
        <v>1651</v>
      </c>
    </row>
    <row r="47" spans="1:7" x14ac:dyDescent="0.3">
      <c r="A47" s="739">
        <v>46</v>
      </c>
      <c r="B47" s="739" t="s">
        <v>257</v>
      </c>
      <c r="C47" s="740">
        <v>43964</v>
      </c>
      <c r="D47" s="687" t="s">
        <v>1652</v>
      </c>
      <c r="E47" s="335" t="s">
        <v>1653</v>
      </c>
    </row>
    <row r="48" spans="1:7" x14ac:dyDescent="0.3">
      <c r="A48" s="739">
        <v>47</v>
      </c>
      <c r="B48" s="739" t="s">
        <v>364</v>
      </c>
      <c r="C48" s="740">
        <v>43965</v>
      </c>
      <c r="D48" s="335" t="s">
        <v>1654</v>
      </c>
      <c r="E48" s="335" t="s">
        <v>1655</v>
      </c>
    </row>
    <row r="49" spans="1:6" x14ac:dyDescent="0.3">
      <c r="A49" s="739">
        <v>48</v>
      </c>
      <c r="B49" s="739" t="s">
        <v>258</v>
      </c>
      <c r="C49" s="740">
        <v>43951</v>
      </c>
      <c r="D49" s="687" t="s">
        <v>1656</v>
      </c>
      <c r="E49" s="687" t="s">
        <v>1657</v>
      </c>
    </row>
    <row r="50" spans="1:6" x14ac:dyDescent="0.3">
      <c r="A50" s="739">
        <v>49</v>
      </c>
      <c r="B50" s="739" t="s">
        <v>259</v>
      </c>
      <c r="C50" s="740">
        <v>43962</v>
      </c>
      <c r="D50" s="687" t="s">
        <v>1658</v>
      </c>
      <c r="E50" s="335" t="s">
        <v>1660</v>
      </c>
      <c r="F50" s="687" t="s">
        <v>1659</v>
      </c>
    </row>
    <row r="51" spans="1:6" x14ac:dyDescent="0.3">
      <c r="A51" s="739">
        <v>50</v>
      </c>
      <c r="B51" s="739" t="s">
        <v>260</v>
      </c>
      <c r="C51" s="740">
        <v>43950</v>
      </c>
      <c r="D51" s="335" t="s">
        <v>1661</v>
      </c>
      <c r="E51" s="335" t="s">
        <v>1662</v>
      </c>
    </row>
    <row r="52" spans="1:6" x14ac:dyDescent="0.3">
      <c r="A52" s="739">
        <v>51</v>
      </c>
      <c r="B52" s="739" t="s">
        <v>261</v>
      </c>
      <c r="C52" s="740">
        <v>43952</v>
      </c>
      <c r="D52" s="335" t="s">
        <v>1663</v>
      </c>
      <c r="E52" s="335" t="s">
        <v>1664</v>
      </c>
    </row>
    <row r="53" spans="1:6" x14ac:dyDescent="0.3">
      <c r="A53" s="739">
        <v>52</v>
      </c>
      <c r="B53" s="739" t="s">
        <v>262</v>
      </c>
      <c r="C53" s="740">
        <v>43952</v>
      </c>
      <c r="D53" s="687" t="s">
        <v>1665</v>
      </c>
      <c r="E53" s="335" t="s">
        <v>1667</v>
      </c>
      <c r="F53" s="686" t="s">
        <v>1666</v>
      </c>
    </row>
    <row r="54" spans="1:6" x14ac:dyDescent="0.3">
      <c r="A54" s="739">
        <v>53</v>
      </c>
      <c r="B54" s="739" t="s">
        <v>263</v>
      </c>
      <c r="C54" s="740">
        <v>43972</v>
      </c>
      <c r="D54" s="335" t="s">
        <v>1668</v>
      </c>
      <c r="E54" s="335" t="s">
        <v>1669</v>
      </c>
    </row>
    <row r="55" spans="1:6" x14ac:dyDescent="0.3">
      <c r="A55" s="739">
        <v>54</v>
      </c>
      <c r="B55" s="739" t="s">
        <v>365</v>
      </c>
      <c r="C55" s="740">
        <v>43952</v>
      </c>
      <c r="D55" s="335" t="s">
        <v>1670</v>
      </c>
      <c r="E55" s="335" t="s">
        <v>1672</v>
      </c>
      <c r="F55" s="335" t="s">
        <v>1671</v>
      </c>
    </row>
    <row r="56" spans="1:6" x14ac:dyDescent="0.3">
      <c r="A56" s="739">
        <v>55</v>
      </c>
      <c r="B56" s="739" t="s">
        <v>264</v>
      </c>
      <c r="C56" s="740">
        <v>43964</v>
      </c>
      <c r="D56" s="335" t="s">
        <v>1673</v>
      </c>
      <c r="E56" s="687" t="s">
        <v>1674</v>
      </c>
    </row>
    <row r="57" spans="1:6" x14ac:dyDescent="0.3">
      <c r="A57" s="739">
        <v>56</v>
      </c>
      <c r="B57" s="739" t="s">
        <v>265</v>
      </c>
      <c r="C57" s="740">
        <v>43952</v>
      </c>
      <c r="D57" s="687" t="s">
        <v>1675</v>
      </c>
      <c r="E57" s="335" t="s">
        <v>1677</v>
      </c>
      <c r="F57" s="335" t="s">
        <v>1676</v>
      </c>
    </row>
    <row r="58" spans="1:6" x14ac:dyDescent="0.3">
      <c r="A58" s="739">
        <v>57</v>
      </c>
      <c r="B58" s="739" t="s">
        <v>266</v>
      </c>
      <c r="C58" s="740">
        <v>43952</v>
      </c>
      <c r="D58" s="335" t="s">
        <v>1678</v>
      </c>
      <c r="E58" s="335" t="s">
        <v>1679</v>
      </c>
    </row>
    <row r="59" spans="1:6" x14ac:dyDescent="0.3">
      <c r="A59" s="739">
        <v>58</v>
      </c>
      <c r="B59" s="739" t="s">
        <v>267</v>
      </c>
      <c r="C59" s="740">
        <v>43951</v>
      </c>
      <c r="D59" s="335" t="s">
        <v>1680</v>
      </c>
      <c r="E59" s="335" t="s">
        <v>1681</v>
      </c>
    </row>
    <row r="60" spans="1:6" x14ac:dyDescent="0.3">
      <c r="A60" s="739">
        <v>59</v>
      </c>
      <c r="B60" s="739" t="s">
        <v>1525</v>
      </c>
      <c r="C60" s="740">
        <v>43952</v>
      </c>
      <c r="D60" s="335" t="s">
        <v>1682</v>
      </c>
      <c r="E60" s="335" t="s">
        <v>1684</v>
      </c>
      <c r="F60" s="335" t="s">
        <v>1683</v>
      </c>
    </row>
    <row r="61" spans="1:6" x14ac:dyDescent="0.3">
      <c r="A61" s="739">
        <v>60</v>
      </c>
      <c r="B61" s="739" t="s">
        <v>268</v>
      </c>
      <c r="C61" s="740">
        <v>43952</v>
      </c>
      <c r="D61" s="335" t="s">
        <v>1685</v>
      </c>
      <c r="E61" s="335" t="s">
        <v>1686</v>
      </c>
      <c r="F61" s="686"/>
    </row>
    <row r="62" spans="1:6" x14ac:dyDescent="0.3">
      <c r="A62" s="739">
        <v>61</v>
      </c>
      <c r="B62" s="739" t="s">
        <v>269</v>
      </c>
      <c r="C62" s="740">
        <v>43959</v>
      </c>
      <c r="D62" s="335" t="s">
        <v>1687</v>
      </c>
      <c r="E62" s="335" t="s">
        <v>1688</v>
      </c>
      <c r="F62" s="686"/>
    </row>
    <row r="63" spans="1:6" x14ac:dyDescent="0.3">
      <c r="A63" s="739">
        <v>62</v>
      </c>
      <c r="B63" s="739" t="s">
        <v>270</v>
      </c>
      <c r="C63" s="740">
        <v>43969</v>
      </c>
      <c r="D63" s="687" t="s">
        <v>1689</v>
      </c>
      <c r="E63" s="688" t="s">
        <v>1690</v>
      </c>
      <c r="F63" s="686"/>
    </row>
    <row r="64" spans="1:6" x14ac:dyDescent="0.3">
      <c r="A64" s="739">
        <v>63</v>
      </c>
      <c r="B64" s="739" t="s">
        <v>271</v>
      </c>
      <c r="C64" s="740">
        <v>43951</v>
      </c>
      <c r="D64" s="335" t="s">
        <v>1691</v>
      </c>
      <c r="E64" s="487" t="s">
        <v>1692</v>
      </c>
    </row>
    <row r="65" spans="1:7" x14ac:dyDescent="0.3">
      <c r="A65" s="739">
        <v>64</v>
      </c>
      <c r="B65" s="739" t="s">
        <v>272</v>
      </c>
      <c r="C65" s="740">
        <v>43966</v>
      </c>
      <c r="D65" s="689" t="s">
        <v>1693</v>
      </c>
      <c r="E65" s="337" t="s">
        <v>1922</v>
      </c>
      <c r="F65" s="736" t="s">
        <v>2584</v>
      </c>
    </row>
    <row r="66" spans="1:7" x14ac:dyDescent="0.3">
      <c r="A66" s="739">
        <v>65</v>
      </c>
      <c r="B66" s="739" t="s">
        <v>366</v>
      </c>
      <c r="C66" s="740">
        <v>43952</v>
      </c>
      <c r="D66" s="687" t="s">
        <v>1694</v>
      </c>
      <c r="E66" s="691" t="s">
        <v>1695</v>
      </c>
      <c r="F66" s="688"/>
    </row>
    <row r="67" spans="1:7" x14ac:dyDescent="0.3">
      <c r="A67" s="739">
        <v>66</v>
      </c>
      <c r="B67" s="739" t="s">
        <v>273</v>
      </c>
      <c r="C67" s="740">
        <v>43964</v>
      </c>
      <c r="D67" s="335" t="s">
        <v>1696</v>
      </c>
      <c r="E67" s="335" t="s">
        <v>1697</v>
      </c>
      <c r="G67" s="748" t="s">
        <v>2117</v>
      </c>
    </row>
    <row r="68" spans="1:7" x14ac:dyDescent="0.3">
      <c r="A68" s="739">
        <v>67</v>
      </c>
      <c r="B68" s="739" t="s">
        <v>274</v>
      </c>
      <c r="C68" s="740">
        <v>43955</v>
      </c>
      <c r="D68" s="335" t="s">
        <v>1698</v>
      </c>
      <c r="E68" s="335" t="s">
        <v>1700</v>
      </c>
      <c r="F68" s="336" t="s">
        <v>1699</v>
      </c>
    </row>
    <row r="69" spans="1:7" x14ac:dyDescent="0.3">
      <c r="A69" s="739">
        <v>68</v>
      </c>
      <c r="B69" s="739" t="s">
        <v>275</v>
      </c>
      <c r="C69" s="740">
        <v>43962</v>
      </c>
      <c r="D69" s="335" t="s">
        <v>1701</v>
      </c>
      <c r="E69" s="335" t="s">
        <v>1702</v>
      </c>
      <c r="F69" s="688"/>
    </row>
    <row r="70" spans="1:7" x14ac:dyDescent="0.3">
      <c r="A70" s="739">
        <v>69</v>
      </c>
      <c r="B70" s="739" t="s">
        <v>276</v>
      </c>
      <c r="C70" s="740">
        <v>43956</v>
      </c>
      <c r="D70" s="687" t="s">
        <v>1703</v>
      </c>
      <c r="E70" s="687" t="s">
        <v>1705</v>
      </c>
      <c r="F70" s="736" t="s">
        <v>1704</v>
      </c>
    </row>
    <row r="71" spans="1:7" x14ac:dyDescent="0.3">
      <c r="A71" s="739">
        <v>70</v>
      </c>
      <c r="B71" s="739" t="s">
        <v>277</v>
      </c>
      <c r="C71" s="740">
        <v>43972</v>
      </c>
      <c r="D71" s="335" t="s">
        <v>1706</v>
      </c>
      <c r="E71" s="687" t="s">
        <v>1707</v>
      </c>
      <c r="F71" s="688"/>
    </row>
    <row r="72" spans="1:7" x14ac:dyDescent="0.3">
      <c r="A72" s="739">
        <v>71</v>
      </c>
      <c r="B72" s="739" t="s">
        <v>278</v>
      </c>
      <c r="C72" s="740">
        <v>43970</v>
      </c>
      <c r="D72" s="687" t="s">
        <v>1708</v>
      </c>
      <c r="E72" s="335" t="s">
        <v>1709</v>
      </c>
    </row>
    <row r="73" spans="1:7" x14ac:dyDescent="0.3">
      <c r="A73" s="739">
        <v>72</v>
      </c>
      <c r="B73" s="739" t="s">
        <v>367</v>
      </c>
      <c r="C73" s="740">
        <v>43955</v>
      </c>
      <c r="D73" s="335" t="s">
        <v>1710</v>
      </c>
      <c r="E73" s="335" t="s">
        <v>1711</v>
      </c>
      <c r="F73" s="686"/>
    </row>
    <row r="74" spans="1:7" x14ac:dyDescent="0.3">
      <c r="A74" s="739">
        <v>73</v>
      </c>
      <c r="B74" s="739" t="s">
        <v>368</v>
      </c>
      <c r="C74" s="740">
        <v>43972</v>
      </c>
      <c r="D74" s="335" t="s">
        <v>1712</v>
      </c>
      <c r="E74" s="335" t="s">
        <v>1713</v>
      </c>
    </row>
    <row r="75" spans="1:7" x14ac:dyDescent="0.3">
      <c r="A75" s="739">
        <v>74</v>
      </c>
      <c r="B75" s="739" t="s">
        <v>279</v>
      </c>
      <c r="C75" s="740">
        <v>43949</v>
      </c>
      <c r="D75" s="687" t="s">
        <v>1714</v>
      </c>
      <c r="E75" s="335" t="s">
        <v>1715</v>
      </c>
    </row>
    <row r="76" spans="1:7" x14ac:dyDescent="0.3">
      <c r="A76" s="739">
        <v>75</v>
      </c>
      <c r="B76" s="739" t="s">
        <v>280</v>
      </c>
      <c r="C76" s="740">
        <v>43952</v>
      </c>
      <c r="D76" s="335" t="s">
        <v>1716</v>
      </c>
      <c r="E76" s="335" t="s">
        <v>1716</v>
      </c>
    </row>
    <row r="77" spans="1:7" x14ac:dyDescent="0.3">
      <c r="A77" s="739">
        <v>76</v>
      </c>
      <c r="B77" s="739" t="s">
        <v>369</v>
      </c>
      <c r="C77" s="740">
        <v>43950</v>
      </c>
      <c r="D77" s="687" t="s">
        <v>1717</v>
      </c>
      <c r="E77" s="335" t="s">
        <v>1718</v>
      </c>
      <c r="F77" s="686"/>
    </row>
    <row r="78" spans="1:7" x14ac:dyDescent="0.3">
      <c r="A78" s="739">
        <v>77</v>
      </c>
      <c r="B78" s="739" t="s">
        <v>370</v>
      </c>
      <c r="C78" s="740">
        <v>43949</v>
      </c>
      <c r="D78" s="335" t="s">
        <v>1719</v>
      </c>
      <c r="E78" s="335" t="s">
        <v>1721</v>
      </c>
      <c r="F78" s="336" t="s">
        <v>1720</v>
      </c>
    </row>
    <row r="79" spans="1:7" x14ac:dyDescent="0.3">
      <c r="A79" s="739">
        <v>78</v>
      </c>
      <c r="B79" s="739" t="s">
        <v>281</v>
      </c>
      <c r="C79" s="740">
        <v>43952</v>
      </c>
      <c r="D79" s="337" t="s">
        <v>1722</v>
      </c>
      <c r="E79" s="335" t="s">
        <v>1724</v>
      </c>
      <c r="F79" s="335" t="s">
        <v>1723</v>
      </c>
    </row>
    <row r="80" spans="1:7" x14ac:dyDescent="0.3">
      <c r="A80" s="739">
        <v>79</v>
      </c>
      <c r="B80" s="739" t="s">
        <v>282</v>
      </c>
      <c r="C80" s="740">
        <v>43969</v>
      </c>
      <c r="D80" s="487" t="s">
        <v>1725</v>
      </c>
      <c r="E80" s="335" t="s">
        <v>1726</v>
      </c>
      <c r="F80" s="688"/>
    </row>
    <row r="81" spans="1:6" x14ac:dyDescent="0.3">
      <c r="A81" s="739">
        <v>80</v>
      </c>
      <c r="B81" s="739" t="s">
        <v>283</v>
      </c>
      <c r="C81" s="740">
        <v>43964</v>
      </c>
      <c r="D81" s="687" t="s">
        <v>1727</v>
      </c>
      <c r="E81" s="687" t="s">
        <v>1729</v>
      </c>
      <c r="F81" s="336" t="s">
        <v>1728</v>
      </c>
    </row>
    <row r="82" spans="1:6" x14ac:dyDescent="0.3">
      <c r="A82" s="739">
        <v>81</v>
      </c>
      <c r="B82" s="739" t="s">
        <v>284</v>
      </c>
      <c r="C82" s="740">
        <v>43952</v>
      </c>
      <c r="D82" s="335" t="s">
        <v>1730</v>
      </c>
      <c r="E82" s="687" t="s">
        <v>1731</v>
      </c>
      <c r="F82" s="688"/>
    </row>
    <row r="83" spans="1:6" x14ac:dyDescent="0.3">
      <c r="A83" s="739">
        <v>82</v>
      </c>
      <c r="B83" s="739" t="s">
        <v>285</v>
      </c>
      <c r="C83" s="740">
        <v>43952</v>
      </c>
      <c r="D83" s="335" t="s">
        <v>1732</v>
      </c>
      <c r="E83" s="335" t="s">
        <v>1733</v>
      </c>
      <c r="F83" s="686"/>
    </row>
    <row r="84" spans="1:6" x14ac:dyDescent="0.3">
      <c r="A84" s="739">
        <v>83</v>
      </c>
      <c r="B84" s="739" t="s">
        <v>286</v>
      </c>
      <c r="C84" s="740">
        <v>43969</v>
      </c>
      <c r="D84" s="687" t="s">
        <v>1734</v>
      </c>
      <c r="E84" s="335" t="s">
        <v>1735</v>
      </c>
    </row>
    <row r="85" spans="1:6" x14ac:dyDescent="0.3">
      <c r="A85" s="739">
        <v>84</v>
      </c>
      <c r="B85" s="739" t="s">
        <v>287</v>
      </c>
      <c r="C85" s="740">
        <v>43952</v>
      </c>
      <c r="D85" s="747" t="s">
        <v>2573</v>
      </c>
      <c r="E85" s="747" t="s">
        <v>2574</v>
      </c>
    </row>
    <row r="86" spans="1:6" x14ac:dyDescent="0.3">
      <c r="A86" s="739">
        <v>85</v>
      </c>
      <c r="B86" s="739" t="s">
        <v>288</v>
      </c>
      <c r="C86" s="740">
        <v>43952</v>
      </c>
      <c r="D86" s="335" t="s">
        <v>1736</v>
      </c>
      <c r="E86" s="335" t="s">
        <v>1737</v>
      </c>
    </row>
    <row r="87" spans="1:6" x14ac:dyDescent="0.3">
      <c r="A87" s="739">
        <v>86</v>
      </c>
      <c r="B87" s="739" t="s">
        <v>289</v>
      </c>
      <c r="C87" s="740">
        <v>43952</v>
      </c>
      <c r="D87" s="335" t="s">
        <v>1738</v>
      </c>
      <c r="E87" s="335" t="s">
        <v>1739</v>
      </c>
    </row>
    <row r="88" spans="1:6" x14ac:dyDescent="0.3">
      <c r="A88" s="739">
        <v>87</v>
      </c>
      <c r="B88" s="739" t="s">
        <v>290</v>
      </c>
      <c r="C88" s="740">
        <v>43973</v>
      </c>
      <c r="D88" s="335" t="s">
        <v>1740</v>
      </c>
      <c r="E88" s="335" t="s">
        <v>1741</v>
      </c>
    </row>
    <row r="89" spans="1:6" x14ac:dyDescent="0.3">
      <c r="A89" s="739">
        <v>88</v>
      </c>
      <c r="B89" s="739" t="s">
        <v>291</v>
      </c>
      <c r="C89" s="740">
        <v>43970</v>
      </c>
      <c r="D89" s="690" t="s">
        <v>2382</v>
      </c>
      <c r="E89" s="688" t="s">
        <v>1742</v>
      </c>
      <c r="F89" s="690" t="s">
        <v>2348</v>
      </c>
    </row>
    <row r="90" spans="1:6" x14ac:dyDescent="0.3">
      <c r="A90" s="739">
        <v>89</v>
      </c>
      <c r="B90" s="739" t="s">
        <v>292</v>
      </c>
      <c r="C90" s="740">
        <v>43955</v>
      </c>
      <c r="D90" s="687" t="s">
        <v>1743</v>
      </c>
      <c r="E90" s="686" t="s">
        <v>1744</v>
      </c>
    </row>
    <row r="91" spans="1:6" x14ac:dyDescent="0.3">
      <c r="A91" s="739">
        <v>90</v>
      </c>
      <c r="B91" s="739" t="s">
        <v>293</v>
      </c>
      <c r="C91" s="740">
        <v>43973</v>
      </c>
      <c r="D91" s="335" t="s">
        <v>1745</v>
      </c>
      <c r="E91" s="747" t="s">
        <v>2455</v>
      </c>
      <c r="F91" s="686"/>
    </row>
    <row r="92" spans="1:6" x14ac:dyDescent="0.3">
      <c r="A92" s="739">
        <v>91</v>
      </c>
      <c r="B92" s="739" t="s">
        <v>371</v>
      </c>
      <c r="C92" s="740">
        <v>43951</v>
      </c>
      <c r="D92" s="687" t="s">
        <v>1746</v>
      </c>
      <c r="E92" s="487" t="s">
        <v>1747</v>
      </c>
    </row>
    <row r="93" spans="1:6" x14ac:dyDescent="0.3">
      <c r="A93" s="739">
        <v>92</v>
      </c>
      <c r="B93" s="739" t="s">
        <v>372</v>
      </c>
      <c r="C93" s="740">
        <v>43962</v>
      </c>
      <c r="D93" s="335" t="s">
        <v>1748</v>
      </c>
      <c r="E93" s="335" t="s">
        <v>1749</v>
      </c>
    </row>
    <row r="94" spans="1:6" x14ac:dyDescent="0.3">
      <c r="A94" s="739">
        <v>93</v>
      </c>
      <c r="B94" s="739" t="s">
        <v>373</v>
      </c>
      <c r="C94" s="740">
        <v>43966</v>
      </c>
      <c r="D94" s="687" t="s">
        <v>1750</v>
      </c>
      <c r="E94" s="684" t="s">
        <v>2036</v>
      </c>
    </row>
    <row r="95" spans="1:6" x14ac:dyDescent="0.3">
      <c r="A95" s="739">
        <v>94</v>
      </c>
      <c r="B95" s="739" t="s">
        <v>376</v>
      </c>
      <c r="C95" s="740">
        <v>43956</v>
      </c>
      <c r="D95" s="335" t="s">
        <v>1751</v>
      </c>
      <c r="E95" s="487" t="s">
        <v>1753</v>
      </c>
      <c r="F95" s="336" t="s">
        <v>1752</v>
      </c>
    </row>
    <row r="96" spans="1:6" x14ac:dyDescent="0.3">
      <c r="A96" s="739">
        <v>95</v>
      </c>
      <c r="B96" s="739" t="s">
        <v>374</v>
      </c>
      <c r="C96" s="740">
        <v>43959</v>
      </c>
      <c r="D96" s="335" t="s">
        <v>1754</v>
      </c>
      <c r="E96" s="687" t="s">
        <v>1756</v>
      </c>
      <c r="F96" s="335" t="s">
        <v>1755</v>
      </c>
    </row>
    <row r="97" spans="1:6" x14ac:dyDescent="0.3">
      <c r="A97" s="739">
        <v>96</v>
      </c>
      <c r="B97" s="739" t="s">
        <v>375</v>
      </c>
      <c r="C97" s="740">
        <v>43952</v>
      </c>
      <c r="D97" s="335" t="s">
        <v>1757</v>
      </c>
      <c r="E97" s="688" t="s">
        <v>1758</v>
      </c>
    </row>
    <row r="98" spans="1:6" x14ac:dyDescent="0.3">
      <c r="A98" s="739">
        <v>97</v>
      </c>
      <c r="B98" s="739" t="s">
        <v>377</v>
      </c>
      <c r="C98" s="740">
        <v>43952</v>
      </c>
      <c r="D98" s="335" t="s">
        <v>1759</v>
      </c>
      <c r="E98" s="487" t="s">
        <v>1760</v>
      </c>
      <c r="F98" s="688"/>
    </row>
    <row r="99" spans="1:6" x14ac:dyDescent="0.3">
      <c r="A99" s="739">
        <v>98</v>
      </c>
      <c r="B99" s="739" t="s">
        <v>378</v>
      </c>
      <c r="C99" s="740">
        <v>43969</v>
      </c>
      <c r="D99" s="687" t="s">
        <v>1761</v>
      </c>
      <c r="E99" s="687" t="s">
        <v>1762</v>
      </c>
    </row>
    <row r="100" spans="1:6" x14ac:dyDescent="0.3">
      <c r="A100" s="739">
        <v>99</v>
      </c>
      <c r="B100" s="739" t="s">
        <v>379</v>
      </c>
      <c r="C100" s="740">
        <v>43966</v>
      </c>
      <c r="D100" s="335" t="s">
        <v>1763</v>
      </c>
      <c r="E100" s="335" t="s">
        <v>1765</v>
      </c>
      <c r="F100" s="487" t="s">
        <v>1764</v>
      </c>
    </row>
    <row r="101" spans="1:6" x14ac:dyDescent="0.3">
      <c r="A101" s="739">
        <v>100</v>
      </c>
      <c r="B101" s="742" t="s">
        <v>380</v>
      </c>
      <c r="C101" s="743">
        <v>43977</v>
      </c>
      <c r="D101" s="335" t="s">
        <v>1766</v>
      </c>
      <c r="E101" s="335" t="s">
        <v>1767</v>
      </c>
      <c r="F101" s="688"/>
    </row>
    <row r="102" spans="1:6" x14ac:dyDescent="0.3">
      <c r="A102" s="739">
        <v>101</v>
      </c>
      <c r="B102" s="739" t="s">
        <v>381</v>
      </c>
      <c r="C102" s="740">
        <v>43959</v>
      </c>
      <c r="D102" s="335" t="s">
        <v>1768</v>
      </c>
      <c r="E102" s="335" t="s">
        <v>1769</v>
      </c>
    </row>
    <row r="103" spans="1:6" x14ac:dyDescent="0.3">
      <c r="A103" s="739">
        <v>102</v>
      </c>
      <c r="B103" s="739" t="s">
        <v>382</v>
      </c>
      <c r="C103" s="740">
        <v>43952</v>
      </c>
      <c r="D103" s="335" t="s">
        <v>1770</v>
      </c>
      <c r="E103" s="687" t="s">
        <v>2550</v>
      </c>
      <c r="F103" s="686"/>
    </row>
    <row r="104" spans="1:6" x14ac:dyDescent="0.3">
      <c r="A104" s="739">
        <v>103</v>
      </c>
      <c r="B104" s="739" t="s">
        <v>383</v>
      </c>
      <c r="C104" s="740">
        <v>43951</v>
      </c>
      <c r="D104" s="687" t="s">
        <v>1771</v>
      </c>
      <c r="E104" s="688" t="s">
        <v>1772</v>
      </c>
    </row>
    <row r="105" spans="1:6" x14ac:dyDescent="0.3">
      <c r="A105" s="739">
        <v>104</v>
      </c>
      <c r="B105" s="739" t="s">
        <v>384</v>
      </c>
      <c r="C105" s="740">
        <v>43952</v>
      </c>
      <c r="D105" s="335" t="s">
        <v>1773</v>
      </c>
      <c r="E105" s="691" t="s">
        <v>1775</v>
      </c>
      <c r="F105" s="336" t="s">
        <v>1774</v>
      </c>
    </row>
    <row r="106" spans="1:6" x14ac:dyDescent="0.3">
      <c r="A106" s="739">
        <v>105</v>
      </c>
      <c r="B106" s="739" t="s">
        <v>385</v>
      </c>
      <c r="C106" s="740">
        <v>43965</v>
      </c>
      <c r="D106" s="335" t="s">
        <v>1776</v>
      </c>
      <c r="E106" s="335" t="s">
        <v>1777</v>
      </c>
      <c r="F106" s="688"/>
    </row>
    <row r="107" spans="1:6" x14ac:dyDescent="0.3">
      <c r="A107" s="739">
        <v>106</v>
      </c>
      <c r="B107" s="739" t="s">
        <v>386</v>
      </c>
      <c r="C107" s="740">
        <v>43957</v>
      </c>
      <c r="D107" s="335" t="s">
        <v>1778</v>
      </c>
      <c r="E107" s="335" t="s">
        <v>1779</v>
      </c>
      <c r="F107" s="686"/>
    </row>
    <row r="108" spans="1:6" x14ac:dyDescent="0.3">
      <c r="A108" s="739">
        <v>107</v>
      </c>
      <c r="B108" s="739" t="s">
        <v>387</v>
      </c>
      <c r="C108" s="740">
        <v>43951</v>
      </c>
      <c r="D108" s="335" t="s">
        <v>1780</v>
      </c>
      <c r="E108" s="335" t="s">
        <v>1781</v>
      </c>
    </row>
    <row r="109" spans="1:6" x14ac:dyDescent="0.3">
      <c r="A109" s="739">
        <v>108</v>
      </c>
      <c r="B109" s="739" t="s">
        <v>388</v>
      </c>
      <c r="C109" s="740">
        <v>43951</v>
      </c>
      <c r="D109" s="335" t="s">
        <v>1782</v>
      </c>
      <c r="E109" s="335" t="s">
        <v>1783</v>
      </c>
    </row>
    <row r="110" spans="1:6" x14ac:dyDescent="0.3">
      <c r="A110" s="739">
        <v>109</v>
      </c>
      <c r="B110" s="739" t="s">
        <v>297</v>
      </c>
      <c r="C110" s="740">
        <v>43951</v>
      </c>
      <c r="D110" s="687" t="s">
        <v>1784</v>
      </c>
      <c r="E110" s="687" t="s">
        <v>1785</v>
      </c>
    </row>
    <row r="111" spans="1:6" x14ac:dyDescent="0.3">
      <c r="A111" s="739">
        <v>110</v>
      </c>
      <c r="B111" s="739" t="s">
        <v>298</v>
      </c>
      <c r="C111" s="740">
        <v>43952</v>
      </c>
      <c r="D111" s="335" t="s">
        <v>1786</v>
      </c>
      <c r="E111" s="335" t="s">
        <v>1788</v>
      </c>
      <c r="F111" s="487" t="s">
        <v>1787</v>
      </c>
    </row>
    <row r="112" spans="1:6" x14ac:dyDescent="0.3">
      <c r="A112" s="739">
        <v>111</v>
      </c>
      <c r="B112" s="739" t="s">
        <v>299</v>
      </c>
      <c r="C112" s="740">
        <v>43958</v>
      </c>
      <c r="D112" s="687" t="s">
        <v>1789</v>
      </c>
      <c r="E112" s="337" t="s">
        <v>1790</v>
      </c>
      <c r="F112" s="688"/>
    </row>
    <row r="113" spans="1:7" x14ac:dyDescent="0.3">
      <c r="A113" s="739">
        <v>112</v>
      </c>
      <c r="B113" s="739" t="s">
        <v>389</v>
      </c>
      <c r="C113" s="740">
        <v>43955</v>
      </c>
      <c r="D113" s="335" t="s">
        <v>1791</v>
      </c>
      <c r="E113" s="487" t="s">
        <v>1792</v>
      </c>
    </row>
    <row r="114" spans="1:7" x14ac:dyDescent="0.3">
      <c r="A114" s="739">
        <v>113</v>
      </c>
      <c r="B114" s="739" t="s">
        <v>390</v>
      </c>
      <c r="C114" s="740">
        <v>43950</v>
      </c>
      <c r="D114" s="335" t="s">
        <v>1793</v>
      </c>
      <c r="E114" s="335" t="s">
        <v>1794</v>
      </c>
    </row>
    <row r="115" spans="1:7" x14ac:dyDescent="0.3">
      <c r="A115" s="739">
        <v>114</v>
      </c>
      <c r="B115" s="739" t="s">
        <v>301</v>
      </c>
      <c r="C115" s="740">
        <v>43951</v>
      </c>
      <c r="D115" s="335" t="s">
        <v>1795</v>
      </c>
      <c r="E115" s="335" t="s">
        <v>1796</v>
      </c>
      <c r="F115" s="686"/>
    </row>
    <row r="116" spans="1:7" x14ac:dyDescent="0.3">
      <c r="A116" s="739">
        <v>115</v>
      </c>
      <c r="B116" s="741" t="s">
        <v>302</v>
      </c>
      <c r="C116" s="744">
        <v>43980</v>
      </c>
      <c r="D116" s="687" t="s">
        <v>1797</v>
      </c>
      <c r="E116" s="688" t="s">
        <v>1798</v>
      </c>
    </row>
    <row r="117" spans="1:7" x14ac:dyDescent="0.3">
      <c r="A117" s="739">
        <v>116</v>
      </c>
      <c r="B117" s="739" t="s">
        <v>303</v>
      </c>
      <c r="C117" s="740">
        <v>43970</v>
      </c>
      <c r="D117" s="335" t="s">
        <v>1799</v>
      </c>
      <c r="E117" s="487" t="s">
        <v>1801</v>
      </c>
      <c r="F117" s="336" t="s">
        <v>1800</v>
      </c>
    </row>
    <row r="118" spans="1:7" x14ac:dyDescent="0.3">
      <c r="A118" s="739">
        <v>117</v>
      </c>
      <c r="B118" s="739" t="s">
        <v>304</v>
      </c>
      <c r="C118" s="740">
        <v>43954</v>
      </c>
      <c r="D118" s="335" t="s">
        <v>1802</v>
      </c>
      <c r="E118" s="335" t="s">
        <v>1803</v>
      </c>
      <c r="F118" s="688"/>
    </row>
    <row r="119" spans="1:7" x14ac:dyDescent="0.3">
      <c r="A119" s="739">
        <v>118</v>
      </c>
      <c r="B119" s="739" t="s">
        <v>305</v>
      </c>
      <c r="C119" s="740">
        <v>43964</v>
      </c>
      <c r="D119" s="335" t="s">
        <v>1804</v>
      </c>
      <c r="E119" s="335" t="s">
        <v>1805</v>
      </c>
      <c r="F119" s="686"/>
    </row>
    <row r="120" spans="1:7" x14ac:dyDescent="0.3">
      <c r="A120" s="739">
        <v>119</v>
      </c>
      <c r="B120" s="739" t="s">
        <v>306</v>
      </c>
      <c r="C120" s="740">
        <v>43952</v>
      </c>
      <c r="D120" s="335" t="s">
        <v>1806</v>
      </c>
      <c r="E120" s="335" t="s">
        <v>1806</v>
      </c>
      <c r="F120" s="691" t="s">
        <v>1807</v>
      </c>
    </row>
    <row r="121" spans="1:7" x14ac:dyDescent="0.3">
      <c r="A121" s="739">
        <v>120</v>
      </c>
      <c r="B121" s="739" t="s">
        <v>307</v>
      </c>
      <c r="C121" s="740">
        <v>43953</v>
      </c>
      <c r="D121" s="335" t="s">
        <v>1808</v>
      </c>
      <c r="E121" s="335" t="s">
        <v>1809</v>
      </c>
      <c r="F121" s="688"/>
    </row>
    <row r="122" spans="1:7" x14ac:dyDescent="0.3">
      <c r="A122" s="739">
        <v>121</v>
      </c>
      <c r="B122" s="739" t="s">
        <v>308</v>
      </c>
      <c r="C122" s="740">
        <v>43972</v>
      </c>
      <c r="D122" s="335" t="s">
        <v>1810</v>
      </c>
      <c r="E122" s="335" t="s">
        <v>1811</v>
      </c>
      <c r="F122" s="686"/>
    </row>
    <row r="123" spans="1:7" x14ac:dyDescent="0.3">
      <c r="A123" s="739">
        <v>122</v>
      </c>
      <c r="B123" s="739" t="s">
        <v>309</v>
      </c>
      <c r="C123" s="740">
        <v>43964</v>
      </c>
      <c r="D123" s="335" t="s">
        <v>1812</v>
      </c>
      <c r="E123" s="335" t="s">
        <v>1813</v>
      </c>
      <c r="F123" s="686"/>
    </row>
    <row r="124" spans="1:7" x14ac:dyDescent="0.3">
      <c r="A124" s="739">
        <v>123</v>
      </c>
      <c r="B124" s="739" t="s">
        <v>310</v>
      </c>
      <c r="C124" s="740">
        <v>43951</v>
      </c>
      <c r="D124" s="687" t="s">
        <v>1814</v>
      </c>
      <c r="E124" s="335" t="s">
        <v>1815</v>
      </c>
    </row>
    <row r="125" spans="1:7" x14ac:dyDescent="0.3">
      <c r="A125" s="739">
        <v>124</v>
      </c>
      <c r="B125" s="739" t="s">
        <v>311</v>
      </c>
      <c r="C125" s="740">
        <v>43956</v>
      </c>
      <c r="D125" s="335" t="s">
        <v>1816</v>
      </c>
      <c r="E125" s="335" t="s">
        <v>1817</v>
      </c>
    </row>
    <row r="126" spans="1:7" x14ac:dyDescent="0.3">
      <c r="A126" s="739">
        <v>125</v>
      </c>
      <c r="B126" s="739" t="s">
        <v>312</v>
      </c>
      <c r="C126" s="740">
        <v>43952</v>
      </c>
      <c r="D126" s="335" t="s">
        <v>1818</v>
      </c>
      <c r="E126" s="335" t="s">
        <v>1819</v>
      </c>
      <c r="F126" s="686"/>
    </row>
    <row r="127" spans="1:7" x14ac:dyDescent="0.3">
      <c r="A127" s="739">
        <v>126</v>
      </c>
      <c r="B127" s="739" t="s">
        <v>313</v>
      </c>
      <c r="C127" s="740">
        <v>43951</v>
      </c>
      <c r="D127" s="335" t="s">
        <v>1820</v>
      </c>
      <c r="E127" s="335" t="s">
        <v>1821</v>
      </c>
      <c r="F127" s="686"/>
    </row>
    <row r="128" spans="1:7" x14ac:dyDescent="0.3">
      <c r="A128" s="739">
        <v>127</v>
      </c>
      <c r="B128" s="739" t="s">
        <v>314</v>
      </c>
      <c r="C128" s="740">
        <v>43952</v>
      </c>
      <c r="D128" s="335" t="s">
        <v>1822</v>
      </c>
      <c r="E128" s="335" t="s">
        <v>1823</v>
      </c>
      <c r="G128" s="93" t="s">
        <v>1824</v>
      </c>
    </row>
    <row r="129" spans="1:7" x14ac:dyDescent="0.3">
      <c r="A129" s="739">
        <v>128</v>
      </c>
      <c r="B129" s="739" t="s">
        <v>315</v>
      </c>
      <c r="C129" s="740">
        <v>43952</v>
      </c>
      <c r="D129" s="335" t="s">
        <v>1825</v>
      </c>
      <c r="E129" s="335" t="s">
        <v>1827</v>
      </c>
      <c r="F129" s="336" t="s">
        <v>1826</v>
      </c>
    </row>
    <row r="130" spans="1:7" x14ac:dyDescent="0.3">
      <c r="A130" s="739">
        <v>129</v>
      </c>
      <c r="B130" s="739" t="s">
        <v>316</v>
      </c>
      <c r="C130" s="740">
        <v>43951</v>
      </c>
      <c r="D130" s="335" t="s">
        <v>1828</v>
      </c>
      <c r="E130" s="335" t="s">
        <v>1829</v>
      </c>
      <c r="F130" s="688"/>
    </row>
    <row r="131" spans="1:7" x14ac:dyDescent="0.3">
      <c r="A131" s="739">
        <v>130</v>
      </c>
      <c r="B131" s="739" t="s">
        <v>391</v>
      </c>
      <c r="C131" s="740">
        <v>43959</v>
      </c>
      <c r="D131" s="335" t="s">
        <v>1830</v>
      </c>
      <c r="E131" s="335" t="s">
        <v>1831</v>
      </c>
    </row>
    <row r="132" spans="1:7" x14ac:dyDescent="0.3">
      <c r="A132" s="739">
        <v>131</v>
      </c>
      <c r="B132" s="739" t="s">
        <v>318</v>
      </c>
      <c r="C132" s="740">
        <v>43964</v>
      </c>
      <c r="D132" s="335" t="s">
        <v>1832</v>
      </c>
      <c r="E132" s="335" t="s">
        <v>1834</v>
      </c>
      <c r="F132" s="335" t="s">
        <v>1833</v>
      </c>
    </row>
    <row r="133" spans="1:7" x14ac:dyDescent="0.3">
      <c r="A133" s="739">
        <v>132</v>
      </c>
      <c r="B133" s="739" t="s">
        <v>317</v>
      </c>
      <c r="C133" s="740">
        <v>43952</v>
      </c>
      <c r="D133" s="687" t="s">
        <v>1835</v>
      </c>
      <c r="E133" s="335" t="s">
        <v>1837</v>
      </c>
      <c r="F133" s="745" t="s">
        <v>1836</v>
      </c>
    </row>
    <row r="134" spans="1:7" x14ac:dyDescent="0.3">
      <c r="A134" s="739">
        <v>133</v>
      </c>
      <c r="B134" s="739" t="s">
        <v>319</v>
      </c>
      <c r="C134" s="740">
        <v>43951</v>
      </c>
      <c r="D134" s="687" t="s">
        <v>1838</v>
      </c>
      <c r="E134" s="688" t="s">
        <v>1839</v>
      </c>
      <c r="F134" s="688"/>
    </row>
    <row r="135" spans="1:7" x14ac:dyDescent="0.3">
      <c r="A135" s="739">
        <v>134</v>
      </c>
      <c r="B135" s="739" t="s">
        <v>320</v>
      </c>
      <c r="C135" s="740">
        <v>43951</v>
      </c>
      <c r="D135" s="335" t="s">
        <v>1840</v>
      </c>
      <c r="E135" s="336" t="s">
        <v>1841</v>
      </c>
    </row>
    <row r="136" spans="1:7" x14ac:dyDescent="0.3">
      <c r="A136" s="739">
        <v>135</v>
      </c>
      <c r="B136" s="739" t="s">
        <v>321</v>
      </c>
      <c r="C136" s="740">
        <v>43952</v>
      </c>
      <c r="D136" s="687" t="s">
        <v>1842</v>
      </c>
      <c r="E136" s="337" t="s">
        <v>1843</v>
      </c>
    </row>
    <row r="137" spans="1:7" x14ac:dyDescent="0.3">
      <c r="A137" s="739">
        <v>136</v>
      </c>
      <c r="B137" s="739" t="s">
        <v>322</v>
      </c>
      <c r="C137" s="740">
        <v>43957</v>
      </c>
      <c r="D137" s="687" t="s">
        <v>1844</v>
      </c>
      <c r="E137" s="336" t="s">
        <v>1845</v>
      </c>
    </row>
    <row r="138" spans="1:7" x14ac:dyDescent="0.3">
      <c r="A138" s="739">
        <v>137</v>
      </c>
      <c r="B138" s="739" t="s">
        <v>323</v>
      </c>
      <c r="C138" s="740">
        <v>43954</v>
      </c>
      <c r="D138" s="687" t="s">
        <v>1846</v>
      </c>
      <c r="E138" s="335" t="s">
        <v>1847</v>
      </c>
    </row>
    <row r="139" spans="1:7" x14ac:dyDescent="0.3">
      <c r="A139" s="739">
        <v>138</v>
      </c>
      <c r="B139" s="739" t="s">
        <v>392</v>
      </c>
      <c r="C139" s="740">
        <v>43957</v>
      </c>
      <c r="D139" s="335" t="s">
        <v>1848</v>
      </c>
      <c r="E139" s="335" t="s">
        <v>1849</v>
      </c>
    </row>
    <row r="140" spans="1:7" x14ac:dyDescent="0.3">
      <c r="A140" s="739">
        <v>139</v>
      </c>
      <c r="B140" s="739" t="s">
        <v>324</v>
      </c>
      <c r="C140" s="740">
        <v>43952</v>
      </c>
      <c r="D140" s="337" t="s">
        <v>1850</v>
      </c>
      <c r="E140" s="687" t="s">
        <v>1851</v>
      </c>
    </row>
    <row r="141" spans="1:7" x14ac:dyDescent="0.3">
      <c r="A141" s="739">
        <v>140</v>
      </c>
      <c r="B141" s="739" t="s">
        <v>325</v>
      </c>
      <c r="C141" s="740">
        <v>43951</v>
      </c>
      <c r="D141" s="487" t="s">
        <v>1852</v>
      </c>
      <c r="E141" s="335" t="s">
        <v>1853</v>
      </c>
      <c r="G141" s="686"/>
    </row>
    <row r="142" spans="1:7" x14ac:dyDescent="0.3">
      <c r="A142" s="739">
        <v>141</v>
      </c>
      <c r="B142" s="739" t="s">
        <v>326</v>
      </c>
      <c r="C142" s="740">
        <v>43952</v>
      </c>
      <c r="D142" s="335" t="s">
        <v>1854</v>
      </c>
      <c r="E142" s="335" t="s">
        <v>1855</v>
      </c>
    </row>
    <row r="143" spans="1:7" x14ac:dyDescent="0.3">
      <c r="A143" s="739">
        <v>142</v>
      </c>
      <c r="B143" s="739" t="s">
        <v>393</v>
      </c>
      <c r="C143" s="740">
        <v>43952</v>
      </c>
      <c r="D143" s="687" t="s">
        <v>1856</v>
      </c>
      <c r="E143" s="335" t="s">
        <v>1858</v>
      </c>
      <c r="F143" s="487" t="s">
        <v>1857</v>
      </c>
    </row>
    <row r="144" spans="1:7" x14ac:dyDescent="0.3">
      <c r="A144" s="739">
        <v>143</v>
      </c>
      <c r="B144" s="739" t="s">
        <v>328</v>
      </c>
      <c r="C144" s="740">
        <v>43952</v>
      </c>
      <c r="D144" s="335" t="s">
        <v>1859</v>
      </c>
      <c r="E144" s="335" t="s">
        <v>1860</v>
      </c>
      <c r="F144" s="688"/>
    </row>
    <row r="145" spans="1:7" x14ac:dyDescent="0.3">
      <c r="A145" s="739">
        <v>144</v>
      </c>
      <c r="B145" s="739" t="s">
        <v>329</v>
      </c>
      <c r="C145" s="740">
        <v>43955</v>
      </c>
      <c r="D145" s="687" t="s">
        <v>1861</v>
      </c>
      <c r="E145" s="335" t="s">
        <v>1862</v>
      </c>
    </row>
    <row r="146" spans="1:7" x14ac:dyDescent="0.3">
      <c r="A146" s="739">
        <v>145</v>
      </c>
      <c r="B146" s="739" t="s">
        <v>330</v>
      </c>
      <c r="C146" s="740">
        <v>43952</v>
      </c>
      <c r="D146" s="335" t="s">
        <v>1863</v>
      </c>
      <c r="E146" s="335" t="s">
        <v>1864</v>
      </c>
      <c r="F146" s="686"/>
    </row>
    <row r="147" spans="1:7" x14ac:dyDescent="0.3">
      <c r="A147" s="739">
        <v>146</v>
      </c>
      <c r="B147" s="739" t="s">
        <v>331</v>
      </c>
      <c r="C147" s="740">
        <v>43957</v>
      </c>
      <c r="D147" s="335" t="s">
        <v>1865</v>
      </c>
      <c r="E147" s="335" t="s">
        <v>1867</v>
      </c>
      <c r="F147" s="736" t="s">
        <v>1866</v>
      </c>
    </row>
    <row r="148" spans="1:7" x14ac:dyDescent="0.3">
      <c r="A148" s="739">
        <v>147</v>
      </c>
      <c r="B148" s="739" t="s">
        <v>332</v>
      </c>
      <c r="C148" s="740">
        <v>43952</v>
      </c>
      <c r="D148" s="335" t="s">
        <v>1868</v>
      </c>
      <c r="E148" s="335" t="s">
        <v>1869</v>
      </c>
      <c r="F148" s="688"/>
    </row>
    <row r="149" spans="1:7" x14ac:dyDescent="0.3">
      <c r="A149" s="739">
        <v>148</v>
      </c>
      <c r="B149" s="739" t="s">
        <v>333</v>
      </c>
      <c r="C149" s="740">
        <v>43952</v>
      </c>
      <c r="D149" s="335" t="s">
        <v>1870</v>
      </c>
      <c r="E149" s="335" t="s">
        <v>1871</v>
      </c>
      <c r="F149" s="686"/>
    </row>
    <row r="150" spans="1:7" x14ac:dyDescent="0.3">
      <c r="A150" s="739">
        <v>149</v>
      </c>
      <c r="B150" s="742" t="s">
        <v>334</v>
      </c>
      <c r="C150" s="743">
        <v>43991</v>
      </c>
      <c r="D150" s="335" t="s">
        <v>1872</v>
      </c>
      <c r="E150" s="335" t="s">
        <v>1873</v>
      </c>
    </row>
    <row r="151" spans="1:7" x14ac:dyDescent="0.3">
      <c r="A151" s="739">
        <v>150</v>
      </c>
      <c r="B151" s="739" t="s">
        <v>394</v>
      </c>
      <c r="C151" s="740">
        <v>43951</v>
      </c>
      <c r="D151" s="687" t="s">
        <v>1874</v>
      </c>
      <c r="E151" s="335" t="s">
        <v>1875</v>
      </c>
    </row>
    <row r="152" spans="1:7" x14ac:dyDescent="0.3">
      <c r="A152" s="739">
        <v>151</v>
      </c>
      <c r="B152" s="739" t="s">
        <v>335</v>
      </c>
      <c r="C152" s="740">
        <v>43952</v>
      </c>
      <c r="D152" s="687" t="s">
        <v>2551</v>
      </c>
      <c r="E152" s="337" t="s">
        <v>1877</v>
      </c>
      <c r="F152" s="687" t="s">
        <v>1876</v>
      </c>
      <c r="G152" s="748" t="s">
        <v>9</v>
      </c>
    </row>
    <row r="153" spans="1:7" x14ac:dyDescent="0.3">
      <c r="A153" s="739">
        <v>152</v>
      </c>
      <c r="B153" s="739" t="s">
        <v>336</v>
      </c>
      <c r="C153" s="740">
        <v>43951</v>
      </c>
      <c r="D153" s="687" t="s">
        <v>1878</v>
      </c>
      <c r="E153" s="684" t="s">
        <v>1879</v>
      </c>
    </row>
    <row r="154" spans="1:7" x14ac:dyDescent="0.3">
      <c r="A154" s="739">
        <v>153</v>
      </c>
      <c r="B154" s="739" t="s">
        <v>337</v>
      </c>
      <c r="C154" s="740">
        <v>43964</v>
      </c>
      <c r="D154" s="335" t="s">
        <v>1880</v>
      </c>
      <c r="E154" s="691" t="s">
        <v>1882</v>
      </c>
      <c r="F154" s="336" t="s">
        <v>1881</v>
      </c>
    </row>
    <row r="155" spans="1:7" x14ac:dyDescent="0.3">
      <c r="A155" s="739">
        <v>154</v>
      </c>
      <c r="B155" s="739" t="s">
        <v>340</v>
      </c>
      <c r="C155" s="740">
        <v>43952</v>
      </c>
      <c r="D155" s="335" t="s">
        <v>1883</v>
      </c>
      <c r="E155" s="335" t="s">
        <v>1884</v>
      </c>
      <c r="F155" s="688"/>
    </row>
    <row r="156" spans="1:7" x14ac:dyDescent="0.3">
      <c r="A156" s="739">
        <v>155</v>
      </c>
      <c r="B156" s="739" t="s">
        <v>338</v>
      </c>
      <c r="C156" s="740">
        <v>43955</v>
      </c>
      <c r="D156" s="335" t="s">
        <v>1885</v>
      </c>
      <c r="E156" s="335" t="s">
        <v>1887</v>
      </c>
      <c r="F156" s="335" t="s">
        <v>1886</v>
      </c>
    </row>
    <row r="157" spans="1:7" x14ac:dyDescent="0.3">
      <c r="A157" s="739">
        <v>156</v>
      </c>
      <c r="B157" s="739" t="s">
        <v>339</v>
      </c>
      <c r="C157" s="740">
        <v>43969</v>
      </c>
      <c r="D157" s="687" t="s">
        <v>1888</v>
      </c>
      <c r="E157" s="688" t="s">
        <v>1889</v>
      </c>
    </row>
    <row r="158" spans="1:7" x14ac:dyDescent="0.3">
      <c r="A158" s="739">
        <v>157</v>
      </c>
      <c r="B158" s="739" t="s">
        <v>341</v>
      </c>
      <c r="C158" s="740">
        <v>43956</v>
      </c>
      <c r="D158" s="335" t="s">
        <v>1890</v>
      </c>
      <c r="E158" s="487" t="s">
        <v>1892</v>
      </c>
      <c r="F158" s="336" t="s">
        <v>1891</v>
      </c>
    </row>
    <row r="159" spans="1:7" x14ac:dyDescent="0.3">
      <c r="A159" s="739">
        <v>158</v>
      </c>
      <c r="B159" s="741" t="s">
        <v>342</v>
      </c>
      <c r="C159" s="744">
        <v>43987</v>
      </c>
      <c r="D159" s="335" t="s">
        <v>1893</v>
      </c>
      <c r="E159" s="335" t="s">
        <v>1894</v>
      </c>
      <c r="F159" s="688"/>
      <c r="G159" s="336" t="s">
        <v>1895</v>
      </c>
    </row>
    <row r="160" spans="1:7" x14ac:dyDescent="0.3">
      <c r="A160" s="739">
        <v>159</v>
      </c>
      <c r="B160" s="739" t="s">
        <v>343</v>
      </c>
      <c r="C160" s="740">
        <v>43958</v>
      </c>
      <c r="D160" s="687" t="s">
        <v>1896</v>
      </c>
      <c r="E160" s="335" t="s">
        <v>1898</v>
      </c>
      <c r="F160" s="487" t="s">
        <v>1897</v>
      </c>
      <c r="G160" s="688"/>
    </row>
    <row r="161" spans="1:7" x14ac:dyDescent="0.3">
      <c r="A161" s="739">
        <v>160</v>
      </c>
      <c r="B161" s="739" t="s">
        <v>344</v>
      </c>
      <c r="C161" s="740">
        <v>43952</v>
      </c>
      <c r="D161" s="335" t="s">
        <v>1899</v>
      </c>
      <c r="E161" s="335" t="s">
        <v>1900</v>
      </c>
      <c r="F161" s="688"/>
      <c r="G161" s="336" t="s">
        <v>1901</v>
      </c>
    </row>
    <row r="162" spans="1:7" x14ac:dyDescent="0.3">
      <c r="A162" s="739">
        <v>161</v>
      </c>
      <c r="B162" s="739" t="s">
        <v>345</v>
      </c>
      <c r="C162" s="740">
        <v>43952</v>
      </c>
      <c r="D162" s="335" t="s">
        <v>1902</v>
      </c>
      <c r="E162" s="335" t="s">
        <v>1903</v>
      </c>
      <c r="G162" s="688"/>
    </row>
    <row r="163" spans="1:7" x14ac:dyDescent="0.3">
      <c r="A163" s="739">
        <v>162</v>
      </c>
      <c r="B163" s="739" t="s">
        <v>346</v>
      </c>
      <c r="C163" s="740">
        <v>43951</v>
      </c>
      <c r="D163" s="335" t="s">
        <v>1904</v>
      </c>
      <c r="E163" s="335" t="s">
        <v>1906</v>
      </c>
      <c r="F163" s="487" t="s">
        <v>1905</v>
      </c>
    </row>
    <row r="164" spans="1:7" x14ac:dyDescent="0.3">
      <c r="A164" s="739">
        <v>163</v>
      </c>
      <c r="B164" s="739" t="s">
        <v>347</v>
      </c>
      <c r="C164" s="740">
        <v>43952</v>
      </c>
      <c r="D164" s="335" t="s">
        <v>1907</v>
      </c>
      <c r="E164" s="335" t="s">
        <v>1909</v>
      </c>
      <c r="F164" s="335" t="s">
        <v>1908</v>
      </c>
    </row>
    <row r="165" spans="1:7" x14ac:dyDescent="0.3">
      <c r="A165" s="739">
        <v>164</v>
      </c>
      <c r="B165" s="739" t="s">
        <v>348</v>
      </c>
      <c r="C165" s="740">
        <v>43958</v>
      </c>
      <c r="D165" s="692" t="s">
        <v>1910</v>
      </c>
      <c r="E165" s="335" t="s">
        <v>1911</v>
      </c>
      <c r="F165" s="754" t="s">
        <v>2583</v>
      </c>
    </row>
    <row r="166" spans="1:7" x14ac:dyDescent="0.3">
      <c r="A166" s="739">
        <v>165</v>
      </c>
      <c r="B166" s="739" t="s">
        <v>349</v>
      </c>
      <c r="C166" s="740">
        <v>43953</v>
      </c>
      <c r="D166" s="687" t="s">
        <v>1912</v>
      </c>
      <c r="E166" s="335" t="s">
        <v>1913</v>
      </c>
      <c r="F166" s="688"/>
    </row>
    <row r="167" spans="1:7" x14ac:dyDescent="0.3">
      <c r="A167" s="739">
        <v>166</v>
      </c>
      <c r="B167" s="739" t="s">
        <v>350</v>
      </c>
      <c r="C167" s="740">
        <v>43952</v>
      </c>
      <c r="D167" s="335" t="s">
        <v>1914</v>
      </c>
      <c r="E167" s="335" t="s">
        <v>1915</v>
      </c>
    </row>
    <row r="168" spans="1:7" x14ac:dyDescent="0.3">
      <c r="A168" s="739">
        <v>167</v>
      </c>
      <c r="B168" s="739" t="s">
        <v>351</v>
      </c>
      <c r="C168" s="740">
        <v>43952</v>
      </c>
      <c r="D168" s="335" t="s">
        <v>1916</v>
      </c>
      <c r="E168" s="335" t="s">
        <v>1917</v>
      </c>
    </row>
    <row r="169" spans="1:7" x14ac:dyDescent="0.3">
      <c r="A169" s="739">
        <v>168</v>
      </c>
      <c r="B169" s="739" t="s">
        <v>352</v>
      </c>
      <c r="C169" s="740">
        <v>43952</v>
      </c>
      <c r="D169" s="335" t="s">
        <v>1918</v>
      </c>
      <c r="E169" s="335" t="s">
        <v>1919</v>
      </c>
    </row>
    <row r="170" spans="1:7" x14ac:dyDescent="0.3">
      <c r="A170" s="739">
        <v>169</v>
      </c>
      <c r="B170" s="739" t="s">
        <v>353</v>
      </c>
      <c r="C170" s="740">
        <v>43952</v>
      </c>
      <c r="D170" s="335" t="s">
        <v>1920</v>
      </c>
      <c r="E170" s="335" t="s">
        <v>1921</v>
      </c>
    </row>
  </sheetData>
  <hyperlinks>
    <hyperlink ref="D37" r:id="rId1" xr:uid="{023E747D-2378-4825-A77B-87F71567C6F6}"/>
    <hyperlink ref="D16" r:id="rId2" xr:uid="{5FF0343D-275A-466E-BFAB-7031CD3824A5}"/>
    <hyperlink ref="D20" r:id="rId3" xr:uid="{AAD72993-7BE7-433B-9C0C-AF3E1EBCDACA}"/>
    <hyperlink ref="D38" r:id="rId4" xr:uid="{FF43099B-0D70-44AF-8211-74745B18D3B6}"/>
    <hyperlink ref="D44" r:id="rId5" xr:uid="{E8FB3AAD-8A33-4262-8ECE-462B639ADEBE}"/>
    <hyperlink ref="D63" r:id="rId6" xr:uid="{2086821D-6B58-4434-B490-731268DE441F}"/>
    <hyperlink ref="D90" r:id="rId7" xr:uid="{101F89DA-916F-4BEA-91C3-62E9078BF971}"/>
    <hyperlink ref="D104" r:id="rId8" xr:uid="{82CA98AA-C514-4350-9593-C69F5A2A32B1}"/>
    <hyperlink ref="D157" r:id="rId9" xr:uid="{5EDEE84B-62B9-4ED1-BB5A-CD9322211A0B}"/>
    <hyperlink ref="D166" r:id="rId10" xr:uid="{E095DC79-2CB1-49CB-A754-20B66A413C33}"/>
    <hyperlink ref="D65" r:id="rId11" xr:uid="{1FC5F388-D9D2-47D3-80C3-13C88E0FDBDD}"/>
    <hyperlink ref="D12" r:id="rId12" xr:uid="{D2844B0B-9317-4495-AB25-D60F187CDF2C}"/>
    <hyperlink ref="D165" r:id="rId13" xr:uid="{3A82164E-3A65-463E-A209-D7A718E23C13}"/>
    <hyperlink ref="D160" r:id="rId14" xr:uid="{8D7B2259-94BB-4A9F-BD84-243772E735D3}"/>
    <hyperlink ref="D136" r:id="rId15" xr:uid="{2CE1DA38-C94C-408B-A0C0-D442643E26BD}"/>
    <hyperlink ref="D81" r:id="rId16" xr:uid="{5D64ED2B-0C93-43D2-8F3D-891D4471C348}"/>
    <hyperlink ref="D57" r:id="rId17" xr:uid="{3B42C6D2-28C7-4D51-B363-CD3F11EF3576}"/>
    <hyperlink ref="D99" r:id="rId18" xr:uid="{392A59E5-4A95-4E07-A5C2-9C398987A14E}"/>
    <hyperlink ref="D50" r:id="rId19" xr:uid="{43AA1115-3211-42E9-8266-C3CBC521183A}"/>
    <hyperlink ref="D66" r:id="rId20" xr:uid="{4A90E32F-BF18-46F8-AD24-EC4A53EB57B5}"/>
    <hyperlink ref="D137" r:id="rId21" xr:uid="{F0376758-109E-461E-92BF-F995513848B6}"/>
    <hyperlink ref="D92" r:id="rId22" xr:uid="{B05026C6-BDD2-4730-84A7-FE6AC193587C}"/>
    <hyperlink ref="D53" r:id="rId23" xr:uid="{465F1115-7F6A-45AA-AA36-35D8C3DA18AB}"/>
    <hyperlink ref="D110" r:id="rId24" xr:uid="{9A20B350-152C-4BD0-A132-8B07A56ACDCC}"/>
    <hyperlink ref="D124" r:id="rId25" xr:uid="{0CF38153-1F5D-4128-9E65-7531C5A7444B}"/>
    <hyperlink ref="D49" r:id="rId26" xr:uid="{91D51E41-80C7-43F3-BC68-2A7FA681543E}"/>
    <hyperlink ref="D112" r:id="rId27" xr:uid="{860BD3FC-E0D8-429E-BD7D-678277421F7D}"/>
    <hyperlink ref="D134" r:id="rId28" xr:uid="{47CE1FF0-0FED-44B1-A05E-39063567599D}"/>
    <hyperlink ref="D138" r:id="rId29" xr:uid="{F41866BF-BA59-418D-8C0A-9E29E8E4B62C}"/>
    <hyperlink ref="D143" r:id="rId30" xr:uid="{960A95E9-FD48-40BB-8A29-EB61B22C3D54}"/>
    <hyperlink ref="D153" r:id="rId31" xr:uid="{5E594835-349B-45B9-A6AB-47D9A749D292}"/>
    <hyperlink ref="D43" r:id="rId32" xr:uid="{C1344A74-FCBD-4EAD-AEFD-43C48E6D4751}"/>
    <hyperlink ref="D47" r:id="rId33" xr:uid="{3DB2E437-B43E-4A3F-9EDC-A254BEC0BA90}"/>
    <hyperlink ref="D70" r:id="rId34" xr:uid="{7A185703-4F78-461C-8314-7DE066AE5187}"/>
    <hyperlink ref="D72" r:id="rId35" xr:uid="{4D05CC15-501E-4C7F-8016-55410DAC438A}"/>
    <hyperlink ref="D75" r:id="rId36" xr:uid="{065BB1B3-6E01-4CD8-9CE7-C7D52DD8BE9A}"/>
    <hyperlink ref="D77" r:id="rId37" xr:uid="{E524A0AE-0770-45A5-9186-87750A29E4BE}"/>
    <hyperlink ref="D84" r:id="rId38" xr:uid="{C06298BE-8A2E-40DC-9954-83FF7F3D3C86}"/>
    <hyperlink ref="D133" r:id="rId39" xr:uid="{96E2A374-75BD-49FE-AB65-2DAE3A9CFCA5}"/>
    <hyperlink ref="D94" r:id="rId40" xr:uid="{A6917D60-2A6A-4E8C-AF11-612D4959AD29}"/>
    <hyperlink ref="D7" r:id="rId41" xr:uid="{AB926560-8943-41C6-984E-2DEA5334C7E6}"/>
    <hyperlink ref="D9" r:id="rId42" xr:uid="{6E5AD4F8-9770-4F6F-905C-84D03A5B700D}"/>
    <hyperlink ref="D116" r:id="rId43" xr:uid="{0E17FEAF-F703-420B-8269-7917D75B5C81}"/>
    <hyperlink ref="D79" r:id="rId44" display="mailto:MoranT@mansfieldct.org" xr:uid="{5A42EAB5-29DF-4BD0-A5E7-E6E4D386AB91}"/>
    <hyperlink ref="D145" r:id="rId45" xr:uid="{E05A052F-B144-46BD-819E-539CE437DBF9}"/>
    <hyperlink ref="D2" r:id="rId46" display="mailto:jeff.maguire@kolbmaguire.com" xr:uid="{27F7C48C-9AA9-4301-8F07-BA1FA2ED45AB}"/>
    <hyperlink ref="F2" r:id="rId47" xr:uid="{1FF64893-035A-4C74-A7FB-D1D5916F0BF1}"/>
    <hyperlink ref="F70" r:id="rId48" xr:uid="{738CA79C-7E23-4101-8585-482761054D3F}"/>
    <hyperlink ref="F120" r:id="rId49" xr:uid="{2D71F507-A576-42E0-A3F8-FF42867D30AB}"/>
    <hyperlink ref="F133" r:id="rId50" xr:uid="{C24C4DED-0C7F-4E0F-8FE6-C0E899C95148}"/>
    <hyperlink ref="F147" r:id="rId51" xr:uid="{D6D56F32-65F9-4C6F-8955-83061F319539}"/>
    <hyperlink ref="F50" r:id="rId52" xr:uid="{3ED6899B-F05E-492E-A4F0-68C217C3C194}"/>
    <hyperlink ref="F43" r:id="rId53" xr:uid="{6244BCED-7EF1-4CE5-A351-04888DC5437C}"/>
    <hyperlink ref="F8" r:id="rId54" xr:uid="{6B78FA38-2237-4815-B4E4-FE76826B7BC8}"/>
    <hyperlink ref="G67" r:id="rId55" display="mailto:finance@harwinton.us" xr:uid="{E7E99246-3A54-4648-B8F6-084D5C894C98}"/>
    <hyperlink ref="D22" r:id="rId56" display="mailto:fallsvillagetc@yahoo.com" xr:uid="{E7CD8272-6ABF-4F55-BD35-B9C67C9BA359}"/>
    <hyperlink ref="D89" r:id="rId57" xr:uid="{BD56827E-7E2D-4D9B-80F4-E61E38A08A36}"/>
    <hyperlink ref="F89" r:id="rId58" display="mailto:jdambowsky@naugatuck-ct.gov" xr:uid="{A0572453-EA85-4196-813E-9A6A4E0CCD5D}"/>
    <hyperlink ref="D3" r:id="rId59" xr:uid="{9F48CA34-093F-4457-BAA5-541F31F9540C}"/>
    <hyperlink ref="E105" r:id="rId60" xr:uid="{2D8C90B8-18BC-4A41-B952-4F81430E7F41}"/>
    <hyperlink ref="E28" r:id="rId61" xr:uid="{5D5E28A1-50AD-429A-B104-0E7E55712638}"/>
    <hyperlink ref="E140" r:id="rId62" xr:uid="{97412A3D-A7EB-48D5-810B-56FAE5ADC546}"/>
    <hyperlink ref="E99" r:id="rId63" xr:uid="{54F3A3DB-17A2-45E8-A29F-98B8134816DB}"/>
    <hyperlink ref="E9" r:id="rId64" xr:uid="{F95855BF-ECD7-4325-A9F5-BCDB21C3F054}"/>
    <hyperlink ref="E136" r:id="rId65" xr:uid="{41E47852-F589-4DB6-8002-B6087E4C4FD9}"/>
    <hyperlink ref="E154" r:id="rId66" xr:uid="{ABEF2773-6775-44EB-94AA-AAFEDB1CF41B}"/>
    <hyperlink ref="E2" r:id="rId67" xr:uid="{4E0ADDDB-8D08-4F87-A682-C94079EB5798}"/>
    <hyperlink ref="E44" r:id="rId68" xr:uid="{0E70E599-6484-4371-86A5-545F3E114ACE}"/>
    <hyperlink ref="E152" r:id="rId69" xr:uid="{3C56F1F0-473C-4587-A9B7-D3FEBFEA9741}"/>
    <hyperlink ref="E112" r:id="rId70" xr:uid="{A60A044C-410B-4D36-8B68-0D3D09F7D5A2}"/>
    <hyperlink ref="E6" r:id="rId71" xr:uid="{A3989901-D793-4CA8-BD27-B3A16E3FA26E}"/>
    <hyperlink ref="E7" r:id="rId72" xr:uid="{B3BF8ACF-9516-4B30-BCC9-F5BC933B16C6}"/>
    <hyperlink ref="E23" r:id="rId73" xr:uid="{583B92E3-E4EB-4EBB-B45D-C6103EF3AE84}"/>
    <hyperlink ref="E56" r:id="rId74" xr:uid="{A181226A-C842-4474-8D3B-4CE760B5E0BA}"/>
    <hyperlink ref="E70" r:id="rId75" xr:uid="{FEAD9BF7-D6B1-42FB-BB1A-8C6FF2C38550}"/>
    <hyperlink ref="E82" r:id="rId76" xr:uid="{9C6A845A-4378-45B5-9DB4-246F314102C6}"/>
    <hyperlink ref="E96" r:id="rId77" xr:uid="{E69AA7BB-7B66-4AEE-B062-508EF2A15681}"/>
    <hyperlink ref="E71" r:id="rId78" xr:uid="{2B310429-A2A9-49D2-8C52-F4AD409044EF}"/>
    <hyperlink ref="E5" r:id="rId79" xr:uid="{3F6B3A20-0153-4A3C-8850-AABB2A77D3D6}"/>
    <hyperlink ref="E20" r:id="rId80" xr:uid="{BACE9764-2222-403C-A8D7-005A0E4CCBAF}"/>
    <hyperlink ref="E153" r:id="rId81" xr:uid="{ACBFE6A8-339C-4224-8DE0-B2FCAF1EA8A9}"/>
    <hyperlink ref="E81" r:id="rId82" xr:uid="{A3B80BC0-0256-4E47-A9C7-7E261C0683D6}"/>
    <hyperlink ref="E110" r:id="rId83" xr:uid="{64CA6380-5097-4681-82C4-C1EA30F6E4E2}"/>
    <hyperlink ref="E65" r:id="rId84" xr:uid="{C64B8ED0-2880-4C9A-8D01-10DA29A7FC7A}"/>
    <hyperlink ref="E66" r:id="rId85" xr:uid="{9182A25A-EACE-4F55-9226-C2A5893A3543}"/>
    <hyperlink ref="E45" r:id="rId86" xr:uid="{9AE27A65-2A6E-467A-B78C-88233042A77D}"/>
    <hyperlink ref="E21" r:id="rId87" xr:uid="{99EC39FB-56A7-47A3-ACD0-477D8B2C5191}"/>
    <hyperlink ref="E94" r:id="rId88" xr:uid="{51387846-B110-4825-A577-72B65F765AF5}"/>
    <hyperlink ref="E38" r:id="rId89" display="mailto:kmcliverty@derbyct.gov" xr:uid="{6D9C9C81-6D74-4D8B-B439-E84F34F4038E}"/>
    <hyperlink ref="E22" r:id="rId90" display="mailto:treasurer@canaanfallsvillage.org" xr:uid="{98FB5F42-93B6-40CA-B1FC-F275C0912EC9}"/>
    <hyperlink ref="E91" r:id="rId91" display="mailto:lunda.asmani@newcanaanct.gov" xr:uid="{AFF53131-2908-4F96-8189-F73B5D10583B}"/>
    <hyperlink ref="E103" r:id="rId92" xr:uid="{8D04C467-BE5F-4CE5-BAEE-38F9B22EFB98}"/>
    <hyperlink ref="G152" r:id="rId93" display="mailto:noleary@waterburyct.org" xr:uid="{FB17871B-D8E1-4D31-82FB-D546EF444B80}"/>
    <hyperlink ref="D152" r:id="rId94" xr:uid="{A6517FFC-1D57-4698-B644-D22955E7EB23}"/>
    <hyperlink ref="E24" r:id="rId95" display="mailto:wgeiger@townofcantonct.org" xr:uid="{D5D3187A-83DC-4A2A-90B1-D2D780531968}"/>
    <hyperlink ref="D85" r:id="rId96" xr:uid="{0A34F2FE-9A3A-4479-B7E0-CB4EEE1615D5}"/>
    <hyperlink ref="E85" r:id="rId97" display="mailto:perodici@milfordct.gov" xr:uid="{47788CEF-DA45-4F0D-8C91-BED07C3C6251}"/>
    <hyperlink ref="E26" r:id="rId98" display="mailto:jjaskot@cheshirect.org" xr:uid="{9C77910D-D2E5-490C-BD23-79535BFD01BC}"/>
    <hyperlink ref="F28" r:id="rId99" xr:uid="{DF09B2EE-8F84-4870-A5A4-F6CE8BAE5816}"/>
    <hyperlink ref="F165" r:id="rId100" display="mailto:souza@townofwindsorct.com" xr:uid="{286AC7AE-DAA5-4CCC-9ADE-112B554E08B0}"/>
  </hyperlinks>
  <printOptions horizontalCentered="1" gridLines="1"/>
  <pageMargins left="0.7" right="0.7" top="0.75" bottom="0.75" header="0.3" footer="0.3"/>
  <pageSetup scale="52" fitToHeight="0" orientation="landscape" r:id="rId101"/>
  <headerFooter>
    <oddHeader>&amp;F</oddHeader>
    <oddFooter>&amp;L&amp;"-,Bold"OPM - IGPP&amp;C&amp;D&amp;RPage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D606-7B63-42FE-8CAE-8DA4E5EA3907}">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45.109375" style="7" bestFit="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62</v>
      </c>
      <c r="B2" s="4">
        <v>0</v>
      </c>
      <c r="C2" s="3" t="s">
        <v>63</v>
      </c>
      <c r="D2" s="5">
        <v>1386277</v>
      </c>
      <c r="E2" s="3" t="s">
        <v>10</v>
      </c>
      <c r="F2" s="6" t="s">
        <v>63</v>
      </c>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1075</v>
      </c>
      <c r="C15" s="16">
        <v>1547</v>
      </c>
      <c r="D15" s="29" t="s">
        <v>24</v>
      </c>
      <c r="E15" s="17"/>
      <c r="F15" s="18" t="s">
        <v>64</v>
      </c>
    </row>
    <row r="16" spans="1:8" ht="16.2" thickBot="1" x14ac:dyDescent="0.35">
      <c r="A16" s="15" t="s">
        <v>25</v>
      </c>
      <c r="B16" s="12">
        <v>15881</v>
      </c>
      <c r="C16" s="12">
        <v>18665</v>
      </c>
      <c r="D16" s="29" t="s">
        <v>24</v>
      </c>
      <c r="E16" s="19"/>
      <c r="F16" s="20" t="s">
        <v>65</v>
      </c>
    </row>
    <row r="17" spans="1:6" ht="16.2" thickBot="1" x14ac:dyDescent="0.35">
      <c r="A17" s="15" t="s">
        <v>26</v>
      </c>
      <c r="B17" s="12">
        <v>6487</v>
      </c>
      <c r="C17" s="12">
        <v>16037</v>
      </c>
      <c r="D17" s="29" t="s">
        <v>24</v>
      </c>
      <c r="E17" s="19"/>
      <c r="F17" s="20" t="s">
        <v>66</v>
      </c>
    </row>
    <row r="18" spans="1:6" ht="16.2" thickBot="1" x14ac:dyDescent="0.35">
      <c r="A18" s="15" t="s">
        <v>27</v>
      </c>
      <c r="B18" s="12">
        <v>0</v>
      </c>
      <c r="C18" s="12">
        <v>0</v>
      </c>
      <c r="D18" s="30"/>
      <c r="E18" s="19"/>
      <c r="F18" s="20"/>
    </row>
    <row r="19" spans="1:6" ht="16.2" thickBot="1" x14ac:dyDescent="0.35">
      <c r="A19" s="15" t="s">
        <v>28</v>
      </c>
      <c r="B19" s="12">
        <v>0</v>
      </c>
      <c r="C19" s="12">
        <v>0</v>
      </c>
      <c r="D19" s="30"/>
      <c r="E19" s="19"/>
      <c r="F19" s="20"/>
    </row>
    <row r="20" spans="1:6" ht="16.2" thickBot="1" x14ac:dyDescent="0.35">
      <c r="A20" s="15" t="s">
        <v>29</v>
      </c>
      <c r="B20" s="12">
        <v>0</v>
      </c>
      <c r="C20" s="12">
        <v>0</v>
      </c>
      <c r="D20" s="30"/>
      <c r="E20" s="19"/>
      <c r="F20" s="20"/>
    </row>
    <row r="21" spans="1:6" ht="16.2" thickBot="1" x14ac:dyDescent="0.35">
      <c r="A21" s="15" t="s">
        <v>30</v>
      </c>
      <c r="B21" s="12">
        <v>165</v>
      </c>
      <c r="C21" s="12">
        <v>917</v>
      </c>
      <c r="D21" s="29" t="s">
        <v>24</v>
      </c>
      <c r="E21" s="19"/>
      <c r="F21" s="20" t="s">
        <v>67</v>
      </c>
    </row>
    <row r="22" spans="1:6" ht="16.2" thickBot="1" x14ac:dyDescent="0.35">
      <c r="A22" s="15" t="s">
        <v>68</v>
      </c>
      <c r="B22" s="12">
        <v>120</v>
      </c>
      <c r="C22" s="12">
        <v>120</v>
      </c>
      <c r="D22" s="29" t="s">
        <v>24</v>
      </c>
      <c r="E22" s="19"/>
      <c r="F22" s="20" t="s">
        <v>69</v>
      </c>
    </row>
    <row r="23" spans="1:6" ht="16.2" thickBot="1" x14ac:dyDescent="0.35">
      <c r="A23" s="15" t="s">
        <v>70</v>
      </c>
      <c r="B23" s="12">
        <v>595</v>
      </c>
      <c r="C23" s="12">
        <v>2000</v>
      </c>
      <c r="D23" s="29" t="s">
        <v>24</v>
      </c>
      <c r="E23" s="19"/>
      <c r="F23" s="20" t="s">
        <v>71</v>
      </c>
    </row>
    <row r="24" spans="1:6" ht="16.2" thickBot="1" x14ac:dyDescent="0.35">
      <c r="A24" s="15" t="s">
        <v>72</v>
      </c>
      <c r="B24" s="12">
        <v>525</v>
      </c>
      <c r="C24" s="12">
        <v>0</v>
      </c>
      <c r="D24" s="29" t="s">
        <v>24</v>
      </c>
      <c r="E24" s="19"/>
      <c r="F24" s="20" t="s">
        <v>73</v>
      </c>
    </row>
    <row r="25" spans="1:6" ht="16.2" thickBot="1" x14ac:dyDescent="0.35">
      <c r="A25" s="15" t="s">
        <v>74</v>
      </c>
      <c r="B25" s="12">
        <v>0</v>
      </c>
      <c r="C25" s="12">
        <v>1000</v>
      </c>
      <c r="D25" s="29" t="s">
        <v>24</v>
      </c>
      <c r="E25" s="19"/>
      <c r="F25" s="20" t="s">
        <v>75</v>
      </c>
    </row>
    <row r="26" spans="1:6" ht="16.2" thickBot="1" x14ac:dyDescent="0.35">
      <c r="A26" s="11"/>
      <c r="B26" s="12">
        <v>0</v>
      </c>
      <c r="C26" s="12">
        <v>0</v>
      </c>
      <c r="D26" s="30"/>
      <c r="E26" s="19"/>
      <c r="F26" s="20"/>
    </row>
    <row r="27" spans="1:6" ht="16.2" thickBot="1" x14ac:dyDescent="0.35">
      <c r="A27" s="21"/>
      <c r="B27" s="12">
        <v>0</v>
      </c>
      <c r="C27" s="12">
        <v>0</v>
      </c>
      <c r="D27" s="30"/>
      <c r="E27" s="19"/>
      <c r="F27" s="20"/>
    </row>
    <row r="28" spans="1:6" ht="16.2" thickBot="1" x14ac:dyDescent="0.35">
      <c r="A28" s="13" t="s">
        <v>32</v>
      </c>
      <c r="B28" s="22">
        <v>24848</v>
      </c>
      <c r="C28" s="22">
        <v>40286</v>
      </c>
      <c r="D28" s="23"/>
      <c r="E28" s="23"/>
      <c r="F28" s="24"/>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89B2-ABF2-4027-83F3-51DDD2F8194B}">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2155</v>
      </c>
      <c r="H1" s="384" t="s">
        <v>2156</v>
      </c>
    </row>
    <row r="2" spans="1:8" ht="43.8" thickBot="1" x14ac:dyDescent="0.35">
      <c r="A2" s="389" t="s">
        <v>2157</v>
      </c>
      <c r="B2" s="390" t="s">
        <v>2158</v>
      </c>
      <c r="C2" s="508" t="s">
        <v>2159</v>
      </c>
      <c r="D2" s="391">
        <v>16960925</v>
      </c>
      <c r="E2" s="389" t="s">
        <v>108</v>
      </c>
      <c r="F2" s="392"/>
      <c r="G2" s="391">
        <v>0</v>
      </c>
      <c r="H2" s="391"/>
    </row>
    <row r="4" spans="1:8" x14ac:dyDescent="0.3">
      <c r="A4" s="386" t="s">
        <v>11</v>
      </c>
    </row>
    <row r="6" spans="1:8" ht="16.2" thickBot="1" x14ac:dyDescent="0.35">
      <c r="A6" s="596" t="s">
        <v>12</v>
      </c>
      <c r="B6" s="10" t="s">
        <v>9</v>
      </c>
    </row>
    <row r="7" spans="1:8" ht="16.2" thickBot="1" x14ac:dyDescent="0.35">
      <c r="A7" s="595" t="s">
        <v>51</v>
      </c>
      <c r="B7" s="374">
        <v>0</v>
      </c>
    </row>
    <row r="8" spans="1:8" ht="16.2" thickBot="1" x14ac:dyDescent="0.35">
      <c r="A8" s="595" t="s">
        <v>53</v>
      </c>
      <c r="B8" s="374">
        <v>0</v>
      </c>
    </row>
    <row r="9" spans="1:8" ht="16.2" thickBot="1" x14ac:dyDescent="0.35">
      <c r="A9" s="595" t="s">
        <v>55</v>
      </c>
      <c r="B9" s="374">
        <v>97690</v>
      </c>
    </row>
    <row r="10" spans="1:8" ht="16.2" thickBot="1" x14ac:dyDescent="0.35">
      <c r="A10" s="595" t="s">
        <v>57</v>
      </c>
      <c r="B10" s="374">
        <v>73475</v>
      </c>
    </row>
    <row r="11" spans="1:8" ht="16.2" thickBot="1" x14ac:dyDescent="0.35">
      <c r="A11" s="595"/>
      <c r="B11" s="374">
        <v>0</v>
      </c>
    </row>
    <row r="12" spans="1:8" ht="16.2" thickBot="1" x14ac:dyDescent="0.35">
      <c r="A12" s="595"/>
      <c r="B12" s="10"/>
      <c r="C12" s="374">
        <f>SUM(B7:B11)</f>
        <v>171165</v>
      </c>
    </row>
    <row r="13" spans="1:8" x14ac:dyDescent="0.3">
      <c r="A13" s="594"/>
      <c r="C13" s="10" t="s">
        <v>9</v>
      </c>
    </row>
    <row r="15" spans="1:8" ht="31.2" x14ac:dyDescent="0.3">
      <c r="A15" s="384" t="s">
        <v>17</v>
      </c>
      <c r="B15" s="385" t="s">
        <v>18</v>
      </c>
      <c r="C15" s="384" t="s">
        <v>19</v>
      </c>
      <c r="D15" s="384" t="s">
        <v>20</v>
      </c>
      <c r="E15" s="384" t="s">
        <v>21</v>
      </c>
      <c r="F15" s="384" t="s">
        <v>22</v>
      </c>
    </row>
    <row r="16" spans="1:8" ht="16.2" thickBot="1" x14ac:dyDescent="0.35">
      <c r="A16" s="593" t="s">
        <v>23</v>
      </c>
      <c r="B16" s="382">
        <f>855.85+5032.32+5891.71+38761</f>
        <v>50540.880000000005</v>
      </c>
      <c r="C16" s="382">
        <v>67387.66</v>
      </c>
      <c r="D16" s="359"/>
      <c r="E16" s="359"/>
      <c r="F16" s="383"/>
    </row>
    <row r="17" spans="1:6" ht="16.2" thickBot="1" x14ac:dyDescent="0.35">
      <c r="A17" s="593" t="s">
        <v>25</v>
      </c>
      <c r="B17" s="374">
        <v>89680.76</v>
      </c>
      <c r="C17" s="374">
        <v>119574.34</v>
      </c>
      <c r="D17" s="387"/>
      <c r="E17" s="387"/>
      <c r="F17" s="377"/>
    </row>
    <row r="18" spans="1:6" ht="16.2" thickBot="1" x14ac:dyDescent="0.35">
      <c r="A18" s="593" t="s">
        <v>26</v>
      </c>
      <c r="B18" s="374">
        <v>11725</v>
      </c>
      <c r="C18" s="374">
        <v>15633.33</v>
      </c>
      <c r="D18" s="387"/>
      <c r="E18" s="387"/>
      <c r="F18" s="377"/>
    </row>
    <row r="19" spans="1:6" ht="16.2" thickBot="1" x14ac:dyDescent="0.35">
      <c r="A19" s="593" t="s">
        <v>27</v>
      </c>
      <c r="B19" s="374">
        <f>37262.43+1800</f>
        <v>39062.43</v>
      </c>
      <c r="C19" s="374">
        <v>52083.24</v>
      </c>
      <c r="D19" s="387"/>
      <c r="E19" s="387"/>
      <c r="F19" s="377"/>
    </row>
    <row r="20" spans="1:6" ht="16.2" thickBot="1" x14ac:dyDescent="0.35">
      <c r="A20" s="593" t="s">
        <v>28</v>
      </c>
      <c r="B20" s="374">
        <v>965.16</v>
      </c>
      <c r="C20" s="374">
        <v>1286.8800000000001</v>
      </c>
      <c r="D20" s="387"/>
      <c r="E20" s="387"/>
      <c r="F20" s="377"/>
    </row>
    <row r="21" spans="1:6" ht="16.2" thickBot="1" x14ac:dyDescent="0.35">
      <c r="A21" s="593" t="s">
        <v>29</v>
      </c>
      <c r="B21" s="374">
        <f>41015.5+12310</f>
        <v>53325.5</v>
      </c>
      <c r="C21" s="374">
        <v>71100.66</v>
      </c>
      <c r="D21" s="387"/>
      <c r="E21" s="387"/>
      <c r="F21" s="377"/>
    </row>
    <row r="22" spans="1:6" ht="16.2" thickBot="1" x14ac:dyDescent="0.35">
      <c r="A22" s="593" t="s">
        <v>30</v>
      </c>
      <c r="B22" s="374">
        <f>7818.93+984.39+2455+29222</f>
        <v>40480.32</v>
      </c>
      <c r="C22" s="374">
        <v>53973.760000000002</v>
      </c>
      <c r="D22" s="387"/>
      <c r="E22" s="387"/>
      <c r="F22" s="377"/>
    </row>
    <row r="23" spans="1:6" ht="16.2" thickBot="1" x14ac:dyDescent="0.35">
      <c r="A23" s="595"/>
      <c r="B23" s="374">
        <v>0</v>
      </c>
      <c r="C23" s="374">
        <v>0</v>
      </c>
      <c r="D23" s="387"/>
      <c r="E23" s="387"/>
      <c r="F23" s="377"/>
    </row>
    <row r="24" spans="1:6" ht="16.2" thickBot="1" x14ac:dyDescent="0.35">
      <c r="A24" s="595"/>
      <c r="B24" s="374">
        <v>0</v>
      </c>
      <c r="C24" s="374">
        <v>0</v>
      </c>
      <c r="D24" s="387"/>
      <c r="E24" s="387"/>
      <c r="F24" s="377"/>
    </row>
    <row r="25" spans="1:6" ht="16.2" thickBot="1" x14ac:dyDescent="0.35">
      <c r="A25" s="595"/>
      <c r="B25" s="374">
        <v>0</v>
      </c>
      <c r="C25" s="374">
        <v>0</v>
      </c>
      <c r="D25" s="387"/>
      <c r="E25" s="387"/>
      <c r="F25" s="377"/>
    </row>
    <row r="26" spans="1:6" ht="16.2" thickBot="1" x14ac:dyDescent="0.35">
      <c r="A26" s="595"/>
      <c r="B26" s="374">
        <v>0</v>
      </c>
      <c r="C26" s="374">
        <v>0</v>
      </c>
      <c r="D26" s="387"/>
      <c r="E26" s="387"/>
      <c r="F26" s="377"/>
    </row>
    <row r="27" spans="1:6" ht="16.2" thickBot="1" x14ac:dyDescent="0.35">
      <c r="A27" s="595"/>
      <c r="B27" s="374">
        <v>0</v>
      </c>
      <c r="C27" s="374">
        <v>0</v>
      </c>
      <c r="D27" s="387"/>
      <c r="E27" s="387"/>
      <c r="F27" s="377"/>
    </row>
    <row r="28" spans="1:6" ht="16.2" thickBot="1" x14ac:dyDescent="0.35">
      <c r="A28" s="378"/>
      <c r="B28" s="374">
        <v>0</v>
      </c>
      <c r="C28" s="374">
        <v>0</v>
      </c>
      <c r="D28" s="387"/>
      <c r="E28" s="387"/>
      <c r="F28" s="377"/>
    </row>
    <row r="29" spans="1:6" ht="16.2" thickBot="1" x14ac:dyDescent="0.35">
      <c r="A29" s="594" t="s">
        <v>32</v>
      </c>
      <c r="B29" s="379">
        <f>SUM(B16:B28)</f>
        <v>285780.05</v>
      </c>
      <c r="C29" s="379">
        <f>SUM(C16:C28)</f>
        <v>381039.87</v>
      </c>
      <c r="D29" s="388"/>
      <c r="E29" s="388"/>
      <c r="F29" s="380"/>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8F3D-8A9A-4760-94E0-1B1B45C46E55}">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94.2" thickBot="1" x14ac:dyDescent="0.35">
      <c r="A2" s="3" t="s">
        <v>982</v>
      </c>
      <c r="B2" s="4">
        <v>45000</v>
      </c>
      <c r="C2" s="3" t="s">
        <v>983</v>
      </c>
      <c r="D2" s="5">
        <v>7492795</v>
      </c>
      <c r="E2" s="3" t="s">
        <v>10</v>
      </c>
      <c r="F2" s="6" t="s">
        <v>984</v>
      </c>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2200</v>
      </c>
    </row>
    <row r="9" spans="1:8" ht="16.2" thickBot="1" x14ac:dyDescent="0.35">
      <c r="A9" s="11"/>
      <c r="B9" s="12">
        <v>0</v>
      </c>
    </row>
    <row r="10" spans="1:8" ht="16.2" thickBot="1" x14ac:dyDescent="0.35">
      <c r="A10" s="11"/>
      <c r="B10" s="12">
        <v>0</v>
      </c>
    </row>
    <row r="11" spans="1:8" ht="16.2" thickBot="1" x14ac:dyDescent="0.35">
      <c r="A11" s="11"/>
      <c r="B11" s="10"/>
      <c r="C11" s="12">
        <v>2200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669.87</v>
      </c>
      <c r="C15" s="16">
        <v>1200</v>
      </c>
      <c r="D15" s="29" t="s">
        <v>24</v>
      </c>
      <c r="E15" s="29" t="s">
        <v>79</v>
      </c>
      <c r="F15" s="18"/>
    </row>
    <row r="16" spans="1:8" ht="16.2" thickBot="1" x14ac:dyDescent="0.35">
      <c r="A16" s="15" t="s">
        <v>25</v>
      </c>
      <c r="B16" s="12">
        <v>2000.72</v>
      </c>
      <c r="C16" s="12">
        <v>500</v>
      </c>
      <c r="D16" s="29" t="s">
        <v>24</v>
      </c>
      <c r="E16" s="30" t="s">
        <v>79</v>
      </c>
      <c r="F16" s="20"/>
    </row>
    <row r="17" spans="1:6" ht="16.2" thickBot="1" x14ac:dyDescent="0.35">
      <c r="A17" s="15" t="s">
        <v>26</v>
      </c>
      <c r="B17" s="12">
        <v>240</v>
      </c>
      <c r="C17" s="12">
        <v>0</v>
      </c>
      <c r="D17" s="29" t="s">
        <v>24</v>
      </c>
      <c r="E17" s="30" t="s">
        <v>79</v>
      </c>
      <c r="F17" s="20"/>
    </row>
    <row r="18" spans="1:6" ht="16.2" thickBot="1" x14ac:dyDescent="0.35">
      <c r="A18" s="15" t="s">
        <v>27</v>
      </c>
      <c r="B18" s="12">
        <v>0</v>
      </c>
      <c r="C18" s="12">
        <v>0</v>
      </c>
      <c r="D18" s="29"/>
      <c r="E18" s="30"/>
      <c r="F18" s="20"/>
    </row>
    <row r="19" spans="1:6" ht="16.2" thickBot="1" x14ac:dyDescent="0.35">
      <c r="A19" s="15" t="s">
        <v>28</v>
      </c>
      <c r="B19" s="12">
        <v>0</v>
      </c>
      <c r="C19" s="12">
        <v>0</v>
      </c>
      <c r="D19" s="29"/>
      <c r="E19" s="30"/>
      <c r="F19" s="20"/>
    </row>
    <row r="20" spans="1:6" ht="16.2" thickBot="1" x14ac:dyDescent="0.35">
      <c r="A20" s="15" t="s">
        <v>29</v>
      </c>
      <c r="B20" s="12">
        <v>0</v>
      </c>
      <c r="C20" s="12">
        <v>0</v>
      </c>
      <c r="D20" s="29"/>
      <c r="E20" s="30"/>
      <c r="F20" s="20"/>
    </row>
    <row r="21" spans="1:6" ht="16.2" thickBot="1" x14ac:dyDescent="0.35">
      <c r="A21" s="15" t="s">
        <v>30</v>
      </c>
      <c r="B21" s="12">
        <v>2581.02</v>
      </c>
      <c r="C21" s="12">
        <v>2000</v>
      </c>
      <c r="D21" s="29" t="s">
        <v>24</v>
      </c>
      <c r="E21" s="30" t="s">
        <v>79</v>
      </c>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5491.6100000000006</v>
      </c>
      <c r="C28" s="22">
        <v>3700</v>
      </c>
      <c r="D28" s="23"/>
      <c r="E28" s="23"/>
      <c r="F28" s="24"/>
    </row>
  </sheetData>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BD059-4C91-45C0-8738-CD9164342C6B}">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9.599999999999994" thickBot="1" x14ac:dyDescent="0.35">
      <c r="A2" s="3" t="s">
        <v>976</v>
      </c>
      <c r="B2" s="4">
        <v>21694</v>
      </c>
      <c r="C2" s="51" t="s">
        <v>977</v>
      </c>
      <c r="D2" s="5">
        <v>3133646</v>
      </c>
      <c r="E2" s="3" t="s">
        <v>108</v>
      </c>
      <c r="F2" s="6" t="s">
        <v>657</v>
      </c>
      <c r="G2" s="5" t="s">
        <v>420</v>
      </c>
      <c r="H2" s="5" t="s">
        <v>420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21694</v>
      </c>
    </row>
    <row r="9" spans="1:8" ht="16.2" thickBot="1" x14ac:dyDescent="0.35">
      <c r="A9" s="11"/>
      <c r="B9" s="12">
        <v>0</v>
      </c>
    </row>
    <row r="10" spans="1:8" ht="16.2" thickBot="1" x14ac:dyDescent="0.35">
      <c r="A10" s="11"/>
      <c r="B10" s="12">
        <v>0</v>
      </c>
    </row>
    <row r="11" spans="1:8" ht="16.2" thickBot="1" x14ac:dyDescent="0.35">
      <c r="A11" s="11"/>
      <c r="B11" s="10"/>
      <c r="C11" s="12">
        <v>21694</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1000</v>
      </c>
      <c r="D15" s="17" t="s">
        <v>423</v>
      </c>
      <c r="E15" s="17" t="s">
        <v>212</v>
      </c>
      <c r="F15" s="18" t="s">
        <v>978</v>
      </c>
    </row>
    <row r="16" spans="1:8" ht="16.2" thickBot="1" x14ac:dyDescent="0.35">
      <c r="A16" s="15" t="s">
        <v>25</v>
      </c>
      <c r="B16" s="12">
        <v>0</v>
      </c>
      <c r="C16" s="12">
        <v>1500</v>
      </c>
      <c r="D16" s="19" t="s">
        <v>423</v>
      </c>
      <c r="E16" s="17" t="s">
        <v>212</v>
      </c>
      <c r="F16" s="20" t="s">
        <v>979</v>
      </c>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0</v>
      </c>
      <c r="C21" s="12">
        <v>6000</v>
      </c>
      <c r="D21" s="19" t="s">
        <v>423</v>
      </c>
      <c r="E21" s="17" t="s">
        <v>212</v>
      </c>
      <c r="F21" s="20" t="s">
        <v>980</v>
      </c>
    </row>
    <row r="22" spans="1:6" ht="16.2" thickBot="1" x14ac:dyDescent="0.35">
      <c r="A22" s="11"/>
      <c r="B22" s="12">
        <v>0</v>
      </c>
      <c r="C22" s="12">
        <v>0</v>
      </c>
      <c r="D22" s="19"/>
      <c r="E22" s="19"/>
      <c r="F22" s="20" t="s">
        <v>981</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0</v>
      </c>
      <c r="C28" s="22">
        <v>8500</v>
      </c>
      <c r="D28" s="23"/>
      <c r="E28" s="23"/>
      <c r="F28" s="24"/>
    </row>
  </sheetData>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E3D4-B8EC-4631-9616-71838EE6DB19}">
  <dimension ref="A1:H32"/>
  <sheetViews>
    <sheetView topLeftCell="A13" workbookViewId="0">
      <selection activeCell="A32" sqref="A32"/>
    </sheetView>
  </sheetViews>
  <sheetFormatPr defaultRowHeight="14.4" x14ac:dyDescent="0.3"/>
  <cols>
    <col min="1" max="1" width="42.5546875" bestFit="1" customWidth="1"/>
    <col min="2" max="2" width="26.6640625" customWidth="1"/>
    <col min="3" max="3" width="27.33203125" customWidth="1"/>
    <col min="4" max="4" width="18.6640625" customWidth="1"/>
    <col min="5" max="5" width="27.88671875" customWidth="1"/>
    <col min="6" max="6" width="17.6640625" bestFit="1" customWidth="1"/>
    <col min="7" max="7" width="21.44140625" customWidth="1"/>
    <col min="8" max="8" width="17.5546875" bestFit="1" customWidth="1"/>
  </cols>
  <sheetData>
    <row r="1" spans="1:8" ht="31.8" thickBot="1" x14ac:dyDescent="0.35">
      <c r="A1" s="384" t="s">
        <v>0</v>
      </c>
      <c r="B1" s="384" t="s">
        <v>1</v>
      </c>
      <c r="C1" s="384" t="s">
        <v>2</v>
      </c>
      <c r="D1" s="384" t="s">
        <v>3</v>
      </c>
      <c r="E1" s="384" t="s">
        <v>4</v>
      </c>
      <c r="F1" s="384" t="s">
        <v>5</v>
      </c>
      <c r="G1" s="384" t="s">
        <v>6</v>
      </c>
      <c r="H1" s="384" t="s">
        <v>7</v>
      </c>
    </row>
    <row r="2" spans="1:8" ht="31.8" thickBot="1" x14ac:dyDescent="0.35">
      <c r="A2" s="389" t="s">
        <v>2528</v>
      </c>
      <c r="B2" s="390">
        <v>48500000</v>
      </c>
      <c r="C2" s="389" t="s">
        <v>2359</v>
      </c>
      <c r="D2" s="391">
        <v>31725000</v>
      </c>
      <c r="E2" s="389" t="s">
        <v>525</v>
      </c>
      <c r="F2" s="392" t="s">
        <v>2360</v>
      </c>
      <c r="G2" s="391">
        <v>0</v>
      </c>
      <c r="H2" s="391">
        <v>-48500000</v>
      </c>
    </row>
    <row r="3" spans="1:8" ht="15.6" x14ac:dyDescent="0.3">
      <c r="A3" s="372"/>
      <c r="B3" s="372"/>
      <c r="C3" s="372"/>
      <c r="D3" s="372"/>
      <c r="E3" s="372"/>
      <c r="F3" s="372"/>
      <c r="G3" s="372"/>
      <c r="H3" s="372"/>
    </row>
    <row r="4" spans="1:8" ht="15.6" x14ac:dyDescent="0.3">
      <c r="A4" s="386" t="s">
        <v>11</v>
      </c>
      <c r="B4" s="372"/>
      <c r="C4" s="372"/>
      <c r="D4" s="372"/>
      <c r="E4" s="372"/>
      <c r="F4" s="372"/>
      <c r="G4" s="372"/>
      <c r="H4" s="372"/>
    </row>
    <row r="5" spans="1:8" ht="15.6" x14ac:dyDescent="0.3">
      <c r="A5" s="372"/>
      <c r="B5" s="372"/>
      <c r="C5" s="372"/>
      <c r="D5" s="372"/>
      <c r="E5" s="372"/>
      <c r="F5" s="372"/>
      <c r="G5" s="372"/>
      <c r="H5" s="372"/>
    </row>
    <row r="6" spans="1:8" ht="16.2" thickBot="1" x14ac:dyDescent="0.35">
      <c r="A6" s="696" t="s">
        <v>12</v>
      </c>
      <c r="B6" s="10" t="s">
        <v>9</v>
      </c>
      <c r="C6" s="372"/>
      <c r="D6" s="372"/>
      <c r="E6" s="372"/>
      <c r="F6" s="372"/>
      <c r="G6" s="372"/>
      <c r="H6" s="372"/>
    </row>
    <row r="7" spans="1:8" ht="16.2" thickBot="1" x14ac:dyDescent="0.35">
      <c r="A7" s="695" t="s">
        <v>51</v>
      </c>
      <c r="B7" s="374">
        <v>3500000</v>
      </c>
      <c r="C7" s="372"/>
      <c r="D7" s="372"/>
      <c r="E7" s="372"/>
      <c r="F7" s="372"/>
      <c r="G7" s="372"/>
      <c r="H7" s="372"/>
    </row>
    <row r="8" spans="1:8" ht="16.2" thickBot="1" x14ac:dyDescent="0.35">
      <c r="A8" s="695" t="s">
        <v>53</v>
      </c>
      <c r="B8" s="374">
        <v>45000000</v>
      </c>
      <c r="C8" s="372"/>
      <c r="D8" s="372"/>
      <c r="E8" s="372"/>
      <c r="F8" s="372"/>
      <c r="G8" s="372"/>
      <c r="H8" s="372"/>
    </row>
    <row r="9" spans="1:8" ht="16.2" thickBot="1" x14ac:dyDescent="0.35">
      <c r="A9" s="695" t="s">
        <v>55</v>
      </c>
      <c r="B9" s="374">
        <v>0</v>
      </c>
      <c r="C9" s="372"/>
      <c r="D9" s="372"/>
      <c r="E9" s="372"/>
      <c r="F9" s="372"/>
      <c r="G9" s="372"/>
      <c r="H9" s="372"/>
    </row>
    <row r="10" spans="1:8" ht="16.2" thickBot="1" x14ac:dyDescent="0.35">
      <c r="A10" s="695" t="s">
        <v>57</v>
      </c>
      <c r="B10" s="374">
        <v>0</v>
      </c>
      <c r="C10" s="372"/>
      <c r="D10" s="372"/>
      <c r="E10" s="372"/>
      <c r="F10" s="372"/>
      <c r="G10" s="372"/>
      <c r="H10" s="372"/>
    </row>
    <row r="11" spans="1:8" ht="16.2" thickBot="1" x14ac:dyDescent="0.35">
      <c r="A11" s="695"/>
      <c r="B11" s="374">
        <v>0</v>
      </c>
      <c r="C11" s="372"/>
      <c r="D11" s="372"/>
      <c r="E11" s="372"/>
      <c r="F11" s="372"/>
      <c r="G11" s="372"/>
      <c r="H11" s="372"/>
    </row>
    <row r="12" spans="1:8" ht="16.2" thickBot="1" x14ac:dyDescent="0.35">
      <c r="A12" s="695"/>
      <c r="B12" s="10"/>
      <c r="C12" s="374">
        <f>SUM(B7:B11)</f>
        <v>48500000</v>
      </c>
      <c r="D12" s="372"/>
      <c r="E12" s="372"/>
      <c r="F12" s="372"/>
      <c r="G12" s="372"/>
      <c r="H12" s="372"/>
    </row>
    <row r="13" spans="1:8" ht="15.6" x14ac:dyDescent="0.3">
      <c r="A13" s="694"/>
      <c r="B13" s="372"/>
      <c r="C13" s="10" t="s">
        <v>9</v>
      </c>
      <c r="D13" s="372"/>
      <c r="E13" s="372"/>
      <c r="F13" s="372"/>
      <c r="G13" s="372"/>
      <c r="H13" s="372"/>
    </row>
    <row r="14" spans="1:8" ht="46.8" x14ac:dyDescent="0.3">
      <c r="A14" s="384" t="s">
        <v>17</v>
      </c>
      <c r="B14" s="385" t="s">
        <v>18</v>
      </c>
      <c r="C14" s="384" t="s">
        <v>19</v>
      </c>
      <c r="D14" s="384" t="s">
        <v>20</v>
      </c>
      <c r="E14" s="384" t="s">
        <v>21</v>
      </c>
      <c r="F14" s="384" t="s">
        <v>22</v>
      </c>
    </row>
    <row r="15" spans="1:8" ht="16.2" thickBot="1" x14ac:dyDescent="0.35">
      <c r="A15" s="693" t="s">
        <v>23</v>
      </c>
      <c r="B15" s="382">
        <f>[2]IT!B2+'[2]Fire Dept'!B2+[2]EM!B2+[2]PD!B2+[2]PW!B2+[2]BOE!B2</f>
        <v>31037.9</v>
      </c>
      <c r="C15" s="382">
        <f>[2]IT!C2+'[2]Fire Dept'!C2+[2]EM!C2+[2]PD!C2+[2]PW!C2+[2]BOE!C2</f>
        <v>50596</v>
      </c>
      <c r="D15" s="382"/>
      <c r="E15" s="382" t="s">
        <v>79</v>
      </c>
      <c r="F15" s="382"/>
    </row>
    <row r="16" spans="1:8" ht="16.2" thickBot="1" x14ac:dyDescent="0.35">
      <c r="A16" s="693" t="s">
        <v>25</v>
      </c>
      <c r="B16" s="382">
        <f>[2]IT!B3+'[2]Fire Dept'!B3+[2]EM!B3+[2]PD!B3+[2]PW!B3+[2]BOE!B3</f>
        <v>250110.47</v>
      </c>
      <c r="C16" s="382">
        <f>[2]IT!C3+'[2]Fire Dept'!C3+[2]EM!C3+[2]PD!C3+[2]PW!C3+[2]BOE!C3</f>
        <v>587458</v>
      </c>
      <c r="D16" s="382"/>
      <c r="E16" s="382">
        <f>[2]IT!E3+'[2]Fire Dept'!E3+[2]PD!E3+[2]PW!E3</f>
        <v>0</v>
      </c>
      <c r="F16" s="382"/>
    </row>
    <row r="17" spans="1:6" ht="16.2" thickBot="1" x14ac:dyDescent="0.35">
      <c r="A17" s="693" t="s">
        <v>26</v>
      </c>
      <c r="B17" s="382">
        <f>[2]IT!B4+'[2]Fire Dept'!B4+[2]EM!B4+[2]PD!B4+[2]PW!B4+[2]BOE!B4</f>
        <v>187348.13</v>
      </c>
      <c r="C17" s="382">
        <f>[2]IT!C4+'[2]Fire Dept'!C4+[2]EM!C4+[2]PD!C4+[2]PW!C4+[2]BOE!C4</f>
        <v>562692</v>
      </c>
      <c r="D17" s="382"/>
      <c r="E17" s="382" t="s">
        <v>79</v>
      </c>
      <c r="F17" s="382"/>
    </row>
    <row r="18" spans="1:6" ht="16.2" thickBot="1" x14ac:dyDescent="0.35">
      <c r="A18" s="693" t="s">
        <v>27</v>
      </c>
      <c r="B18" s="382">
        <f>[2]IT!B5+'[2]Fire Dept'!B5+[2]EM!B5+[2]PD!B5+[2]PW!B5+[2]BOE!B5</f>
        <v>0</v>
      </c>
      <c r="C18" s="382">
        <f>[2]IT!C5+'[2]Fire Dept'!C5+[2]EM!C5+[2]PD!C5+[2]PW!C5+[2]BOE!C5</f>
        <v>0</v>
      </c>
      <c r="D18" s="382"/>
      <c r="E18" s="382">
        <f>[2]IT!E5+'[2]Fire Dept'!E5+[2]PD!E5+[2]PW!E5</f>
        <v>0</v>
      </c>
      <c r="F18" s="382"/>
    </row>
    <row r="19" spans="1:6" ht="16.2" thickBot="1" x14ac:dyDescent="0.35">
      <c r="A19" s="693" t="s">
        <v>28</v>
      </c>
      <c r="B19" s="382">
        <f>[2]IT!B6+'[2]Fire Dept'!B6+[2]EM!B6+[2]PD!B6+[2]PW!B6+[2]BOE!B6</f>
        <v>1300.54</v>
      </c>
      <c r="C19" s="382">
        <f>[2]IT!C6+'[2]Fire Dept'!C6+[2]EM!C6+[2]PD!C6+[2]PW!C6+[2]BOE!C6</f>
        <v>2000</v>
      </c>
      <c r="D19" s="382"/>
      <c r="E19" s="382">
        <f>[2]IT!E6+'[2]Fire Dept'!E6+[2]PD!E6+[2]PW!E6</f>
        <v>0</v>
      </c>
      <c r="F19" s="382"/>
    </row>
    <row r="20" spans="1:6" ht="16.2" thickBot="1" x14ac:dyDescent="0.35">
      <c r="A20" s="693" t="s">
        <v>29</v>
      </c>
      <c r="B20" s="382">
        <f>[2]IT!B7+'[2]Fire Dept'!B7+[2]EM!B7+[2]PD!B7+[2]PW!B7+[2]BOE!B7</f>
        <v>107181.89</v>
      </c>
      <c r="C20" s="382">
        <f>[2]IT!C7+'[2]Fire Dept'!C7+[2]EM!C7+[2]PD!C7+[2]PW!C7+[2]BOE!C7</f>
        <v>157310</v>
      </c>
      <c r="D20" s="382"/>
      <c r="E20" s="382" t="s">
        <v>79</v>
      </c>
      <c r="F20" s="382"/>
    </row>
    <row r="21" spans="1:6" ht="16.2" thickBot="1" x14ac:dyDescent="0.35">
      <c r="A21" s="693" t="s">
        <v>30</v>
      </c>
      <c r="B21" s="382">
        <f>[2]IT!B8+'[2]Fire Dept'!B8+[2]EM!B8+[2]PD!B8+[2]PW!B8+[2]BOE!B8</f>
        <v>25772.34</v>
      </c>
      <c r="C21" s="382">
        <f>[2]IT!C8+'[2]Fire Dept'!C8+[2]EM!C8+[2]PD!C8+[2]PW!C8+[2]BOE!C8</f>
        <v>60000</v>
      </c>
      <c r="D21" s="382"/>
      <c r="E21" s="382" t="s">
        <v>79</v>
      </c>
      <c r="F21" s="382"/>
    </row>
    <row r="22" spans="1:6" ht="16.2" thickBot="1" x14ac:dyDescent="0.35">
      <c r="A22" s="695"/>
      <c r="B22" s="382"/>
      <c r="C22" s="374"/>
      <c r="D22" s="387"/>
      <c r="E22" s="387"/>
      <c r="F22" s="377"/>
    </row>
    <row r="23" spans="1:6" ht="16.2" thickBot="1" x14ac:dyDescent="0.35">
      <c r="A23" s="695"/>
      <c r="B23" s="374"/>
      <c r="C23" s="374"/>
      <c r="D23" s="387"/>
      <c r="E23" s="387"/>
      <c r="F23" s="377"/>
    </row>
    <row r="24" spans="1:6" ht="16.2" thickBot="1" x14ac:dyDescent="0.35">
      <c r="A24" s="695"/>
      <c r="B24" s="374"/>
      <c r="C24" s="374"/>
      <c r="D24" s="387"/>
      <c r="E24" s="387"/>
      <c r="F24" s="377"/>
    </row>
    <row r="25" spans="1:6" ht="16.2" thickBot="1" x14ac:dyDescent="0.35">
      <c r="A25" s="695"/>
      <c r="B25" s="374"/>
      <c r="C25" s="374"/>
      <c r="D25" s="387"/>
      <c r="E25" s="387"/>
      <c r="F25" s="377"/>
    </row>
    <row r="26" spans="1:6" ht="16.2" thickBot="1" x14ac:dyDescent="0.35">
      <c r="A26" s="695"/>
      <c r="B26" s="374"/>
      <c r="C26" s="374"/>
      <c r="D26" s="387"/>
      <c r="E26" s="387"/>
      <c r="F26" s="377"/>
    </row>
    <row r="27" spans="1:6" ht="16.2" thickBot="1" x14ac:dyDescent="0.35">
      <c r="A27" s="378"/>
      <c r="B27" s="374"/>
      <c r="C27" s="374"/>
      <c r="D27" s="387"/>
      <c r="E27" s="387"/>
      <c r="F27" s="377"/>
    </row>
    <row r="28" spans="1:6" ht="16.2" thickBot="1" x14ac:dyDescent="0.35">
      <c r="A28" s="694" t="s">
        <v>32</v>
      </c>
      <c r="B28" s="379">
        <f>SUM(B15:B27)</f>
        <v>602751.2699999999</v>
      </c>
      <c r="C28" s="379">
        <f>SUM(C15:C27)</f>
        <v>1420056</v>
      </c>
      <c r="D28" s="388"/>
      <c r="E28" s="388"/>
      <c r="F28" s="380"/>
    </row>
    <row r="29" spans="1:6" ht="15.6" x14ac:dyDescent="0.3">
      <c r="A29" s="372"/>
      <c r="B29" s="372"/>
      <c r="C29" s="372"/>
      <c r="D29" s="372"/>
      <c r="E29" s="372"/>
      <c r="F29" s="372"/>
    </row>
    <row r="30" spans="1:6" x14ac:dyDescent="0.3">
      <c r="B30">
        <v>-470084</v>
      </c>
      <c r="C30">
        <v>-1193084</v>
      </c>
    </row>
    <row r="32" spans="1:6" x14ac:dyDescent="0.3">
      <c r="B32" s="697">
        <f>SUM(B28:B30)</f>
        <v>132667.2699999999</v>
      </c>
      <c r="C32" s="697">
        <f>SUM(C28:C30)</f>
        <v>226972</v>
      </c>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DE2E-D7E9-4D2A-9EAA-78A7CA76A7B6}">
  <dimension ref="A1:H35"/>
  <sheetViews>
    <sheetView topLeftCell="A16" workbookViewId="0">
      <selection activeCell="E11" sqref="E11:J11"/>
    </sheetView>
  </sheetViews>
  <sheetFormatPr defaultColWidth="9.109375" defaultRowHeight="15.6" x14ac:dyDescent="0.3"/>
  <cols>
    <col min="1" max="1" width="36.6640625" style="7" customWidth="1"/>
    <col min="2" max="2" width="20.44140625" style="7" customWidth="1"/>
    <col min="3" max="3" width="27.5546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957</v>
      </c>
      <c r="B2" s="4">
        <v>6000</v>
      </c>
      <c r="C2" s="3" t="s">
        <v>958</v>
      </c>
      <c r="D2" s="5">
        <v>27000000</v>
      </c>
      <c r="E2" s="3" t="s">
        <v>10</v>
      </c>
      <c r="F2" s="3" t="s">
        <v>959</v>
      </c>
      <c r="G2" s="5">
        <v>0</v>
      </c>
      <c r="H2" s="5">
        <v>0</v>
      </c>
    </row>
    <row r="3" spans="1:8" ht="16.2" thickBot="1" x14ac:dyDescent="0.35">
      <c r="A3" s="207"/>
      <c r="B3" s="4">
        <v>203000</v>
      </c>
      <c r="C3" s="3" t="s">
        <v>960</v>
      </c>
      <c r="D3" s="208"/>
      <c r="E3" s="207"/>
      <c r="F3" s="207"/>
      <c r="G3" s="208"/>
      <c r="H3" s="208"/>
    </row>
    <row r="4" spans="1:8" ht="63" thickBot="1" x14ac:dyDescent="0.35">
      <c r="A4" s="207"/>
      <c r="B4" s="4">
        <v>4371.5</v>
      </c>
      <c r="C4" s="3" t="s">
        <v>961</v>
      </c>
      <c r="D4" s="208"/>
      <c r="E4" s="207"/>
      <c r="F4" s="209"/>
      <c r="G4" s="208"/>
      <c r="H4" s="208"/>
    </row>
    <row r="5" spans="1:8" ht="78.599999999999994" thickBot="1" x14ac:dyDescent="0.35">
      <c r="A5" s="207"/>
      <c r="B5" s="4">
        <v>8850</v>
      </c>
      <c r="C5" s="3" t="s">
        <v>962</v>
      </c>
      <c r="D5" s="208"/>
      <c r="E5" s="207"/>
      <c r="F5" s="209"/>
      <c r="G5" s="208"/>
      <c r="H5" s="208"/>
    </row>
    <row r="6" spans="1:8" ht="63" thickBot="1" x14ac:dyDescent="0.35">
      <c r="B6" s="4">
        <v>76843.289999999994</v>
      </c>
      <c r="C6" s="3" t="s">
        <v>963</v>
      </c>
    </row>
    <row r="7" spans="1:8" ht="78.599999999999994" thickBot="1" x14ac:dyDescent="0.35">
      <c r="B7" s="4">
        <v>1000</v>
      </c>
      <c r="C7" s="3" t="s">
        <v>964</v>
      </c>
    </row>
    <row r="8" spans="1:8" ht="63" thickBot="1" x14ac:dyDescent="0.35">
      <c r="B8" s="4">
        <v>10620</v>
      </c>
      <c r="C8" s="3" t="s">
        <v>965</v>
      </c>
    </row>
    <row r="9" spans="1:8" ht="31.8" thickBot="1" x14ac:dyDescent="0.35">
      <c r="A9" s="2" t="s">
        <v>966</v>
      </c>
      <c r="B9" s="4">
        <v>310684.78999999998</v>
      </c>
      <c r="C9" s="207"/>
    </row>
    <row r="10" spans="1:8" x14ac:dyDescent="0.3">
      <c r="A10" s="8" t="s">
        <v>11</v>
      </c>
    </row>
    <row r="12" spans="1:8" ht="16.2" thickBot="1" x14ac:dyDescent="0.35">
      <c r="A12" s="9" t="s">
        <v>12</v>
      </c>
      <c r="B12" s="10" t="s">
        <v>9</v>
      </c>
    </row>
    <row r="13" spans="1:8" ht="16.2" thickBot="1" x14ac:dyDescent="0.35">
      <c r="A13" s="11" t="s">
        <v>13</v>
      </c>
      <c r="B13" s="12">
        <v>500000</v>
      </c>
    </row>
    <row r="14" spans="1:8" ht="16.2" thickBot="1" x14ac:dyDescent="0.35">
      <c r="A14" s="11" t="s">
        <v>14</v>
      </c>
      <c r="B14" s="12">
        <v>0</v>
      </c>
    </row>
    <row r="15" spans="1:8" ht="16.2" thickBot="1" x14ac:dyDescent="0.35">
      <c r="A15" s="11"/>
      <c r="B15" s="12">
        <v>0</v>
      </c>
    </row>
    <row r="16" spans="1:8" ht="16.2" thickBot="1" x14ac:dyDescent="0.35">
      <c r="A16" s="11"/>
      <c r="B16" s="12">
        <v>0</v>
      </c>
    </row>
    <row r="17" spans="1:6" ht="16.2" thickBot="1" x14ac:dyDescent="0.35">
      <c r="A17" s="11"/>
      <c r="B17" s="10"/>
      <c r="C17" s="12">
        <v>500000</v>
      </c>
    </row>
    <row r="18" spans="1:6" x14ac:dyDescent="0.3">
      <c r="A18" s="13"/>
      <c r="C18" s="10" t="s">
        <v>9</v>
      </c>
    </row>
    <row r="20" spans="1:6" ht="31.2" x14ac:dyDescent="0.3">
      <c r="A20" s="1" t="s">
        <v>17</v>
      </c>
      <c r="B20" s="14" t="s">
        <v>18</v>
      </c>
      <c r="C20" s="1" t="s">
        <v>19</v>
      </c>
      <c r="D20" s="1" t="s">
        <v>20</v>
      </c>
      <c r="E20" s="1" t="s">
        <v>21</v>
      </c>
      <c r="F20" s="1" t="s">
        <v>22</v>
      </c>
    </row>
    <row r="21" spans="1:6" ht="16.2" thickBot="1" x14ac:dyDescent="0.35">
      <c r="A21" s="15" t="s">
        <v>23</v>
      </c>
      <c r="B21" s="16">
        <v>33444.78</v>
      </c>
      <c r="C21" s="16">
        <v>49135.93</v>
      </c>
      <c r="D21" s="29" t="s">
        <v>24</v>
      </c>
      <c r="E21" s="17"/>
      <c r="F21" s="18"/>
    </row>
    <row r="22" spans="1:6" ht="16.2" thickBot="1" x14ac:dyDescent="0.35">
      <c r="A22" s="15" t="s">
        <v>25</v>
      </c>
      <c r="B22" s="12">
        <v>29349.620000000003</v>
      </c>
      <c r="C22" s="12">
        <v>43779.619999999995</v>
      </c>
      <c r="D22" s="30" t="s">
        <v>24</v>
      </c>
      <c r="E22" s="19"/>
      <c r="F22" s="20"/>
    </row>
    <row r="23" spans="1:6" ht="16.2" thickBot="1" x14ac:dyDescent="0.35">
      <c r="A23" s="15" t="s">
        <v>26</v>
      </c>
      <c r="B23" s="12">
        <v>7055.37</v>
      </c>
      <c r="C23" s="12">
        <v>23500</v>
      </c>
      <c r="D23" s="30" t="s">
        <v>10</v>
      </c>
      <c r="E23" s="19"/>
      <c r="F23" s="20"/>
    </row>
    <row r="24" spans="1:6" ht="16.2" thickBot="1" x14ac:dyDescent="0.35">
      <c r="A24" s="15" t="s">
        <v>27</v>
      </c>
      <c r="B24" s="12">
        <v>113417.58</v>
      </c>
      <c r="C24" s="12">
        <v>258622.41</v>
      </c>
      <c r="D24" s="30" t="s">
        <v>24</v>
      </c>
      <c r="E24" s="19"/>
      <c r="F24" s="20"/>
    </row>
    <row r="25" spans="1:6" ht="16.2" thickBot="1" x14ac:dyDescent="0.35">
      <c r="A25" s="15" t="s">
        <v>28</v>
      </c>
      <c r="B25" s="12">
        <v>122</v>
      </c>
      <c r="C25" s="12">
        <v>122</v>
      </c>
      <c r="D25" s="30" t="s">
        <v>24</v>
      </c>
      <c r="E25" s="19"/>
      <c r="F25" s="20"/>
    </row>
    <row r="26" spans="1:6" ht="31.8" thickBot="1" x14ac:dyDescent="0.35">
      <c r="A26" s="121" t="s">
        <v>967</v>
      </c>
      <c r="B26" s="12">
        <v>7816.34</v>
      </c>
      <c r="C26" s="12">
        <v>16035.69</v>
      </c>
      <c r="D26" s="30" t="s">
        <v>24</v>
      </c>
      <c r="E26" s="19" t="s">
        <v>968</v>
      </c>
      <c r="F26" s="33" t="s">
        <v>969</v>
      </c>
    </row>
    <row r="27" spans="1:6" ht="16.2" thickBot="1" x14ac:dyDescent="0.35">
      <c r="A27" s="15" t="s">
        <v>29</v>
      </c>
      <c r="B27" s="12">
        <v>98720.37000000001</v>
      </c>
      <c r="C27" s="12">
        <v>177811.58000000002</v>
      </c>
      <c r="D27" s="30" t="s">
        <v>24</v>
      </c>
      <c r="E27" s="19"/>
      <c r="F27" s="20"/>
    </row>
    <row r="28" spans="1:6" ht="16.2" thickBot="1" x14ac:dyDescent="0.35">
      <c r="A28" s="15" t="s">
        <v>30</v>
      </c>
      <c r="B28" s="12">
        <v>24861.38</v>
      </c>
      <c r="C28" s="12">
        <v>50795.509999999995</v>
      </c>
      <c r="D28" s="30" t="s">
        <v>24</v>
      </c>
      <c r="E28" s="19"/>
      <c r="F28" s="20"/>
    </row>
    <row r="29" spans="1:6" ht="31.8" thickBot="1" x14ac:dyDescent="0.35">
      <c r="A29" s="121" t="s">
        <v>970</v>
      </c>
      <c r="B29" s="12">
        <v>12788.48</v>
      </c>
      <c r="C29" s="12">
        <v>17788.48</v>
      </c>
      <c r="D29" s="30" t="s">
        <v>24</v>
      </c>
      <c r="E29" s="19" t="s">
        <v>968</v>
      </c>
      <c r="F29" s="33" t="s">
        <v>969</v>
      </c>
    </row>
    <row r="30" spans="1:6" ht="16.2" thickBot="1" x14ac:dyDescent="0.35">
      <c r="A30" s="15" t="s">
        <v>971</v>
      </c>
      <c r="B30" s="12">
        <v>4200</v>
      </c>
      <c r="C30" s="12">
        <v>6200</v>
      </c>
      <c r="D30" s="30" t="s">
        <v>24</v>
      </c>
      <c r="E30" s="19"/>
      <c r="F30" s="20"/>
    </row>
    <row r="31" spans="1:6" ht="16.2" thickBot="1" x14ac:dyDescent="0.35">
      <c r="A31" s="15" t="s">
        <v>972</v>
      </c>
      <c r="B31" s="12">
        <v>15445</v>
      </c>
      <c r="C31" s="12">
        <v>15445</v>
      </c>
      <c r="D31" s="30" t="s">
        <v>24</v>
      </c>
      <c r="E31" s="19"/>
      <c r="F31" s="20"/>
    </row>
    <row r="32" spans="1:6" ht="16.2" thickBot="1" x14ac:dyDescent="0.35">
      <c r="A32" s="15" t="s">
        <v>973</v>
      </c>
      <c r="B32" s="12">
        <v>18.5</v>
      </c>
      <c r="C32" s="12">
        <v>18.5</v>
      </c>
      <c r="D32" s="30" t="s">
        <v>24</v>
      </c>
      <c r="E32" s="19"/>
      <c r="F32" s="20"/>
    </row>
    <row r="33" spans="1:6" ht="16.2" thickBot="1" x14ac:dyDescent="0.35">
      <c r="A33" s="15" t="s">
        <v>974</v>
      </c>
      <c r="B33" s="12">
        <v>291.36</v>
      </c>
      <c r="C33" s="12">
        <v>660.5</v>
      </c>
      <c r="D33" s="30" t="s">
        <v>24</v>
      </c>
      <c r="E33" s="19"/>
      <c r="F33" s="20"/>
    </row>
    <row r="34" spans="1:6" ht="16.2" thickBot="1" x14ac:dyDescent="0.35">
      <c r="A34" s="21" t="s">
        <v>975</v>
      </c>
      <c r="B34" s="116">
        <v>1318.5</v>
      </c>
      <c r="C34" s="116">
        <v>1318.5</v>
      </c>
      <c r="D34" s="30" t="s">
        <v>24</v>
      </c>
      <c r="E34" s="19"/>
      <c r="F34" s="20"/>
    </row>
    <row r="35" spans="1:6" ht="16.2" thickBot="1" x14ac:dyDescent="0.35">
      <c r="A35" s="13" t="s">
        <v>32</v>
      </c>
      <c r="B35" s="22">
        <v>348849.27999999997</v>
      </c>
      <c r="C35" s="22">
        <v>661233.72</v>
      </c>
      <c r="D35" s="23"/>
      <c r="E35" s="23"/>
      <c r="F35" s="24"/>
    </row>
  </sheetData>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DCED-9D78-4146-B220-D2D33F5FDAA0}">
  <dimension ref="A1:Z1006"/>
  <sheetViews>
    <sheetView topLeftCell="A13" workbookViewId="0">
      <selection activeCell="E11" sqref="E11:J11"/>
    </sheetView>
  </sheetViews>
  <sheetFormatPr defaultColWidth="14.44140625" defaultRowHeight="14.4" x14ac:dyDescent="0.3"/>
  <cols>
    <col min="1" max="1" width="35.44140625" customWidth="1"/>
    <col min="2" max="2" width="20.44140625" customWidth="1"/>
    <col min="3" max="3" width="26.88671875" customWidth="1"/>
    <col min="4" max="4" width="25.33203125" customWidth="1"/>
    <col min="5" max="5" width="30.6640625" customWidth="1"/>
    <col min="6" max="6" width="28.33203125" customWidth="1"/>
    <col min="7" max="7" width="21.33203125" customWidth="1"/>
    <col min="8" max="8" width="20.6640625" customWidth="1"/>
    <col min="9" max="26" width="8.6640625" customWidth="1"/>
  </cols>
  <sheetData>
    <row r="1" spans="1:26" ht="60.75" customHeight="1" x14ac:dyDescent="0.3">
      <c r="A1" s="144" t="s">
        <v>956</v>
      </c>
      <c r="B1" s="233" t="s">
        <v>1</v>
      </c>
      <c r="C1" s="233" t="s">
        <v>2</v>
      </c>
      <c r="D1" s="233"/>
      <c r="E1" s="233"/>
      <c r="F1" s="233"/>
      <c r="G1" s="233" t="s">
        <v>6</v>
      </c>
      <c r="H1" s="233" t="s">
        <v>7</v>
      </c>
      <c r="I1" s="2"/>
      <c r="J1" s="2"/>
      <c r="K1" s="2"/>
      <c r="L1" s="2"/>
      <c r="M1" s="2"/>
      <c r="N1" s="2"/>
      <c r="O1" s="2"/>
      <c r="P1" s="2"/>
      <c r="Q1" s="2"/>
      <c r="R1" s="2"/>
      <c r="S1" s="2"/>
      <c r="T1" s="2"/>
      <c r="U1" s="2"/>
      <c r="V1" s="2"/>
      <c r="W1" s="2"/>
      <c r="X1" s="2"/>
      <c r="Y1" s="2"/>
      <c r="Z1" s="2"/>
    </row>
    <row r="2" spans="1:26" ht="21.75" customHeight="1" x14ac:dyDescent="0.3">
      <c r="A2" s="234" t="s">
        <v>943</v>
      </c>
      <c r="B2" s="235">
        <v>686283</v>
      </c>
      <c r="C2" s="236" t="s">
        <v>944</v>
      </c>
      <c r="D2" s="237"/>
      <c r="E2" s="3"/>
      <c r="F2" s="238"/>
      <c r="G2" s="235">
        <v>0</v>
      </c>
      <c r="H2" s="235">
        <v>219179</v>
      </c>
      <c r="I2" s="7"/>
      <c r="J2" s="7"/>
      <c r="K2" s="7"/>
      <c r="L2" s="7"/>
      <c r="M2" s="7"/>
      <c r="N2" s="7"/>
      <c r="O2" s="7"/>
      <c r="P2" s="7"/>
      <c r="Q2" s="7"/>
      <c r="R2" s="7"/>
      <c r="S2" s="7"/>
      <c r="T2" s="7"/>
      <c r="U2" s="7"/>
      <c r="V2" s="7"/>
      <c r="W2" s="7"/>
      <c r="X2" s="7"/>
      <c r="Y2" s="7"/>
      <c r="Z2" s="7"/>
    </row>
    <row r="3" spans="1:26" ht="15.75" customHeight="1" x14ac:dyDescent="0.3">
      <c r="A3" s="7"/>
      <c r="B3" s="235">
        <v>116971.2</v>
      </c>
      <c r="C3" s="236" t="s">
        <v>945</v>
      </c>
      <c r="D3" s="237"/>
      <c r="E3" s="3"/>
      <c r="F3" s="238"/>
      <c r="G3" s="237">
        <v>0</v>
      </c>
      <c r="H3" s="235">
        <v>116971</v>
      </c>
      <c r="I3" s="7"/>
      <c r="J3" s="7"/>
      <c r="K3" s="7"/>
      <c r="L3" s="7"/>
      <c r="M3" s="7"/>
      <c r="N3" s="7"/>
      <c r="O3" s="7"/>
      <c r="P3" s="7"/>
      <c r="Q3" s="7"/>
      <c r="R3" s="7"/>
      <c r="S3" s="7"/>
      <c r="T3" s="7"/>
      <c r="U3" s="7"/>
      <c r="V3" s="7"/>
      <c r="W3" s="7"/>
      <c r="X3" s="7"/>
      <c r="Y3" s="7"/>
      <c r="Z3" s="7"/>
    </row>
    <row r="4" spans="1:26" ht="15.75" customHeight="1" x14ac:dyDescent="0.3">
      <c r="A4" s="7"/>
      <c r="B4" s="235">
        <v>45302.400000000001</v>
      </c>
      <c r="C4" s="236" t="s">
        <v>946</v>
      </c>
      <c r="D4" s="237"/>
      <c r="E4" s="3"/>
      <c r="F4" s="238"/>
      <c r="G4" s="237">
        <v>0</v>
      </c>
      <c r="H4" s="235">
        <v>45302.400000000001</v>
      </c>
      <c r="I4" s="7"/>
      <c r="J4" s="7"/>
      <c r="K4" s="7"/>
      <c r="L4" s="7"/>
      <c r="M4" s="7"/>
      <c r="N4" s="7"/>
      <c r="O4" s="7"/>
      <c r="P4" s="7"/>
      <c r="Q4" s="7"/>
      <c r="R4" s="7"/>
      <c r="S4" s="7"/>
      <c r="T4" s="7"/>
      <c r="U4" s="7"/>
      <c r="V4" s="7"/>
      <c r="W4" s="7"/>
      <c r="X4" s="7"/>
      <c r="Y4" s="7"/>
      <c r="Z4" s="7"/>
    </row>
    <row r="5" spans="1:26" ht="15.75" customHeight="1" x14ac:dyDescent="0.3">
      <c r="A5" s="7"/>
      <c r="B5" s="235">
        <v>9000</v>
      </c>
      <c r="C5" s="236" t="s">
        <v>947</v>
      </c>
      <c r="D5" s="237"/>
      <c r="E5" s="3"/>
      <c r="F5" s="238"/>
      <c r="G5" s="237">
        <v>0</v>
      </c>
      <c r="H5" s="237">
        <v>0</v>
      </c>
      <c r="I5" s="7"/>
      <c r="J5" s="7"/>
      <c r="K5" s="7"/>
      <c r="L5" s="7"/>
      <c r="M5" s="7"/>
      <c r="N5" s="7"/>
      <c r="O5" s="7"/>
      <c r="P5" s="7"/>
      <c r="Q5" s="7"/>
      <c r="R5" s="7"/>
      <c r="S5" s="7"/>
      <c r="T5" s="7"/>
      <c r="U5" s="7"/>
      <c r="V5" s="7"/>
      <c r="W5" s="7"/>
      <c r="X5" s="7"/>
      <c r="Y5" s="7"/>
      <c r="Z5" s="7"/>
    </row>
    <row r="6" spans="1:26" ht="15.75" customHeight="1" x14ac:dyDescent="0.3">
      <c r="A6" s="7"/>
      <c r="B6" s="239">
        <v>27829.72</v>
      </c>
      <c r="C6" s="240" t="s">
        <v>948</v>
      </c>
      <c r="D6" s="237"/>
      <c r="E6" s="3"/>
      <c r="F6" s="238"/>
      <c r="G6" s="241">
        <v>0</v>
      </c>
      <c r="H6" s="241">
        <v>0</v>
      </c>
      <c r="I6" s="7"/>
      <c r="J6" s="7"/>
      <c r="K6" s="7"/>
      <c r="L6" s="7"/>
      <c r="M6" s="7"/>
      <c r="N6" s="7"/>
      <c r="O6" s="7"/>
      <c r="P6" s="7"/>
      <c r="Q6" s="7"/>
      <c r="R6" s="7"/>
      <c r="S6" s="7"/>
      <c r="T6" s="7"/>
      <c r="U6" s="7"/>
      <c r="V6" s="7"/>
      <c r="W6" s="7"/>
      <c r="X6" s="7"/>
      <c r="Y6" s="7"/>
      <c r="Z6" s="7"/>
    </row>
    <row r="7" spans="1:26" ht="24" customHeight="1" x14ac:dyDescent="0.3">
      <c r="A7" s="7"/>
      <c r="B7" s="242">
        <v>885386.32</v>
      </c>
      <c r="C7" s="243" t="s">
        <v>799</v>
      </c>
      <c r="D7" s="244"/>
      <c r="E7" s="245"/>
      <c r="F7" s="246"/>
      <c r="G7" s="242">
        <v>0</v>
      </c>
      <c r="H7" s="242">
        <v>381452.4</v>
      </c>
      <c r="I7" s="7"/>
      <c r="J7" s="7"/>
      <c r="K7" s="7"/>
      <c r="L7" s="7"/>
      <c r="M7" s="7"/>
      <c r="N7" s="7"/>
      <c r="O7" s="7"/>
      <c r="P7" s="7"/>
      <c r="Q7" s="7"/>
      <c r="R7" s="7"/>
      <c r="S7" s="7"/>
      <c r="T7" s="7"/>
      <c r="U7" s="7"/>
      <c r="V7" s="7"/>
      <c r="W7" s="7"/>
      <c r="X7" s="7"/>
      <c r="Y7" s="7"/>
      <c r="Z7" s="7"/>
    </row>
    <row r="8" spans="1:26" ht="15.75" customHeight="1" x14ac:dyDescent="0.3">
      <c r="A8" s="7"/>
      <c r="B8" s="7"/>
      <c r="C8" s="7"/>
      <c r="D8" s="7"/>
      <c r="E8" s="7"/>
      <c r="F8" s="7"/>
      <c r="G8" s="7"/>
      <c r="H8" s="7"/>
      <c r="I8" s="7"/>
      <c r="J8" s="7"/>
      <c r="K8" s="7"/>
      <c r="L8" s="7"/>
      <c r="M8" s="7"/>
      <c r="N8" s="7"/>
      <c r="O8" s="7"/>
      <c r="P8" s="7"/>
      <c r="Q8" s="7"/>
      <c r="R8" s="7"/>
      <c r="S8" s="7"/>
      <c r="T8" s="7"/>
      <c r="U8" s="7"/>
      <c r="V8" s="7"/>
      <c r="W8" s="7"/>
      <c r="X8" s="7"/>
      <c r="Y8" s="7"/>
      <c r="Z8" s="7"/>
    </row>
    <row r="9" spans="1:26" ht="15.75" customHeight="1" x14ac:dyDescent="0.3">
      <c r="A9" s="7"/>
      <c r="B9" s="7"/>
      <c r="C9" s="7"/>
      <c r="D9" s="7"/>
      <c r="E9" s="7"/>
      <c r="F9" s="7"/>
      <c r="G9" s="7"/>
      <c r="H9" s="7"/>
      <c r="I9" s="7"/>
      <c r="J9" s="7"/>
      <c r="K9" s="7"/>
      <c r="L9" s="7"/>
      <c r="M9" s="7"/>
      <c r="N9" s="7"/>
      <c r="O9" s="7"/>
      <c r="P9" s="7"/>
      <c r="Q9" s="7"/>
      <c r="R9" s="7"/>
      <c r="S9" s="7"/>
      <c r="T9" s="7"/>
      <c r="U9" s="7"/>
      <c r="V9" s="7"/>
      <c r="W9" s="7"/>
      <c r="X9" s="7"/>
      <c r="Y9" s="7"/>
      <c r="Z9" s="7"/>
    </row>
    <row r="10" spans="1:26" ht="15.75" customHeight="1" x14ac:dyDescent="0.3">
      <c r="A10" s="8" t="s">
        <v>11</v>
      </c>
      <c r="B10" s="7"/>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x14ac:dyDescent="0.3">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thickBot="1" x14ac:dyDescent="0.35">
      <c r="A12" s="149" t="s">
        <v>12</v>
      </c>
      <c r="B12" s="62" t="s">
        <v>9</v>
      </c>
      <c r="C12" s="7"/>
      <c r="D12" s="7"/>
      <c r="E12" s="7"/>
      <c r="F12" s="7"/>
      <c r="G12" s="7"/>
      <c r="H12" s="7"/>
      <c r="I12" s="7"/>
      <c r="J12" s="7"/>
      <c r="K12" s="7"/>
      <c r="L12" s="7"/>
      <c r="M12" s="7"/>
      <c r="N12" s="7"/>
      <c r="O12" s="7"/>
      <c r="P12" s="7"/>
      <c r="Q12" s="7"/>
      <c r="R12" s="7"/>
      <c r="S12" s="7"/>
      <c r="T12" s="7"/>
      <c r="U12" s="7"/>
      <c r="V12" s="7"/>
      <c r="W12" s="7"/>
      <c r="X12" s="7"/>
      <c r="Y12" s="7"/>
      <c r="Z12" s="7"/>
    </row>
    <row r="13" spans="1:26" ht="15.75" customHeight="1" thickBot="1" x14ac:dyDescent="0.35">
      <c r="A13" s="11" t="s">
        <v>13</v>
      </c>
      <c r="B13" s="150">
        <v>0</v>
      </c>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thickBot="1" x14ac:dyDescent="0.35">
      <c r="A14" s="11" t="s">
        <v>14</v>
      </c>
      <c r="B14" s="150">
        <v>0</v>
      </c>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thickBot="1" x14ac:dyDescent="0.35">
      <c r="A15" s="11"/>
      <c r="B15" s="150">
        <v>0</v>
      </c>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thickBot="1" x14ac:dyDescent="0.35">
      <c r="A16" s="11"/>
      <c r="B16" s="150">
        <v>0</v>
      </c>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thickBot="1" x14ac:dyDescent="0.35">
      <c r="A17" s="11"/>
      <c r="B17" s="62"/>
      <c r="C17" s="150">
        <v>0</v>
      </c>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3">
      <c r="A18" s="13"/>
      <c r="B18" s="7"/>
      <c r="C18" s="62" t="s">
        <v>9</v>
      </c>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3">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35.25" customHeight="1" x14ac:dyDescent="0.3">
      <c r="A20" s="144" t="s">
        <v>17</v>
      </c>
      <c r="B20" s="247" t="s">
        <v>18</v>
      </c>
      <c r="C20" s="233" t="s">
        <v>19</v>
      </c>
      <c r="D20" s="233" t="s">
        <v>20</v>
      </c>
      <c r="E20" s="233" t="s">
        <v>21</v>
      </c>
      <c r="F20" s="233" t="s">
        <v>22</v>
      </c>
      <c r="G20" s="7"/>
      <c r="H20" s="7"/>
      <c r="I20" s="7"/>
      <c r="J20" s="7"/>
      <c r="K20" s="7"/>
      <c r="L20" s="7"/>
      <c r="M20" s="7"/>
      <c r="N20" s="7"/>
      <c r="O20" s="7"/>
      <c r="P20" s="7"/>
      <c r="Q20" s="7"/>
      <c r="R20" s="7"/>
      <c r="S20" s="7"/>
      <c r="T20" s="7"/>
      <c r="U20" s="7"/>
      <c r="V20" s="7"/>
      <c r="W20" s="7"/>
      <c r="X20" s="7"/>
      <c r="Y20" s="7"/>
      <c r="Z20" s="7"/>
    </row>
    <row r="21" spans="1:26" ht="15.75" customHeight="1" x14ac:dyDescent="0.3">
      <c r="A21" s="248" t="s">
        <v>23</v>
      </c>
      <c r="B21" s="249">
        <v>5165.43</v>
      </c>
      <c r="C21" s="249">
        <v>42621.71</v>
      </c>
      <c r="D21" s="250" t="s">
        <v>24</v>
      </c>
      <c r="E21" s="251"/>
      <c r="F21" s="210"/>
      <c r="G21" s="7"/>
      <c r="H21" s="7"/>
      <c r="I21" s="7"/>
      <c r="J21" s="7"/>
      <c r="K21" s="7"/>
      <c r="L21" s="7"/>
      <c r="M21" s="7"/>
      <c r="N21" s="7"/>
      <c r="O21" s="7"/>
      <c r="P21" s="7"/>
      <c r="Q21" s="7"/>
      <c r="R21" s="7"/>
      <c r="S21" s="7"/>
      <c r="T21" s="7"/>
      <c r="U21" s="7"/>
      <c r="V21" s="7"/>
      <c r="W21" s="7"/>
      <c r="X21" s="7"/>
      <c r="Y21" s="7"/>
      <c r="Z21" s="7"/>
    </row>
    <row r="22" spans="1:26" ht="15.75" customHeight="1" x14ac:dyDescent="0.3">
      <c r="A22" s="252" t="s">
        <v>25</v>
      </c>
      <c r="B22" s="249">
        <v>129528</v>
      </c>
      <c r="C22" s="249">
        <v>470222</v>
      </c>
      <c r="D22" s="250" t="s">
        <v>24</v>
      </c>
      <c r="E22" s="251"/>
      <c r="F22" s="210"/>
      <c r="G22" s="7"/>
      <c r="H22" s="7"/>
      <c r="I22" s="7"/>
      <c r="J22" s="7"/>
      <c r="K22" s="7"/>
      <c r="L22" s="7"/>
      <c r="M22" s="7"/>
      <c r="N22" s="7"/>
      <c r="O22" s="7"/>
      <c r="P22" s="7"/>
      <c r="Q22" s="7"/>
      <c r="R22" s="7"/>
      <c r="S22" s="7"/>
      <c r="T22" s="7"/>
      <c r="U22" s="7"/>
      <c r="V22" s="7"/>
      <c r="W22" s="7"/>
      <c r="X22" s="7"/>
      <c r="Y22" s="7"/>
      <c r="Z22" s="7"/>
    </row>
    <row r="23" spans="1:26" ht="15.75" customHeight="1" x14ac:dyDescent="0.3">
      <c r="A23" s="252" t="s">
        <v>26</v>
      </c>
      <c r="B23" s="249">
        <v>296859</v>
      </c>
      <c r="C23" s="249">
        <v>539744</v>
      </c>
      <c r="D23" s="250" t="s">
        <v>10</v>
      </c>
      <c r="E23" s="217" t="s">
        <v>949</v>
      </c>
      <c r="F23" s="253" t="s">
        <v>950</v>
      </c>
      <c r="G23" s="7"/>
      <c r="H23" s="7"/>
      <c r="I23" s="7"/>
      <c r="J23" s="7"/>
      <c r="K23" s="7"/>
      <c r="L23" s="7"/>
      <c r="M23" s="7"/>
      <c r="N23" s="7"/>
      <c r="O23" s="7"/>
      <c r="P23" s="7"/>
      <c r="Q23" s="7"/>
      <c r="R23" s="7"/>
      <c r="S23" s="7"/>
      <c r="T23" s="7"/>
      <c r="U23" s="7"/>
      <c r="V23" s="7"/>
      <c r="W23" s="7"/>
      <c r="X23" s="7"/>
      <c r="Y23" s="7"/>
      <c r="Z23" s="7"/>
    </row>
    <row r="24" spans="1:26" ht="15.75" customHeight="1" x14ac:dyDescent="0.3">
      <c r="A24" s="252" t="s">
        <v>27</v>
      </c>
      <c r="B24" s="254">
        <v>0</v>
      </c>
      <c r="C24" s="254">
        <v>0</v>
      </c>
      <c r="D24" s="255"/>
      <c r="E24" s="251"/>
      <c r="F24" s="210"/>
      <c r="G24" s="7"/>
      <c r="H24" s="7"/>
      <c r="I24" s="7"/>
      <c r="J24" s="7"/>
      <c r="K24" s="7"/>
      <c r="L24" s="7"/>
      <c r="M24" s="7"/>
      <c r="N24" s="7"/>
      <c r="O24" s="7"/>
      <c r="P24" s="7"/>
      <c r="Q24" s="7"/>
      <c r="R24" s="7"/>
      <c r="S24" s="7"/>
      <c r="T24" s="7"/>
      <c r="U24" s="7"/>
      <c r="V24" s="7"/>
      <c r="W24" s="7"/>
      <c r="X24" s="7"/>
      <c r="Y24" s="7"/>
      <c r="Z24" s="7"/>
    </row>
    <row r="25" spans="1:26" ht="15.75" customHeight="1" x14ac:dyDescent="0.3">
      <c r="A25" s="252" t="s">
        <v>28</v>
      </c>
      <c r="B25" s="254">
        <v>0</v>
      </c>
      <c r="C25" s="254">
        <v>0</v>
      </c>
      <c r="D25" s="255"/>
      <c r="E25" s="251"/>
      <c r="F25" s="210"/>
      <c r="G25" s="7"/>
      <c r="H25" s="7"/>
      <c r="I25" s="7"/>
      <c r="J25" s="7"/>
      <c r="K25" s="7"/>
      <c r="L25" s="7"/>
      <c r="M25" s="7"/>
      <c r="N25" s="7"/>
      <c r="O25" s="7"/>
      <c r="P25" s="7"/>
      <c r="Q25" s="7"/>
      <c r="R25" s="7"/>
      <c r="S25" s="7"/>
      <c r="T25" s="7"/>
      <c r="U25" s="7"/>
      <c r="V25" s="7"/>
      <c r="W25" s="7"/>
      <c r="X25" s="7"/>
      <c r="Y25" s="7"/>
      <c r="Z25" s="7"/>
    </row>
    <row r="26" spans="1:26" ht="15.75" customHeight="1" x14ac:dyDescent="0.3">
      <c r="A26" s="252" t="s">
        <v>29</v>
      </c>
      <c r="B26" s="249">
        <v>40289.5</v>
      </c>
      <c r="C26" s="249">
        <v>105289.5</v>
      </c>
      <c r="D26" s="250" t="s">
        <v>24</v>
      </c>
      <c r="E26" s="251"/>
      <c r="F26" s="210"/>
      <c r="G26" s="7"/>
      <c r="H26" s="7"/>
      <c r="I26" s="7"/>
      <c r="J26" s="7"/>
      <c r="K26" s="7"/>
      <c r="L26" s="7"/>
      <c r="M26" s="7"/>
      <c r="N26" s="7"/>
      <c r="O26" s="7"/>
      <c r="P26" s="7"/>
      <c r="Q26" s="7"/>
      <c r="R26" s="7"/>
      <c r="S26" s="7"/>
      <c r="T26" s="7"/>
      <c r="U26" s="7"/>
      <c r="V26" s="7"/>
      <c r="W26" s="7"/>
      <c r="X26" s="7"/>
      <c r="Y26" s="7"/>
      <c r="Z26" s="7"/>
    </row>
    <row r="27" spans="1:26" ht="15.75" customHeight="1" x14ac:dyDescent="0.3">
      <c r="A27" s="252" t="s">
        <v>30</v>
      </c>
      <c r="B27" s="249">
        <v>7090.1</v>
      </c>
      <c r="C27" s="249">
        <v>91606.26</v>
      </c>
      <c r="D27" s="250" t="s">
        <v>24</v>
      </c>
      <c r="E27" s="251"/>
      <c r="F27" s="210"/>
      <c r="G27" s="7"/>
      <c r="H27" s="7"/>
      <c r="I27" s="7"/>
      <c r="J27" s="7"/>
      <c r="K27" s="7"/>
      <c r="L27" s="7"/>
      <c r="M27" s="7"/>
      <c r="N27" s="7"/>
      <c r="O27" s="7"/>
      <c r="P27" s="7"/>
      <c r="Q27" s="7"/>
      <c r="R27" s="7"/>
      <c r="S27" s="7"/>
      <c r="T27" s="7"/>
      <c r="U27" s="7"/>
      <c r="V27" s="7"/>
      <c r="W27" s="7"/>
      <c r="X27" s="7"/>
      <c r="Y27" s="7"/>
      <c r="Z27" s="7"/>
    </row>
    <row r="28" spans="1:26" ht="15.75" customHeight="1" x14ac:dyDescent="0.3">
      <c r="A28" s="256" t="s">
        <v>951</v>
      </c>
      <c r="B28" s="254">
        <v>0</v>
      </c>
      <c r="C28" s="249">
        <v>1271180</v>
      </c>
      <c r="D28" s="250" t="s">
        <v>24</v>
      </c>
      <c r="E28" s="217" t="s">
        <v>952</v>
      </c>
      <c r="F28" s="257" t="s">
        <v>953</v>
      </c>
      <c r="G28" s="7"/>
      <c r="H28" s="7"/>
      <c r="I28" s="7"/>
      <c r="J28" s="7"/>
      <c r="K28" s="7"/>
      <c r="L28" s="7"/>
      <c r="M28" s="7"/>
      <c r="N28" s="7"/>
      <c r="O28" s="7"/>
      <c r="P28" s="7"/>
      <c r="Q28" s="7"/>
      <c r="R28" s="7"/>
      <c r="S28" s="7"/>
      <c r="T28" s="7"/>
      <c r="U28" s="7"/>
      <c r="V28" s="7"/>
      <c r="W28" s="7"/>
      <c r="X28" s="7"/>
      <c r="Y28" s="7"/>
      <c r="Z28" s="7"/>
    </row>
    <row r="29" spans="1:26" ht="15.75" customHeight="1" x14ac:dyDescent="0.3">
      <c r="A29" s="256" t="s">
        <v>954</v>
      </c>
      <c r="B29" s="254">
        <v>65647.75</v>
      </c>
      <c r="C29" s="254">
        <v>65647.75</v>
      </c>
      <c r="D29" s="250" t="s">
        <v>10</v>
      </c>
      <c r="E29" s="251"/>
      <c r="F29" s="210"/>
      <c r="G29" s="7"/>
      <c r="H29" s="7"/>
      <c r="I29" s="7"/>
      <c r="J29" s="7"/>
      <c r="K29" s="7"/>
      <c r="L29" s="7"/>
      <c r="M29" s="7"/>
      <c r="N29" s="7"/>
      <c r="O29" s="7"/>
      <c r="P29" s="7"/>
      <c r="Q29" s="7"/>
      <c r="R29" s="7"/>
      <c r="S29" s="7"/>
      <c r="T29" s="7"/>
      <c r="U29" s="7"/>
      <c r="V29" s="7"/>
      <c r="W29" s="7"/>
      <c r="X29" s="7"/>
      <c r="Y29" s="7"/>
      <c r="Z29" s="7"/>
    </row>
    <row r="30" spans="1:26" ht="15.75" customHeight="1" x14ac:dyDescent="0.3">
      <c r="A30" s="256" t="s">
        <v>955</v>
      </c>
      <c r="B30" s="249">
        <v>664293</v>
      </c>
      <c r="C30" s="249">
        <v>664293</v>
      </c>
      <c r="D30" s="250" t="s">
        <v>10</v>
      </c>
      <c r="E30" s="251"/>
      <c r="F30" s="210"/>
      <c r="G30" s="7"/>
      <c r="H30" s="7"/>
      <c r="I30" s="7"/>
      <c r="J30" s="7"/>
      <c r="K30" s="7"/>
      <c r="L30" s="7"/>
      <c r="M30" s="7"/>
      <c r="N30" s="7"/>
      <c r="O30" s="7"/>
      <c r="P30" s="7"/>
      <c r="Q30" s="7"/>
      <c r="R30" s="7"/>
      <c r="S30" s="7"/>
      <c r="T30" s="7"/>
      <c r="U30" s="7"/>
      <c r="V30" s="7"/>
      <c r="W30" s="7"/>
      <c r="X30" s="7"/>
      <c r="Y30" s="7"/>
      <c r="Z30" s="7"/>
    </row>
    <row r="31" spans="1:26" ht="15.75" customHeight="1" x14ac:dyDescent="0.3">
      <c r="A31" s="252"/>
      <c r="B31" s="254">
        <v>0</v>
      </c>
      <c r="C31" s="254">
        <v>0</v>
      </c>
      <c r="D31" s="255"/>
      <c r="E31" s="251"/>
      <c r="F31" s="210"/>
      <c r="G31" s="7"/>
      <c r="H31" s="7"/>
      <c r="I31" s="7"/>
      <c r="J31" s="7"/>
      <c r="K31" s="7"/>
      <c r="L31" s="7"/>
      <c r="M31" s="7"/>
      <c r="N31" s="7"/>
      <c r="O31" s="7"/>
      <c r="P31" s="7"/>
      <c r="Q31" s="7"/>
      <c r="R31" s="7"/>
      <c r="S31" s="7"/>
      <c r="T31" s="7"/>
      <c r="U31" s="7"/>
      <c r="V31" s="7"/>
      <c r="W31" s="7"/>
      <c r="X31" s="7"/>
      <c r="Y31" s="7"/>
      <c r="Z31" s="7"/>
    </row>
    <row r="32" spans="1:26" ht="15.75" customHeight="1" x14ac:dyDescent="0.3">
      <c r="A32" s="252"/>
      <c r="B32" s="254">
        <v>0</v>
      </c>
      <c r="C32" s="254">
        <v>0</v>
      </c>
      <c r="D32" s="255"/>
      <c r="E32" s="251"/>
      <c r="F32" s="210"/>
      <c r="G32" s="7"/>
      <c r="H32" s="7"/>
      <c r="I32" s="7"/>
      <c r="J32" s="7"/>
      <c r="K32" s="7"/>
      <c r="L32" s="7"/>
      <c r="M32" s="7"/>
      <c r="N32" s="7"/>
      <c r="O32" s="7"/>
      <c r="P32" s="7"/>
      <c r="Q32" s="7"/>
      <c r="R32" s="7"/>
      <c r="S32" s="7"/>
      <c r="T32" s="7"/>
      <c r="U32" s="7"/>
      <c r="V32" s="7"/>
      <c r="W32" s="7"/>
      <c r="X32" s="7"/>
      <c r="Y32" s="7"/>
      <c r="Z32" s="7"/>
    </row>
    <row r="33" spans="1:26" ht="15.75" customHeight="1" x14ac:dyDescent="0.3">
      <c r="A33" s="258"/>
      <c r="B33" s="254">
        <v>0</v>
      </c>
      <c r="C33" s="254">
        <v>0</v>
      </c>
      <c r="D33" s="255"/>
      <c r="E33" s="251"/>
      <c r="F33" s="210"/>
      <c r="G33" s="7"/>
      <c r="H33" s="7"/>
      <c r="I33" s="7"/>
      <c r="J33" s="7"/>
      <c r="K33" s="7"/>
      <c r="L33" s="7"/>
      <c r="M33" s="7"/>
      <c r="N33" s="7"/>
      <c r="O33" s="7"/>
      <c r="P33" s="7"/>
      <c r="Q33" s="7"/>
      <c r="R33" s="7"/>
      <c r="S33" s="7"/>
      <c r="T33" s="7"/>
      <c r="U33" s="7"/>
      <c r="V33" s="7"/>
      <c r="W33" s="7"/>
      <c r="X33" s="7"/>
      <c r="Y33" s="7"/>
      <c r="Z33" s="7"/>
    </row>
    <row r="34" spans="1:26" ht="15.75" customHeight="1" x14ac:dyDescent="0.3">
      <c r="A34" s="13" t="s">
        <v>32</v>
      </c>
      <c r="B34" s="259">
        <v>1208872.78</v>
      </c>
      <c r="C34" s="259">
        <v>3250604.2199999997</v>
      </c>
      <c r="D34" s="260"/>
      <c r="E34" s="261"/>
      <c r="F34" s="262"/>
      <c r="G34" s="7"/>
      <c r="H34" s="7"/>
      <c r="I34" s="7"/>
      <c r="J34" s="7"/>
      <c r="K34" s="7"/>
      <c r="L34" s="7"/>
      <c r="M34" s="7"/>
      <c r="N34" s="7"/>
      <c r="O34" s="7"/>
      <c r="P34" s="7"/>
      <c r="Q34" s="7"/>
      <c r="R34" s="7"/>
      <c r="S34" s="7"/>
      <c r="T34" s="7"/>
      <c r="U34" s="7"/>
      <c r="V34" s="7"/>
      <c r="W34" s="7"/>
      <c r="X34" s="7"/>
      <c r="Y34" s="7"/>
      <c r="Z34" s="7"/>
    </row>
    <row r="35" spans="1:26" ht="15.75" customHeight="1" x14ac:dyDescent="0.3">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3">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3">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3">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3">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3">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3">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3">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3">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3">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3">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3">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3">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3">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3">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3">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3">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3">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3">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3">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3">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3">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3">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3">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3">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3">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3">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3">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3">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3">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3">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3">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3">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3">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3">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3">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3">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3">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3">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3">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3">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3">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3">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3">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3">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3">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3">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3">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3">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3">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3">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3">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3">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3">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3">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3">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3">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3">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3">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3">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3">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5.75" customHeight="1" x14ac:dyDescent="0.3">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5.75" customHeight="1" x14ac:dyDescent="0.3">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5.75" customHeight="1" x14ac:dyDescent="0.3">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5.75" customHeight="1" x14ac:dyDescent="0.3">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5.75" customHeight="1" x14ac:dyDescent="0.3">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5.75" customHeight="1" x14ac:dyDescent="0.3">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sheetData>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8BD4-7285-4FCF-9286-8765312596CE}">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934</v>
      </c>
      <c r="B2" s="37">
        <v>-800000</v>
      </c>
      <c r="C2" s="230" t="s">
        <v>935</v>
      </c>
      <c r="D2" s="231">
        <v>13082268</v>
      </c>
      <c r="E2" s="36" t="s">
        <v>936</v>
      </c>
      <c r="F2" s="76" t="s">
        <v>937</v>
      </c>
      <c r="G2" s="39">
        <v>-200000</v>
      </c>
      <c r="H2" s="39">
        <v>-1060000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-360000</v>
      </c>
    </row>
    <row r="11" spans="1:8" ht="16.2" thickBot="1" x14ac:dyDescent="0.35">
      <c r="A11" s="11"/>
      <c r="B11" s="12">
        <v>0</v>
      </c>
    </row>
    <row r="12" spans="1:8" ht="16.2" thickBot="1" x14ac:dyDescent="0.35">
      <c r="A12" s="11"/>
      <c r="B12" s="10"/>
      <c r="C12" s="12">
        <v>-360000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5653</v>
      </c>
      <c r="C16" s="16">
        <v>8653</v>
      </c>
      <c r="D16" s="43" t="s">
        <v>24</v>
      </c>
      <c r="E16" s="17"/>
      <c r="F16" s="18"/>
    </row>
    <row r="17" spans="1:6" ht="16.2" thickBot="1" x14ac:dyDescent="0.35">
      <c r="A17" s="15" t="s">
        <v>25</v>
      </c>
      <c r="B17" s="12">
        <v>4930</v>
      </c>
      <c r="C17" s="12">
        <v>9930</v>
      </c>
      <c r="D17" s="46" t="s">
        <v>24</v>
      </c>
      <c r="E17" s="19"/>
      <c r="F17" s="20"/>
    </row>
    <row r="18" spans="1:6" ht="47.4" thickBot="1" x14ac:dyDescent="0.35">
      <c r="A18" s="15" t="s">
        <v>26</v>
      </c>
      <c r="B18" s="45">
        <v>0</v>
      </c>
      <c r="C18" s="45">
        <v>24000</v>
      </c>
      <c r="D18" s="46" t="s">
        <v>24</v>
      </c>
      <c r="E18" s="48"/>
      <c r="F18" s="232" t="s">
        <v>938</v>
      </c>
    </row>
    <row r="19" spans="1:6" ht="31.8" thickBot="1" x14ac:dyDescent="0.35">
      <c r="A19" s="15" t="s">
        <v>27</v>
      </c>
      <c r="B19" s="45">
        <v>530</v>
      </c>
      <c r="C19" s="45">
        <v>1030</v>
      </c>
      <c r="D19" s="46" t="s">
        <v>24</v>
      </c>
      <c r="E19" s="46" t="s">
        <v>939</v>
      </c>
      <c r="F19" s="232" t="s">
        <v>940</v>
      </c>
    </row>
    <row r="20" spans="1:6" ht="16.2" thickBot="1" x14ac:dyDescent="0.35">
      <c r="A20" s="15" t="s">
        <v>28</v>
      </c>
      <c r="B20" s="45">
        <v>0</v>
      </c>
      <c r="C20" s="45">
        <v>0</v>
      </c>
      <c r="D20" s="46" t="s">
        <v>24</v>
      </c>
      <c r="E20" s="48"/>
      <c r="F20" s="49"/>
    </row>
    <row r="21" spans="1:6" ht="47.4" thickBot="1" x14ac:dyDescent="0.35">
      <c r="A21" s="15" t="s">
        <v>29</v>
      </c>
      <c r="B21" s="45">
        <v>2932</v>
      </c>
      <c r="C21" s="45">
        <v>10132</v>
      </c>
      <c r="D21" s="46" t="s">
        <v>24</v>
      </c>
      <c r="E21" s="46" t="s">
        <v>939</v>
      </c>
      <c r="F21" s="232" t="s">
        <v>941</v>
      </c>
    </row>
    <row r="22" spans="1:6" ht="16.2" thickBot="1" x14ac:dyDescent="0.35">
      <c r="A22" s="15" t="s">
        <v>30</v>
      </c>
      <c r="B22" s="12">
        <v>3682</v>
      </c>
      <c r="C22" s="12">
        <v>7682</v>
      </c>
      <c r="D22" s="46" t="s">
        <v>24</v>
      </c>
      <c r="E22" s="19"/>
      <c r="F22" s="20"/>
    </row>
    <row r="23" spans="1:6" ht="16.2" thickBot="1" x14ac:dyDescent="0.35">
      <c r="A23" s="15" t="s">
        <v>942</v>
      </c>
      <c r="B23" s="12">
        <v>0</v>
      </c>
      <c r="C23" s="12">
        <v>25000</v>
      </c>
      <c r="D23" s="46" t="s">
        <v>24</v>
      </c>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17727</v>
      </c>
      <c r="C29" s="22">
        <v>86427</v>
      </c>
      <c r="D29" s="23"/>
      <c r="E29" s="23"/>
      <c r="F29" s="24"/>
    </row>
  </sheetData>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C4F3-5FA1-4BD2-A18C-FF1CA1DD9EEC}">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932</v>
      </c>
      <c r="B2" s="4">
        <v>461655</v>
      </c>
      <c r="C2" s="3" t="s">
        <v>933</v>
      </c>
      <c r="D2" s="5">
        <v>10295661</v>
      </c>
      <c r="E2" s="3"/>
      <c r="F2" s="6"/>
      <c r="G2" s="5">
        <v>367795</v>
      </c>
      <c r="H2" s="5">
        <v>461655</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94375</v>
      </c>
    </row>
    <row r="9" spans="1:8" ht="18" thickBot="1" x14ac:dyDescent="0.5">
      <c r="A9" s="11"/>
      <c r="B9" s="229">
        <v>0</v>
      </c>
    </row>
    <row r="10" spans="1:8" ht="16.2" thickBot="1" x14ac:dyDescent="0.35">
      <c r="A10" s="11"/>
      <c r="B10" s="12">
        <v>0</v>
      </c>
    </row>
    <row r="11" spans="1:8" ht="16.2" thickBot="1" x14ac:dyDescent="0.35">
      <c r="A11" s="11"/>
      <c r="B11" s="10"/>
      <c r="C11" s="12">
        <v>94375</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6310</v>
      </c>
      <c r="C15" s="16">
        <v>7060</v>
      </c>
      <c r="D15" s="17"/>
      <c r="E15" s="17"/>
      <c r="F15" s="18"/>
    </row>
    <row r="16" spans="1:8" ht="16.2" thickBot="1" x14ac:dyDescent="0.35">
      <c r="A16" s="15" t="s">
        <v>25</v>
      </c>
      <c r="B16" s="12">
        <v>3825</v>
      </c>
      <c r="C16" s="12">
        <v>4140</v>
      </c>
      <c r="D16" s="19"/>
      <c r="E16" s="19"/>
      <c r="F16" s="20"/>
    </row>
    <row r="17" spans="1:6" ht="16.2" thickBot="1" x14ac:dyDescent="0.35">
      <c r="A17" s="15" t="s">
        <v>26</v>
      </c>
      <c r="B17" s="12">
        <v>6250</v>
      </c>
      <c r="C17" s="12">
        <v>14600</v>
      </c>
      <c r="D17" s="19"/>
      <c r="E17" s="19"/>
      <c r="F17" s="20"/>
    </row>
    <row r="18" spans="1:6" ht="16.2" thickBot="1" x14ac:dyDescent="0.35">
      <c r="A18" s="15" t="s">
        <v>27</v>
      </c>
      <c r="B18" s="12">
        <v>1250</v>
      </c>
      <c r="C18" s="12">
        <v>3000</v>
      </c>
      <c r="D18" s="19"/>
      <c r="E18" s="19"/>
      <c r="F18" s="20"/>
    </row>
    <row r="19" spans="1:6" ht="16.2" thickBot="1" x14ac:dyDescent="0.35">
      <c r="A19" s="15" t="s">
        <v>28</v>
      </c>
      <c r="B19" s="12">
        <v>0</v>
      </c>
      <c r="C19" s="12">
        <v>0</v>
      </c>
      <c r="D19" s="19"/>
      <c r="E19" s="19"/>
      <c r="F19" s="20"/>
    </row>
    <row r="20" spans="1:6" ht="16.2" thickBot="1" x14ac:dyDescent="0.35">
      <c r="A20" s="15" t="s">
        <v>29</v>
      </c>
      <c r="B20" s="12">
        <v>10365</v>
      </c>
      <c r="C20" s="12">
        <v>19845</v>
      </c>
      <c r="D20" s="19"/>
      <c r="E20" s="19"/>
      <c r="F20" s="20"/>
    </row>
    <row r="21" spans="1:6" ht="16.2" thickBot="1" x14ac:dyDescent="0.35">
      <c r="A21" s="15" t="s">
        <v>30</v>
      </c>
      <c r="B21" s="12">
        <v>1780</v>
      </c>
      <c r="C21" s="12">
        <v>2030</v>
      </c>
      <c r="D21" s="19"/>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29780</v>
      </c>
      <c r="C28" s="22">
        <v>50675</v>
      </c>
      <c r="D28" s="23"/>
      <c r="E28" s="23"/>
      <c r="F28" s="24"/>
    </row>
  </sheetData>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1E9B-41E1-45E3-A9BF-5DB87531518F}">
  <dimension ref="A1:H28"/>
  <sheetViews>
    <sheetView topLeftCell="A10" workbookViewId="0">
      <selection activeCell="E11" sqref="E11:J11"/>
    </sheetView>
  </sheetViews>
  <sheetFormatPr defaultColWidth="9.109375" defaultRowHeight="15.6" x14ac:dyDescent="0.3"/>
  <cols>
    <col min="1" max="1" width="49.88671875" style="7" customWidth="1"/>
    <col min="2" max="2" width="20.44140625" style="7" customWidth="1"/>
    <col min="3" max="3" width="26.88671875" style="7" customWidth="1"/>
    <col min="4" max="4" width="25.33203125" style="7" customWidth="1"/>
    <col min="5" max="5" width="30.6640625" style="7" customWidth="1"/>
    <col min="6" max="6" width="80"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916</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17500</v>
      </c>
      <c r="C15" s="228" t="s">
        <v>917</v>
      </c>
      <c r="D15" s="29" t="s">
        <v>10</v>
      </c>
      <c r="E15" s="17"/>
      <c r="F15" s="18" t="s">
        <v>918</v>
      </c>
    </row>
    <row r="16" spans="1:8" ht="16.2" thickBot="1" x14ac:dyDescent="0.35">
      <c r="A16" s="15" t="s">
        <v>919</v>
      </c>
      <c r="B16" s="12">
        <v>4800</v>
      </c>
      <c r="C16" s="12">
        <v>0</v>
      </c>
      <c r="D16" s="30" t="s">
        <v>10</v>
      </c>
      <c r="E16" s="19"/>
      <c r="F16" s="20" t="s">
        <v>920</v>
      </c>
    </row>
    <row r="17" spans="1:6" ht="16.2" thickBot="1" x14ac:dyDescent="0.35">
      <c r="A17" s="15" t="s">
        <v>26</v>
      </c>
      <c r="B17" s="106" t="s">
        <v>917</v>
      </c>
      <c r="C17" s="12">
        <v>0</v>
      </c>
      <c r="D17" s="30"/>
      <c r="E17" s="19"/>
      <c r="F17" s="20" t="s">
        <v>921</v>
      </c>
    </row>
    <row r="18" spans="1:6" ht="16.2" thickBot="1" x14ac:dyDescent="0.35">
      <c r="A18" s="15" t="s">
        <v>27</v>
      </c>
      <c r="B18" s="12">
        <v>0</v>
      </c>
      <c r="C18" s="12">
        <v>0</v>
      </c>
      <c r="D18" s="30"/>
      <c r="E18" s="19"/>
      <c r="F18" s="20"/>
    </row>
    <row r="19" spans="1:6" ht="16.2" thickBot="1" x14ac:dyDescent="0.35">
      <c r="A19" s="15" t="s">
        <v>28</v>
      </c>
      <c r="B19" s="12">
        <v>0</v>
      </c>
      <c r="C19" s="12">
        <v>0</v>
      </c>
      <c r="D19" s="30"/>
      <c r="E19" s="19"/>
      <c r="F19" s="20"/>
    </row>
    <row r="20" spans="1:6" ht="16.2" thickBot="1" x14ac:dyDescent="0.35">
      <c r="A20" s="15" t="s">
        <v>29</v>
      </c>
      <c r="B20" s="12">
        <v>11500</v>
      </c>
      <c r="C20" s="12">
        <v>0</v>
      </c>
      <c r="D20" s="30" t="s">
        <v>10</v>
      </c>
      <c r="E20" s="19"/>
      <c r="F20" s="20" t="s">
        <v>922</v>
      </c>
    </row>
    <row r="21" spans="1:6" ht="16.2" thickBot="1" x14ac:dyDescent="0.35">
      <c r="A21" s="15" t="s">
        <v>30</v>
      </c>
      <c r="B21" s="12">
        <v>5500</v>
      </c>
      <c r="C21" s="228" t="s">
        <v>917</v>
      </c>
      <c r="D21" s="30" t="s">
        <v>10</v>
      </c>
      <c r="E21" s="19"/>
      <c r="F21" s="20" t="s">
        <v>923</v>
      </c>
    </row>
    <row r="22" spans="1:6" ht="16.2" thickBot="1" x14ac:dyDescent="0.35">
      <c r="A22" s="15" t="s">
        <v>924</v>
      </c>
      <c r="B22" s="12">
        <v>126000</v>
      </c>
      <c r="C22" s="12">
        <v>0</v>
      </c>
      <c r="D22" s="30" t="s">
        <v>10</v>
      </c>
      <c r="E22" s="19"/>
      <c r="F22" s="20" t="s">
        <v>925</v>
      </c>
    </row>
    <row r="23" spans="1:6" ht="16.2" thickBot="1" x14ac:dyDescent="0.35">
      <c r="A23" s="15" t="s">
        <v>926</v>
      </c>
      <c r="B23" s="106" t="s">
        <v>917</v>
      </c>
      <c r="C23" s="12">
        <v>0</v>
      </c>
      <c r="D23" s="30" t="s">
        <v>10</v>
      </c>
      <c r="E23" s="19"/>
      <c r="F23" s="20" t="s">
        <v>921</v>
      </c>
    </row>
    <row r="24" spans="1:6" ht="16.2" thickBot="1" x14ac:dyDescent="0.35">
      <c r="A24" s="15" t="s">
        <v>927</v>
      </c>
      <c r="B24" s="12">
        <v>0</v>
      </c>
      <c r="C24" s="12">
        <v>100000</v>
      </c>
      <c r="D24" s="30" t="s">
        <v>24</v>
      </c>
      <c r="E24" s="19"/>
      <c r="F24" s="20" t="s">
        <v>928</v>
      </c>
    </row>
    <row r="25" spans="1:6" ht="16.2" thickBot="1" x14ac:dyDescent="0.35">
      <c r="A25" s="15" t="s">
        <v>929</v>
      </c>
      <c r="B25" s="12">
        <v>0</v>
      </c>
      <c r="C25" s="12">
        <v>5000</v>
      </c>
      <c r="D25" s="30" t="s">
        <v>10</v>
      </c>
      <c r="E25" s="19"/>
      <c r="F25" s="20" t="s">
        <v>930</v>
      </c>
    </row>
    <row r="26" spans="1:6" ht="16.2" thickBot="1" x14ac:dyDescent="0.35">
      <c r="A26" s="15" t="s">
        <v>658</v>
      </c>
      <c r="B26" s="12">
        <v>0</v>
      </c>
      <c r="C26" s="12">
        <v>3000</v>
      </c>
      <c r="D26" s="19"/>
      <c r="E26" s="19"/>
      <c r="F26" s="20" t="s">
        <v>931</v>
      </c>
    </row>
    <row r="27" spans="1:6" ht="16.2" thickBot="1" x14ac:dyDescent="0.35">
      <c r="A27" s="21"/>
      <c r="B27" s="12">
        <v>0</v>
      </c>
      <c r="C27" s="12">
        <v>0</v>
      </c>
      <c r="D27" s="19"/>
      <c r="E27" s="19"/>
      <c r="F27" s="20"/>
    </row>
    <row r="28" spans="1:6" ht="16.2" thickBot="1" x14ac:dyDescent="0.35">
      <c r="A28" s="13" t="s">
        <v>32</v>
      </c>
      <c r="B28" s="22">
        <v>165300</v>
      </c>
      <c r="C28" s="22">
        <v>108000</v>
      </c>
      <c r="D28" s="23"/>
      <c r="E28" s="23"/>
      <c r="F28" s="24"/>
    </row>
  </sheetData>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9B69-C5CA-4700-B7AE-2FD02E1A472E}">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290</v>
      </c>
      <c r="B2" s="390">
        <v>1986.08</v>
      </c>
      <c r="C2" s="389" t="s">
        <v>2460</v>
      </c>
      <c r="D2" s="391">
        <v>1589095</v>
      </c>
      <c r="E2" s="389" t="s">
        <v>10</v>
      </c>
      <c r="F2" s="392"/>
      <c r="G2" s="391">
        <v>0</v>
      </c>
      <c r="H2" s="391">
        <v>0</v>
      </c>
    </row>
    <row r="4" spans="1:8" x14ac:dyDescent="0.3">
      <c r="A4" s="386" t="s">
        <v>11</v>
      </c>
    </row>
    <row r="6" spans="1:8" ht="16.2" thickBot="1" x14ac:dyDescent="0.35">
      <c r="A6" s="632" t="s">
        <v>12</v>
      </c>
      <c r="B6" s="10" t="s">
        <v>9</v>
      </c>
    </row>
    <row r="7" spans="1:8" ht="16.2" thickBot="1" x14ac:dyDescent="0.35">
      <c r="A7" s="631" t="s">
        <v>51</v>
      </c>
      <c r="B7" s="374">
        <v>0</v>
      </c>
    </row>
    <row r="8" spans="1:8" ht="16.2" thickBot="1" x14ac:dyDescent="0.35">
      <c r="A8" s="631" t="s">
        <v>53</v>
      </c>
      <c r="B8" s="374">
        <v>0</v>
      </c>
    </row>
    <row r="9" spans="1:8" ht="16.2" thickBot="1" x14ac:dyDescent="0.35">
      <c r="A9" s="631" t="s">
        <v>55</v>
      </c>
      <c r="B9" s="374">
        <v>500</v>
      </c>
    </row>
    <row r="10" spans="1:8" ht="16.2" thickBot="1" x14ac:dyDescent="0.35">
      <c r="A10" s="631" t="s">
        <v>57</v>
      </c>
      <c r="B10" s="374">
        <v>3350</v>
      </c>
    </row>
    <row r="11" spans="1:8" ht="16.2" thickBot="1" x14ac:dyDescent="0.35">
      <c r="A11" s="631"/>
      <c r="B11" s="374">
        <v>0</v>
      </c>
    </row>
    <row r="12" spans="1:8" ht="16.2" thickBot="1" x14ac:dyDescent="0.35">
      <c r="A12" s="631"/>
      <c r="B12" s="10"/>
      <c r="C12" s="374">
        <f>SUM(B7:B11)</f>
        <v>3850</v>
      </c>
    </row>
    <row r="13" spans="1:8" x14ac:dyDescent="0.3">
      <c r="A13" s="630"/>
      <c r="C13" s="10" t="s">
        <v>9</v>
      </c>
    </row>
    <row r="15" spans="1:8" ht="31.2" x14ac:dyDescent="0.3">
      <c r="A15" s="384" t="s">
        <v>17</v>
      </c>
      <c r="B15" s="385" t="s">
        <v>18</v>
      </c>
      <c r="C15" s="384" t="s">
        <v>19</v>
      </c>
      <c r="D15" s="384" t="s">
        <v>20</v>
      </c>
      <c r="E15" s="384" t="s">
        <v>21</v>
      </c>
      <c r="F15" s="384" t="s">
        <v>22</v>
      </c>
    </row>
    <row r="16" spans="1:8" ht="16.2" thickBot="1" x14ac:dyDescent="0.35">
      <c r="A16" s="629" t="s">
        <v>23</v>
      </c>
      <c r="B16" s="382">
        <v>1294</v>
      </c>
      <c r="C16" s="382">
        <v>1400</v>
      </c>
      <c r="D16" s="359" t="s">
        <v>2461</v>
      </c>
      <c r="E16" s="359"/>
      <c r="F16" s="383"/>
    </row>
    <row r="17" spans="1:6" ht="16.2" thickBot="1" x14ac:dyDescent="0.35">
      <c r="A17" s="629" t="s">
        <v>25</v>
      </c>
      <c r="B17" s="374">
        <v>3882</v>
      </c>
      <c r="C17" s="374">
        <v>4500</v>
      </c>
      <c r="D17" s="387" t="s">
        <v>2461</v>
      </c>
      <c r="E17" s="387"/>
      <c r="F17" s="377"/>
    </row>
    <row r="18" spans="1:6" ht="16.2" thickBot="1" x14ac:dyDescent="0.35">
      <c r="A18" s="629" t="s">
        <v>26</v>
      </c>
      <c r="B18" s="374"/>
      <c r="C18" s="374">
        <v>0</v>
      </c>
      <c r="D18" s="387"/>
      <c r="E18" s="387"/>
      <c r="F18" s="377"/>
    </row>
    <row r="19" spans="1:6" ht="16.2" thickBot="1" x14ac:dyDescent="0.35">
      <c r="A19" s="629" t="s">
        <v>27</v>
      </c>
      <c r="B19" s="374">
        <v>549</v>
      </c>
      <c r="C19" s="374">
        <v>1000</v>
      </c>
      <c r="D19" s="387" t="s">
        <v>2462</v>
      </c>
      <c r="E19" s="387"/>
      <c r="F19" s="377"/>
    </row>
    <row r="20" spans="1:6" ht="16.2" thickBot="1" x14ac:dyDescent="0.35">
      <c r="A20" s="629" t="s">
        <v>28</v>
      </c>
      <c r="B20" s="374">
        <v>0</v>
      </c>
      <c r="C20" s="374">
        <v>0</v>
      </c>
      <c r="D20" s="387"/>
      <c r="E20" s="387"/>
      <c r="F20" s="377"/>
    </row>
    <row r="21" spans="1:6" ht="16.2" thickBot="1" x14ac:dyDescent="0.35">
      <c r="A21" s="629" t="s">
        <v>29</v>
      </c>
      <c r="B21" s="374">
        <v>0</v>
      </c>
      <c r="C21" s="374">
        <v>0</v>
      </c>
      <c r="D21" s="387"/>
      <c r="E21" s="387"/>
      <c r="F21" s="377"/>
    </row>
    <row r="22" spans="1:6" ht="16.2" thickBot="1" x14ac:dyDescent="0.35">
      <c r="A22" s="629" t="s">
        <v>30</v>
      </c>
      <c r="B22" s="374">
        <v>505</v>
      </c>
      <c r="C22" s="374">
        <v>1200</v>
      </c>
      <c r="D22" s="387" t="s">
        <v>2462</v>
      </c>
      <c r="E22" s="387"/>
      <c r="F22" s="377"/>
    </row>
    <row r="23" spans="1:6" ht="16.2" thickBot="1" x14ac:dyDescent="0.35">
      <c r="A23" s="631" t="s">
        <v>2463</v>
      </c>
      <c r="B23" s="374">
        <v>12415</v>
      </c>
      <c r="C23" s="374">
        <v>12415</v>
      </c>
      <c r="D23" s="387" t="s">
        <v>2464</v>
      </c>
      <c r="E23" s="387"/>
      <c r="F23" s="377"/>
    </row>
    <row r="24" spans="1:6" ht="16.2" thickBot="1" x14ac:dyDescent="0.35">
      <c r="A24" s="631"/>
      <c r="B24" s="374">
        <v>0</v>
      </c>
      <c r="C24" s="374">
        <v>0</v>
      </c>
      <c r="D24" s="387"/>
      <c r="E24" s="387"/>
      <c r="F24" s="377"/>
    </row>
    <row r="25" spans="1:6" ht="16.2" thickBot="1" x14ac:dyDescent="0.35">
      <c r="A25" s="631"/>
      <c r="B25" s="374">
        <v>0</v>
      </c>
      <c r="C25" s="374">
        <v>0</v>
      </c>
      <c r="D25" s="387"/>
      <c r="E25" s="387"/>
      <c r="F25" s="377"/>
    </row>
    <row r="26" spans="1:6" ht="16.2" thickBot="1" x14ac:dyDescent="0.35">
      <c r="A26" s="631"/>
      <c r="B26" s="374">
        <v>0</v>
      </c>
      <c r="C26" s="374">
        <v>0</v>
      </c>
      <c r="D26" s="387"/>
      <c r="E26" s="387"/>
      <c r="F26" s="377"/>
    </row>
    <row r="27" spans="1:6" ht="16.2" thickBot="1" x14ac:dyDescent="0.35">
      <c r="A27" s="631"/>
      <c r="B27" s="374">
        <v>0</v>
      </c>
      <c r="C27" s="374">
        <v>0</v>
      </c>
      <c r="D27" s="387"/>
      <c r="E27" s="387"/>
      <c r="F27" s="377"/>
    </row>
    <row r="28" spans="1:6" ht="16.2" thickBot="1" x14ac:dyDescent="0.35">
      <c r="A28" s="378"/>
      <c r="B28" s="374">
        <v>0</v>
      </c>
      <c r="C28" s="374">
        <v>0</v>
      </c>
      <c r="D28" s="387"/>
      <c r="E28" s="387"/>
      <c r="F28" s="377"/>
    </row>
    <row r="29" spans="1:6" ht="16.2" thickBot="1" x14ac:dyDescent="0.35">
      <c r="A29" s="630" t="s">
        <v>32</v>
      </c>
      <c r="B29" s="379">
        <f>SUM(B16:B28)</f>
        <v>18645</v>
      </c>
      <c r="C29" s="379">
        <f>SUM(C16:C28)</f>
        <v>20515</v>
      </c>
      <c r="D29" s="388"/>
      <c r="E29" s="388"/>
      <c r="F29" s="38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7624-78A9-4D34-A713-0DD3E1B24B1C}">
  <dimension ref="A1:H28"/>
  <sheetViews>
    <sheetView topLeftCell="A16"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11" customWidth="1"/>
    <col min="5" max="5" width="30.6640625" style="7" customWidth="1"/>
    <col min="6" max="6" width="50.6640625" style="3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76</v>
      </c>
      <c r="B2" s="4">
        <v>2500000</v>
      </c>
      <c r="C2" s="3" t="s">
        <v>77</v>
      </c>
      <c r="D2" s="5">
        <v>2858058</v>
      </c>
      <c r="E2" s="3" t="s">
        <v>24</v>
      </c>
      <c r="F2" s="6" t="s">
        <v>78</v>
      </c>
      <c r="G2" s="5">
        <v>0</v>
      </c>
      <c r="H2" s="5">
        <v>0</v>
      </c>
    </row>
    <row r="4" spans="1:8" x14ac:dyDescent="0.3">
      <c r="A4" s="8" t="s">
        <v>11</v>
      </c>
    </row>
    <row r="6" spans="1:8" ht="16.2" thickBot="1" x14ac:dyDescent="0.35">
      <c r="A6" s="9" t="s">
        <v>12</v>
      </c>
      <c r="B6" s="10" t="s">
        <v>9</v>
      </c>
    </row>
    <row r="7" spans="1:8" ht="16.2" thickBot="1" x14ac:dyDescent="0.35">
      <c r="A7" s="11" t="s">
        <v>13</v>
      </c>
      <c r="B7" s="12">
        <v>2500000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2500000</v>
      </c>
    </row>
    <row r="12" spans="1:8" x14ac:dyDescent="0.3">
      <c r="A12" s="13"/>
      <c r="C12" s="10" t="s">
        <v>9</v>
      </c>
    </row>
    <row r="14" spans="1:8" ht="31.2" x14ac:dyDescent="0.3">
      <c r="A14" s="1" t="s">
        <v>17</v>
      </c>
      <c r="B14" s="14" t="s">
        <v>18</v>
      </c>
      <c r="C14" s="1" t="s">
        <v>19</v>
      </c>
      <c r="D14" s="1" t="s">
        <v>20</v>
      </c>
      <c r="E14" s="1" t="s">
        <v>21</v>
      </c>
      <c r="F14" s="1" t="s">
        <v>22</v>
      </c>
    </row>
    <row r="15" spans="1:8" ht="63" thickBot="1" x14ac:dyDescent="0.35">
      <c r="A15" s="15" t="s">
        <v>23</v>
      </c>
      <c r="B15" s="16">
        <v>3979.7</v>
      </c>
      <c r="C15" s="16">
        <v>8000</v>
      </c>
      <c r="D15" s="29" t="s">
        <v>24</v>
      </c>
      <c r="E15" s="17" t="s">
        <v>79</v>
      </c>
      <c r="F15" s="32" t="s">
        <v>80</v>
      </c>
    </row>
    <row r="16" spans="1:8" ht="47.4" thickBot="1" x14ac:dyDescent="0.35">
      <c r="A16" s="15" t="s">
        <v>25</v>
      </c>
      <c r="B16" s="12">
        <v>7173.07</v>
      </c>
      <c r="C16" s="12">
        <v>13500</v>
      </c>
      <c r="D16" s="30" t="s">
        <v>24</v>
      </c>
      <c r="E16" s="19" t="s">
        <v>79</v>
      </c>
      <c r="F16" s="33" t="s">
        <v>81</v>
      </c>
    </row>
    <row r="17" spans="1:6" ht="16.2" thickBot="1" x14ac:dyDescent="0.35">
      <c r="A17" s="15" t="s">
        <v>26</v>
      </c>
      <c r="B17" s="12">
        <v>0</v>
      </c>
      <c r="C17" s="12">
        <v>0</v>
      </c>
      <c r="D17" s="30"/>
      <c r="E17" s="19"/>
      <c r="F17" s="33"/>
    </row>
    <row r="18" spans="1:6" ht="16.2" thickBot="1" x14ac:dyDescent="0.35">
      <c r="A18" s="15" t="s">
        <v>27</v>
      </c>
      <c r="B18" s="12">
        <v>0</v>
      </c>
      <c r="C18" s="12">
        <v>0</v>
      </c>
      <c r="D18" s="30"/>
      <c r="E18" s="19"/>
      <c r="F18" s="33"/>
    </row>
    <row r="19" spans="1:6" ht="16.2" thickBot="1" x14ac:dyDescent="0.35">
      <c r="A19" s="15" t="s">
        <v>28</v>
      </c>
      <c r="B19" s="12">
        <v>0</v>
      </c>
      <c r="C19" s="12">
        <v>0</v>
      </c>
      <c r="D19" s="30"/>
      <c r="E19" s="19"/>
      <c r="F19" s="33"/>
    </row>
    <row r="20" spans="1:6" ht="16.2" thickBot="1" x14ac:dyDescent="0.35">
      <c r="A20" s="15" t="s">
        <v>29</v>
      </c>
      <c r="B20" s="12">
        <v>8159.16</v>
      </c>
      <c r="C20" s="12">
        <v>8500</v>
      </c>
      <c r="D20" s="30" t="s">
        <v>24</v>
      </c>
      <c r="E20" s="19" t="s">
        <v>79</v>
      </c>
      <c r="F20" s="33" t="s">
        <v>82</v>
      </c>
    </row>
    <row r="21" spans="1:6" ht="63" thickBot="1" x14ac:dyDescent="0.35">
      <c r="A21" s="15" t="s">
        <v>30</v>
      </c>
      <c r="B21" s="12">
        <v>2014.41</v>
      </c>
      <c r="C21" s="12">
        <v>7000</v>
      </c>
      <c r="D21" s="30" t="s">
        <v>24</v>
      </c>
      <c r="E21" s="19" t="s">
        <v>79</v>
      </c>
      <c r="F21" s="33" t="s">
        <v>83</v>
      </c>
    </row>
    <row r="22" spans="1:6" ht="16.2" thickBot="1" x14ac:dyDescent="0.35">
      <c r="A22" s="11" t="s">
        <v>84</v>
      </c>
      <c r="B22" s="12">
        <v>390</v>
      </c>
      <c r="C22" s="12">
        <v>0</v>
      </c>
      <c r="D22" s="30" t="s">
        <v>10</v>
      </c>
      <c r="E22" s="19"/>
      <c r="F22" s="33" t="s">
        <v>85</v>
      </c>
    </row>
    <row r="23" spans="1:6" ht="16.2" thickBot="1" x14ac:dyDescent="0.35">
      <c r="A23" s="11"/>
      <c r="B23" s="12">
        <v>0</v>
      </c>
      <c r="C23" s="12">
        <v>0</v>
      </c>
      <c r="D23" s="30"/>
      <c r="E23" s="19"/>
      <c r="F23" s="33"/>
    </row>
    <row r="24" spans="1:6" ht="16.2" thickBot="1" x14ac:dyDescent="0.35">
      <c r="A24" s="11"/>
      <c r="B24" s="12">
        <v>0</v>
      </c>
      <c r="C24" s="12">
        <v>0</v>
      </c>
      <c r="D24" s="30"/>
      <c r="E24" s="19"/>
      <c r="F24" s="33"/>
    </row>
    <row r="25" spans="1:6" ht="16.2" thickBot="1" x14ac:dyDescent="0.35">
      <c r="A25" s="11"/>
      <c r="B25" s="12">
        <v>0</v>
      </c>
      <c r="C25" s="12">
        <v>0</v>
      </c>
      <c r="D25" s="30"/>
      <c r="E25" s="19"/>
      <c r="F25" s="33"/>
    </row>
    <row r="26" spans="1:6" ht="16.2" thickBot="1" x14ac:dyDescent="0.35">
      <c r="A26" s="11"/>
      <c r="B26" s="12">
        <v>0</v>
      </c>
      <c r="C26" s="12">
        <v>0</v>
      </c>
      <c r="D26" s="30"/>
      <c r="E26" s="19"/>
      <c r="F26" s="33"/>
    </row>
    <row r="27" spans="1:6" ht="16.2" thickBot="1" x14ac:dyDescent="0.35">
      <c r="A27" s="21"/>
      <c r="B27" s="12">
        <v>0</v>
      </c>
      <c r="C27" s="12">
        <v>0</v>
      </c>
      <c r="D27" s="30"/>
      <c r="E27" s="19"/>
      <c r="F27" s="33"/>
    </row>
    <row r="28" spans="1:6" ht="16.2" thickBot="1" x14ac:dyDescent="0.35">
      <c r="A28" s="13" t="s">
        <v>32</v>
      </c>
      <c r="B28" s="22">
        <v>21716.34</v>
      </c>
      <c r="C28" s="22">
        <v>37000</v>
      </c>
      <c r="D28" s="34"/>
      <c r="E28" s="23"/>
      <c r="F28" s="35"/>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1BA9-2FE8-4955-95ED-701B17750665}">
  <dimension ref="A1:H32"/>
  <sheetViews>
    <sheetView topLeftCell="A14"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2352</v>
      </c>
      <c r="B2" s="390">
        <v>220000</v>
      </c>
      <c r="C2" s="389" t="s">
        <v>2353</v>
      </c>
      <c r="D2" s="391">
        <v>11585274</v>
      </c>
      <c r="E2" s="389" t="s">
        <v>24</v>
      </c>
      <c r="F2" s="392" t="s">
        <v>2354</v>
      </c>
      <c r="G2" s="391">
        <v>0</v>
      </c>
      <c r="H2" s="391">
        <v>0</v>
      </c>
    </row>
    <row r="4" spans="1:8" x14ac:dyDescent="0.3">
      <c r="A4" s="386" t="s">
        <v>11</v>
      </c>
    </row>
    <row r="6" spans="1:8" ht="16.2" thickBot="1" x14ac:dyDescent="0.35">
      <c r="A6" s="581" t="s">
        <v>12</v>
      </c>
      <c r="B6" s="10" t="s">
        <v>9</v>
      </c>
    </row>
    <row r="7" spans="1:8" ht="16.2" thickBot="1" x14ac:dyDescent="0.35">
      <c r="A7" s="580" t="s">
        <v>51</v>
      </c>
      <c r="B7" s="374">
        <v>0</v>
      </c>
    </row>
    <row r="8" spans="1:8" ht="16.2" thickBot="1" x14ac:dyDescent="0.35">
      <c r="A8" s="580" t="s">
        <v>53</v>
      </c>
      <c r="B8" s="374">
        <v>370000</v>
      </c>
    </row>
    <row r="9" spans="1:8" ht="16.2" thickBot="1" x14ac:dyDescent="0.35">
      <c r="A9" s="580" t="s">
        <v>55</v>
      </c>
      <c r="B9" s="374">
        <v>0</v>
      </c>
    </row>
    <row r="10" spans="1:8" ht="16.2" thickBot="1" x14ac:dyDescent="0.35">
      <c r="A10" s="580" t="s">
        <v>57</v>
      </c>
      <c r="B10" s="374">
        <v>0</v>
      </c>
    </row>
    <row r="11" spans="1:8" ht="16.2" thickBot="1" x14ac:dyDescent="0.35">
      <c r="A11" s="580"/>
      <c r="B11" s="374">
        <v>0</v>
      </c>
    </row>
    <row r="12" spans="1:8" ht="16.2" thickBot="1" x14ac:dyDescent="0.35">
      <c r="A12" s="580"/>
      <c r="B12" s="10"/>
      <c r="C12" s="374">
        <f>SUM(B7:B11)</f>
        <v>370000</v>
      </c>
    </row>
    <row r="13" spans="1:8" x14ac:dyDescent="0.3">
      <c r="A13" s="579"/>
      <c r="C13" s="10" t="s">
        <v>9</v>
      </c>
    </row>
    <row r="15" spans="1:8" ht="31.2" x14ac:dyDescent="0.3">
      <c r="A15" s="384" t="s">
        <v>17</v>
      </c>
      <c r="B15" s="385" t="s">
        <v>18</v>
      </c>
      <c r="C15" s="384" t="s">
        <v>19</v>
      </c>
      <c r="D15" s="384" t="s">
        <v>20</v>
      </c>
      <c r="E15" s="384" t="s">
        <v>21</v>
      </c>
      <c r="F15" s="384" t="s">
        <v>22</v>
      </c>
    </row>
    <row r="16" spans="1:8" ht="16.2" thickBot="1" x14ac:dyDescent="0.35">
      <c r="A16" s="578" t="s">
        <v>23</v>
      </c>
      <c r="B16" s="382">
        <v>4986</v>
      </c>
      <c r="C16" s="382">
        <v>39214</v>
      </c>
      <c r="D16" s="228" t="s">
        <v>24</v>
      </c>
      <c r="E16" s="382" t="s">
        <v>2355</v>
      </c>
      <c r="F16" s="382"/>
    </row>
    <row r="17" spans="1:6" ht="16.2" thickBot="1" x14ac:dyDescent="0.35">
      <c r="A17" s="578" t="s">
        <v>25</v>
      </c>
      <c r="B17" s="374">
        <v>34619</v>
      </c>
      <c r="C17" s="374">
        <v>337321</v>
      </c>
      <c r="D17" s="106" t="s">
        <v>24</v>
      </c>
      <c r="E17" s="374" t="s">
        <v>2355</v>
      </c>
      <c r="F17" s="374"/>
    </row>
    <row r="18" spans="1:6" ht="16.2" thickBot="1" x14ac:dyDescent="0.35">
      <c r="A18" s="578" t="s">
        <v>26</v>
      </c>
      <c r="B18" s="374">
        <v>0</v>
      </c>
      <c r="C18" s="374">
        <v>0</v>
      </c>
      <c r="D18" s="106"/>
      <c r="E18" s="374"/>
      <c r="F18" s="374"/>
    </row>
    <row r="19" spans="1:6" ht="16.2" thickBot="1" x14ac:dyDescent="0.35">
      <c r="A19" s="578" t="s">
        <v>27</v>
      </c>
      <c r="B19" s="374">
        <v>0</v>
      </c>
      <c r="C19" s="374">
        <v>0</v>
      </c>
      <c r="D19" s="106"/>
      <c r="E19" s="374"/>
      <c r="F19" s="374"/>
    </row>
    <row r="20" spans="1:6" ht="16.2" thickBot="1" x14ac:dyDescent="0.35">
      <c r="A20" s="578" t="s">
        <v>28</v>
      </c>
      <c r="B20" s="374" t="s">
        <v>2504</v>
      </c>
      <c r="C20" s="374">
        <v>0</v>
      </c>
      <c r="D20" s="106"/>
      <c r="E20" s="374"/>
      <c r="F20" s="374"/>
    </row>
    <row r="21" spans="1:6" ht="16.2" thickBot="1" x14ac:dyDescent="0.35">
      <c r="A21" s="578" t="s">
        <v>29</v>
      </c>
      <c r="B21" s="374">
        <v>0</v>
      </c>
      <c r="C21" s="374">
        <v>25000</v>
      </c>
      <c r="D21" s="106" t="s">
        <v>24</v>
      </c>
      <c r="E21" s="374" t="s">
        <v>2355</v>
      </c>
      <c r="F21" s="374"/>
    </row>
    <row r="22" spans="1:6" ht="16.2" thickBot="1" x14ac:dyDescent="0.35">
      <c r="A22" s="578" t="s">
        <v>30</v>
      </c>
      <c r="B22" s="374">
        <v>6581</v>
      </c>
      <c r="C22" s="374">
        <v>40440</v>
      </c>
      <c r="D22" s="106" t="s">
        <v>24</v>
      </c>
      <c r="E22" s="374" t="s">
        <v>2355</v>
      </c>
      <c r="F22" s="374"/>
    </row>
    <row r="23" spans="1:6" ht="16.2" thickBot="1" x14ac:dyDescent="0.35">
      <c r="A23" s="578" t="s">
        <v>2356</v>
      </c>
      <c r="B23" s="374">
        <v>3000</v>
      </c>
      <c r="C23" s="374">
        <v>41509.040000000001</v>
      </c>
      <c r="D23" s="106" t="s">
        <v>24</v>
      </c>
      <c r="E23" s="374" t="s">
        <v>2355</v>
      </c>
      <c r="F23" s="374"/>
    </row>
    <row r="24" spans="1:6" ht="16.2" thickBot="1" x14ac:dyDescent="0.35">
      <c r="A24" s="578" t="s">
        <v>2357</v>
      </c>
      <c r="B24" s="374">
        <v>0</v>
      </c>
      <c r="C24" s="374">
        <v>2990</v>
      </c>
      <c r="D24" s="106" t="s">
        <v>24</v>
      </c>
      <c r="E24" s="374" t="s">
        <v>2355</v>
      </c>
      <c r="F24" s="374"/>
    </row>
    <row r="25" spans="1:6" ht="16.2" thickBot="1" x14ac:dyDescent="0.35">
      <c r="A25" s="578" t="s">
        <v>2358</v>
      </c>
      <c r="B25" s="374">
        <v>2030</v>
      </c>
      <c r="C25" s="374">
        <v>2597</v>
      </c>
      <c r="D25" s="106" t="s">
        <v>24</v>
      </c>
      <c r="E25" s="374" t="s">
        <v>2355</v>
      </c>
      <c r="F25" s="374"/>
    </row>
    <row r="26" spans="1:6" ht="16.2" thickBot="1" x14ac:dyDescent="0.35">
      <c r="A26" s="580"/>
      <c r="B26" s="374">
        <v>0</v>
      </c>
      <c r="C26" s="374">
        <v>0</v>
      </c>
      <c r="D26" s="374"/>
      <c r="E26" s="374"/>
      <c r="F26" s="374"/>
    </row>
    <row r="27" spans="1:6" ht="16.2" thickBot="1" x14ac:dyDescent="0.35">
      <c r="A27" s="580"/>
      <c r="B27" s="374">
        <v>0</v>
      </c>
      <c r="C27" s="374">
        <v>0</v>
      </c>
      <c r="D27" s="374"/>
      <c r="E27" s="374"/>
      <c r="F27" s="374"/>
    </row>
    <row r="28" spans="1:6" ht="16.2" thickBot="1" x14ac:dyDescent="0.35">
      <c r="A28" s="378"/>
      <c r="B28" s="374">
        <v>0</v>
      </c>
      <c r="C28" s="374">
        <v>0</v>
      </c>
      <c r="D28" s="374"/>
      <c r="E28" s="374"/>
      <c r="F28" s="374"/>
    </row>
    <row r="29" spans="1:6" ht="16.2" thickBot="1" x14ac:dyDescent="0.35">
      <c r="A29" s="579" t="s">
        <v>32</v>
      </c>
      <c r="B29" s="379">
        <f>SUM(B16:B28)</f>
        <v>51216</v>
      </c>
      <c r="C29" s="379">
        <f>SUM(C16:C28)</f>
        <v>489071.04</v>
      </c>
      <c r="D29" s="388"/>
      <c r="E29" s="388"/>
      <c r="F29" s="380"/>
    </row>
    <row r="30" spans="1:6" x14ac:dyDescent="0.3">
      <c r="C30" s="396"/>
    </row>
    <row r="31" spans="1:6" x14ac:dyDescent="0.3">
      <c r="B31" s="372" t="s">
        <v>2505</v>
      </c>
      <c r="C31" s="372">
        <v>-250000</v>
      </c>
    </row>
    <row r="32" spans="1:6" x14ac:dyDescent="0.3">
      <c r="C32" s="396">
        <f>SUM(C29:C31)</f>
        <v>239071.03999999998</v>
      </c>
    </row>
  </sheetData>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80F5-58D3-4A9A-BFF2-7516E8F5A30C}">
  <dimension ref="A1:H29"/>
  <sheetViews>
    <sheetView topLeftCell="A13" workbookViewId="0">
      <selection activeCell="E11" sqref="E11:J11"/>
    </sheetView>
  </sheetViews>
  <sheetFormatPr defaultColWidth="9.109375" defaultRowHeight="15.6" x14ac:dyDescent="0.3"/>
  <cols>
    <col min="1" max="1" width="43.8867187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292</v>
      </c>
      <c r="B2" s="4">
        <v>20000000</v>
      </c>
      <c r="C2" s="3" t="s">
        <v>906</v>
      </c>
      <c r="D2" s="5" t="s">
        <v>907</v>
      </c>
      <c r="E2" s="3" t="s">
        <v>908</v>
      </c>
      <c r="F2" s="6" t="s">
        <v>909</v>
      </c>
      <c r="G2" s="5">
        <v>0</v>
      </c>
      <c r="H2" s="5" t="s">
        <v>910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20000000</v>
      </c>
    </row>
    <row r="9" spans="1:8" ht="16.2" thickBot="1" x14ac:dyDescent="0.35">
      <c r="A9" s="11" t="s">
        <v>55</v>
      </c>
      <c r="B9" s="12">
        <v>0</v>
      </c>
    </row>
    <row r="10" spans="1:8" ht="16.2" thickBot="1" x14ac:dyDescent="0.35">
      <c r="A10" s="11" t="s">
        <v>911</v>
      </c>
      <c r="B10" s="12">
        <v>0</v>
      </c>
    </row>
    <row r="11" spans="1:8" ht="16.2" thickBot="1" x14ac:dyDescent="0.35">
      <c r="A11" s="11"/>
      <c r="B11" s="12">
        <v>0</v>
      </c>
    </row>
    <row r="12" spans="1:8" ht="16.2" thickBot="1" x14ac:dyDescent="0.35">
      <c r="A12" s="11"/>
      <c r="B12" s="10"/>
      <c r="C12" s="12">
        <v>20000000</v>
      </c>
    </row>
    <row r="13" spans="1:8" x14ac:dyDescent="0.3">
      <c r="A13" s="13"/>
      <c r="C13" s="10" t="s">
        <v>9</v>
      </c>
    </row>
    <row r="15" spans="1:8" ht="31.8" thickBot="1" x14ac:dyDescent="0.35">
      <c r="A15" s="1" t="s">
        <v>17</v>
      </c>
      <c r="B15" s="14" t="s">
        <v>18</v>
      </c>
      <c r="C15" s="1" t="s">
        <v>19</v>
      </c>
      <c r="D15" s="1" t="s">
        <v>20</v>
      </c>
      <c r="E15" s="1" t="s">
        <v>21</v>
      </c>
      <c r="F15" s="1" t="s">
        <v>22</v>
      </c>
    </row>
    <row r="16" spans="1:8" ht="31.8" thickBot="1" x14ac:dyDescent="0.35">
      <c r="A16" s="15" t="s">
        <v>23</v>
      </c>
      <c r="B16" s="16">
        <v>23081.19</v>
      </c>
      <c r="C16" s="16">
        <v>45654.64</v>
      </c>
      <c r="D16" s="30" t="s">
        <v>24</v>
      </c>
      <c r="E16" s="30" t="s">
        <v>79</v>
      </c>
      <c r="F16" s="225" t="s">
        <v>912</v>
      </c>
    </row>
    <row r="17" spans="1:6" ht="94.2" thickBot="1" x14ac:dyDescent="0.35">
      <c r="A17" s="15" t="s">
        <v>25</v>
      </c>
      <c r="B17" s="12">
        <v>26177</v>
      </c>
      <c r="C17" s="12">
        <v>51302</v>
      </c>
      <c r="D17" s="30" t="s">
        <v>24</v>
      </c>
      <c r="E17" s="30" t="s">
        <v>79</v>
      </c>
      <c r="F17" s="226" t="s">
        <v>913</v>
      </c>
    </row>
    <row r="18" spans="1:6" ht="16.2" thickBot="1" x14ac:dyDescent="0.35">
      <c r="A18" s="15" t="s">
        <v>26</v>
      </c>
      <c r="B18" s="12">
        <v>0</v>
      </c>
      <c r="C18" s="12">
        <v>0</v>
      </c>
      <c r="D18" s="30"/>
      <c r="E18" s="30"/>
      <c r="F18" s="227"/>
    </row>
    <row r="19" spans="1:6" ht="16.2" thickBot="1" x14ac:dyDescent="0.35">
      <c r="A19" s="15" t="s">
        <v>27</v>
      </c>
      <c r="B19" s="12">
        <v>0</v>
      </c>
      <c r="C19" s="12">
        <v>0</v>
      </c>
      <c r="D19" s="30"/>
      <c r="E19" s="30"/>
      <c r="F19" s="227"/>
    </row>
    <row r="20" spans="1:6" ht="16.2" thickBot="1" x14ac:dyDescent="0.35">
      <c r="A20" s="15" t="s">
        <v>28</v>
      </c>
      <c r="B20" s="12">
        <v>0</v>
      </c>
      <c r="C20" s="12">
        <v>0</v>
      </c>
      <c r="D20" s="30"/>
      <c r="E20" s="30"/>
      <c r="F20" s="227"/>
    </row>
    <row r="21" spans="1:6" ht="16.2" thickBot="1" x14ac:dyDescent="0.35">
      <c r="A21" s="15" t="s">
        <v>29</v>
      </c>
      <c r="B21" s="12">
        <v>62428.32</v>
      </c>
      <c r="C21" s="12">
        <v>114420.98</v>
      </c>
      <c r="D21" s="30" t="s">
        <v>24</v>
      </c>
      <c r="E21" s="30" t="s">
        <v>79</v>
      </c>
      <c r="F21" s="226" t="s">
        <v>914</v>
      </c>
    </row>
    <row r="22" spans="1:6" ht="47.4" thickBot="1" x14ac:dyDescent="0.35">
      <c r="A22" s="15" t="s">
        <v>30</v>
      </c>
      <c r="B22" s="12">
        <v>58214.279999999992</v>
      </c>
      <c r="C22" s="12">
        <v>99091.09</v>
      </c>
      <c r="D22" s="30" t="s">
        <v>24</v>
      </c>
      <c r="E22" s="30" t="s">
        <v>79</v>
      </c>
      <c r="F22" s="226" t="s">
        <v>915</v>
      </c>
    </row>
    <row r="23" spans="1:6" ht="16.2" hidden="1" thickBot="1" x14ac:dyDescent="0.35">
      <c r="A23" s="11"/>
      <c r="B23" s="12">
        <v>0</v>
      </c>
      <c r="C23" s="12">
        <v>0</v>
      </c>
      <c r="D23" s="19"/>
      <c r="E23" s="19"/>
      <c r="F23" s="20"/>
    </row>
    <row r="24" spans="1:6" ht="16.2" hidden="1" thickBot="1" x14ac:dyDescent="0.35">
      <c r="A24" s="11"/>
      <c r="B24" s="12">
        <v>0</v>
      </c>
      <c r="C24" s="12">
        <v>0</v>
      </c>
      <c r="D24" s="19"/>
      <c r="E24" s="19"/>
      <c r="F24" s="20"/>
    </row>
    <row r="25" spans="1:6" ht="16.2" hidden="1" thickBot="1" x14ac:dyDescent="0.35">
      <c r="A25" s="11"/>
      <c r="B25" s="12">
        <v>0</v>
      </c>
      <c r="C25" s="12">
        <v>0</v>
      </c>
      <c r="D25" s="19"/>
      <c r="E25" s="19"/>
      <c r="F25" s="20"/>
    </row>
    <row r="26" spans="1:6" ht="16.2" hidden="1" thickBot="1" x14ac:dyDescent="0.35">
      <c r="A26" s="11"/>
      <c r="B26" s="12">
        <v>0</v>
      </c>
      <c r="C26" s="12">
        <v>0</v>
      </c>
      <c r="D26" s="19"/>
      <c r="E26" s="19"/>
      <c r="F26" s="20"/>
    </row>
    <row r="27" spans="1:6" ht="16.2" hidden="1"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169900.79</v>
      </c>
      <c r="C29" s="22">
        <v>310468.70999999996</v>
      </c>
      <c r="D29" s="23"/>
      <c r="E29" s="23"/>
      <c r="F29" s="24"/>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B0B5-26B3-4B41-87A6-5CD3215CDB83}">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7.5" customHeight="1" thickBot="1" x14ac:dyDescent="0.35">
      <c r="A2" s="389" t="s">
        <v>2456</v>
      </c>
      <c r="B2" s="390">
        <v>1381354</v>
      </c>
      <c r="C2" s="300" t="s">
        <v>2457</v>
      </c>
      <c r="D2" s="391">
        <v>28069597</v>
      </c>
      <c r="E2" s="389" t="s">
        <v>24</v>
      </c>
      <c r="F2" s="392" t="s">
        <v>2458</v>
      </c>
      <c r="G2" s="391"/>
      <c r="H2" s="391">
        <v>-1484561</v>
      </c>
    </row>
    <row r="4" spans="1:8" x14ac:dyDescent="0.3">
      <c r="A4" s="386" t="s">
        <v>11</v>
      </c>
    </row>
    <row r="6" spans="1:8" ht="16.2" thickBot="1" x14ac:dyDescent="0.35">
      <c r="A6" s="628" t="s">
        <v>12</v>
      </c>
      <c r="B6" s="10" t="s">
        <v>9</v>
      </c>
    </row>
    <row r="7" spans="1:8" ht="16.2" thickBot="1" x14ac:dyDescent="0.35">
      <c r="A7" s="627" t="s">
        <v>51</v>
      </c>
      <c r="B7" s="374">
        <v>0</v>
      </c>
    </row>
    <row r="8" spans="1:8" ht="16.2" thickBot="1" x14ac:dyDescent="0.35">
      <c r="A8" s="627" t="s">
        <v>53</v>
      </c>
      <c r="B8" s="374">
        <v>34353347</v>
      </c>
    </row>
    <row r="9" spans="1:8" ht="16.2" thickBot="1" x14ac:dyDescent="0.35">
      <c r="A9" s="627" t="s">
        <v>55</v>
      </c>
      <c r="B9" s="374">
        <v>0</v>
      </c>
    </row>
    <row r="10" spans="1:8" ht="16.2" thickBot="1" x14ac:dyDescent="0.35">
      <c r="A10" s="627" t="s">
        <v>57</v>
      </c>
      <c r="B10" s="374">
        <v>0</v>
      </c>
    </row>
    <row r="11" spans="1:8" ht="16.2" thickBot="1" x14ac:dyDescent="0.35">
      <c r="A11" s="627"/>
      <c r="B11" s="374">
        <v>0</v>
      </c>
    </row>
    <row r="12" spans="1:8" ht="16.2" thickBot="1" x14ac:dyDescent="0.35">
      <c r="A12" s="627"/>
      <c r="B12" s="10"/>
      <c r="C12" s="374">
        <f>SUM(B7:B11)</f>
        <v>34353347</v>
      </c>
    </row>
    <row r="13" spans="1:8" x14ac:dyDescent="0.3">
      <c r="A13" s="626"/>
      <c r="C13" s="10" t="s">
        <v>9</v>
      </c>
    </row>
    <row r="15" spans="1:8" ht="31.2" x14ac:dyDescent="0.3">
      <c r="A15" s="384" t="s">
        <v>23</v>
      </c>
      <c r="B15" s="385" t="s">
        <v>18</v>
      </c>
      <c r="C15" s="384" t="s">
        <v>19</v>
      </c>
      <c r="D15" s="384" t="s">
        <v>20</v>
      </c>
      <c r="E15" s="384" t="s">
        <v>21</v>
      </c>
      <c r="F15" s="384" t="s">
        <v>22</v>
      </c>
    </row>
    <row r="16" spans="1:8" ht="16.2" thickBot="1" x14ac:dyDescent="0.35">
      <c r="A16" s="625" t="s">
        <v>23</v>
      </c>
      <c r="B16" s="382">
        <v>37853.9</v>
      </c>
      <c r="C16" s="382">
        <v>53714.7</v>
      </c>
      <c r="D16" s="397" t="s">
        <v>10</v>
      </c>
      <c r="E16" s="359" t="s">
        <v>2459</v>
      </c>
      <c r="F16" s="383"/>
    </row>
    <row r="17" spans="1:6" ht="16.2" thickBot="1" x14ac:dyDescent="0.35">
      <c r="A17" s="625" t="s">
        <v>25</v>
      </c>
      <c r="B17" s="374">
        <v>36035.06</v>
      </c>
      <c r="C17" s="374">
        <v>83563.31</v>
      </c>
      <c r="D17" s="394" t="s">
        <v>10</v>
      </c>
      <c r="E17" s="359" t="s">
        <v>2459</v>
      </c>
      <c r="F17" s="377"/>
    </row>
    <row r="18" spans="1:6" ht="16.2" thickBot="1" x14ac:dyDescent="0.35">
      <c r="A18" s="625" t="s">
        <v>26</v>
      </c>
      <c r="B18" s="374">
        <v>58652.649999999994</v>
      </c>
      <c r="C18" s="374">
        <v>76428.47</v>
      </c>
      <c r="D18" s="394"/>
      <c r="E18" s="387"/>
      <c r="F18" s="377"/>
    </row>
    <row r="19" spans="1:6" ht="16.2" thickBot="1" x14ac:dyDescent="0.35">
      <c r="A19" s="625" t="s">
        <v>27</v>
      </c>
      <c r="B19" s="374">
        <v>20443.259999999998</v>
      </c>
      <c r="C19" s="374">
        <v>64746.374750000017</v>
      </c>
      <c r="D19" s="394" t="s">
        <v>10</v>
      </c>
      <c r="E19" s="359" t="s">
        <v>2459</v>
      </c>
      <c r="F19" s="377"/>
    </row>
    <row r="20" spans="1:6" ht="16.2" thickBot="1" x14ac:dyDescent="0.35">
      <c r="A20" s="625" t="s">
        <v>28</v>
      </c>
      <c r="B20" s="374"/>
      <c r="C20" s="374"/>
      <c r="D20" s="394"/>
      <c r="E20" s="387"/>
      <c r="F20" s="377"/>
    </row>
    <row r="21" spans="1:6" ht="16.2" thickBot="1" x14ac:dyDescent="0.35">
      <c r="A21" s="625" t="s">
        <v>29</v>
      </c>
      <c r="B21" s="374">
        <v>83133.97</v>
      </c>
      <c r="C21" s="374">
        <v>106188.62525</v>
      </c>
      <c r="D21" s="394" t="s">
        <v>10</v>
      </c>
      <c r="E21" s="359" t="s">
        <v>2459</v>
      </c>
      <c r="F21" s="377"/>
    </row>
    <row r="22" spans="1:6" ht="16.2" thickBot="1" x14ac:dyDescent="0.35">
      <c r="A22" s="625" t="s">
        <v>30</v>
      </c>
      <c r="B22" s="374">
        <v>17090.020000000004</v>
      </c>
      <c r="C22" s="374">
        <v>39078.879999999997</v>
      </c>
      <c r="D22" s="394" t="s">
        <v>10</v>
      </c>
      <c r="E22" s="359" t="s">
        <v>2459</v>
      </c>
      <c r="F22" s="377"/>
    </row>
    <row r="23" spans="1:6" ht="16.2" thickBot="1" x14ac:dyDescent="0.35">
      <c r="A23" s="627"/>
      <c r="B23" s="374">
        <v>0</v>
      </c>
      <c r="C23" s="374">
        <v>0</v>
      </c>
      <c r="D23" s="387"/>
      <c r="E23" s="387"/>
      <c r="F23" s="377"/>
    </row>
    <row r="24" spans="1:6" ht="16.2" thickBot="1" x14ac:dyDescent="0.35">
      <c r="A24" s="627"/>
      <c r="B24" s="374">
        <v>0</v>
      </c>
      <c r="C24" s="374">
        <v>0</v>
      </c>
      <c r="D24" s="387"/>
      <c r="E24" s="387"/>
      <c r="F24" s="377"/>
    </row>
    <row r="25" spans="1:6" ht="16.2" thickBot="1" x14ac:dyDescent="0.35">
      <c r="A25" s="627"/>
      <c r="B25" s="374">
        <v>0</v>
      </c>
      <c r="C25" s="374">
        <v>0</v>
      </c>
      <c r="D25" s="387"/>
      <c r="E25" s="387"/>
      <c r="F25" s="377"/>
    </row>
    <row r="26" spans="1:6" ht="16.2" thickBot="1" x14ac:dyDescent="0.35">
      <c r="A26" s="627"/>
      <c r="B26" s="374">
        <v>0</v>
      </c>
      <c r="C26" s="374">
        <v>0</v>
      </c>
      <c r="D26" s="387"/>
      <c r="E26" s="387"/>
      <c r="F26" s="377"/>
    </row>
    <row r="27" spans="1:6" ht="16.2" thickBot="1" x14ac:dyDescent="0.35">
      <c r="A27" s="627"/>
      <c r="B27" s="374">
        <v>0</v>
      </c>
      <c r="C27" s="374">
        <v>0</v>
      </c>
      <c r="D27" s="387"/>
      <c r="E27" s="387"/>
      <c r="F27" s="377"/>
    </row>
    <row r="28" spans="1:6" ht="16.2" thickBot="1" x14ac:dyDescent="0.35">
      <c r="A28" s="378"/>
      <c r="B28" s="374">
        <v>0</v>
      </c>
      <c r="C28" s="374">
        <v>0</v>
      </c>
      <c r="D28" s="387"/>
      <c r="E28" s="387"/>
      <c r="F28" s="377"/>
    </row>
    <row r="29" spans="1:6" ht="16.2" thickBot="1" x14ac:dyDescent="0.35">
      <c r="A29" s="626" t="s">
        <v>32</v>
      </c>
      <c r="B29" s="379">
        <f>SUM(B16:B28)</f>
        <v>253208.86</v>
      </c>
      <c r="C29" s="379">
        <f>SUM(C16:C28)</f>
        <v>423720.36000000004</v>
      </c>
      <c r="D29" s="388"/>
      <c r="E29" s="388"/>
      <c r="F29" s="380"/>
    </row>
  </sheetData>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8A2F-2D8E-4820-9A05-285B6270AF71}">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901</v>
      </c>
      <c r="B2" s="4">
        <v>225000</v>
      </c>
      <c r="C2" s="3" t="s">
        <v>902</v>
      </c>
      <c r="D2" s="5">
        <v>9856858</v>
      </c>
      <c r="E2" s="3" t="s">
        <v>657</v>
      </c>
      <c r="F2" s="6"/>
      <c r="G2" s="5" t="s">
        <v>48</v>
      </c>
      <c r="H2" s="5" t="s">
        <v>48</v>
      </c>
    </row>
    <row r="4" spans="1:8" x14ac:dyDescent="0.3">
      <c r="A4" s="8" t="s">
        <v>11</v>
      </c>
    </row>
    <row r="6" spans="1:8" ht="16.2" thickBot="1" x14ac:dyDescent="0.35">
      <c r="A6" s="9" t="s">
        <v>12</v>
      </c>
      <c r="B6" s="10" t="s">
        <v>9</v>
      </c>
    </row>
    <row r="7" spans="1:8" ht="16.2" thickBot="1" x14ac:dyDescent="0.35">
      <c r="A7" s="11" t="s">
        <v>13</v>
      </c>
      <c r="B7" s="223">
        <v>0</v>
      </c>
    </row>
    <row r="8" spans="1:8" ht="16.2" thickBot="1" x14ac:dyDescent="0.35">
      <c r="A8" s="11" t="s">
        <v>14</v>
      </c>
      <c r="B8" s="12">
        <v>5800</v>
      </c>
    </row>
    <row r="9" spans="1:8" ht="16.2" thickBot="1" x14ac:dyDescent="0.35">
      <c r="A9" s="11"/>
      <c r="B9" s="12">
        <v>0</v>
      </c>
    </row>
    <row r="10" spans="1:8" ht="16.2" thickBot="1" x14ac:dyDescent="0.35">
      <c r="A10" s="11"/>
      <c r="B10" s="12">
        <v>0</v>
      </c>
    </row>
    <row r="11" spans="1:8" ht="16.2" thickBot="1" x14ac:dyDescent="0.35">
      <c r="A11" s="11"/>
      <c r="B11" s="10"/>
      <c r="C11" s="12">
        <v>5800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4000</v>
      </c>
      <c r="C15" s="16">
        <v>4500</v>
      </c>
      <c r="D15" s="29" t="s">
        <v>24</v>
      </c>
      <c r="E15" s="17" t="s">
        <v>79</v>
      </c>
      <c r="F15" s="18" t="s">
        <v>903</v>
      </c>
    </row>
    <row r="16" spans="1:8" ht="16.2" thickBot="1" x14ac:dyDescent="0.35">
      <c r="A16" s="15" t="s">
        <v>25</v>
      </c>
      <c r="B16" s="224">
        <v>3000</v>
      </c>
      <c r="C16" s="12">
        <v>3000</v>
      </c>
      <c r="D16" s="30" t="s">
        <v>24</v>
      </c>
      <c r="E16" s="19"/>
      <c r="F16" s="20" t="s">
        <v>904</v>
      </c>
    </row>
    <row r="17" spans="1:6" ht="16.2" thickBot="1" x14ac:dyDescent="0.35">
      <c r="A17" s="15" t="s">
        <v>26</v>
      </c>
      <c r="B17" s="223">
        <v>0</v>
      </c>
      <c r="C17" s="223">
        <v>0</v>
      </c>
      <c r="D17" s="19"/>
      <c r="E17" s="19"/>
      <c r="F17" s="20"/>
    </row>
    <row r="18" spans="1:6" ht="16.2" thickBot="1" x14ac:dyDescent="0.35">
      <c r="A18" s="15" t="s">
        <v>27</v>
      </c>
      <c r="B18" s="223">
        <v>0</v>
      </c>
      <c r="C18" s="223">
        <v>0</v>
      </c>
      <c r="D18" s="19"/>
      <c r="E18" s="19"/>
      <c r="F18" s="20"/>
    </row>
    <row r="19" spans="1:6" ht="16.2" thickBot="1" x14ac:dyDescent="0.35">
      <c r="A19" s="15" t="s">
        <v>28</v>
      </c>
      <c r="B19" s="223">
        <v>0</v>
      </c>
      <c r="C19" s="223">
        <v>0</v>
      </c>
      <c r="D19" s="19"/>
      <c r="E19" s="19"/>
      <c r="F19" s="20"/>
    </row>
    <row r="20" spans="1:6" ht="16.2" thickBot="1" x14ac:dyDescent="0.35">
      <c r="A20" s="15" t="s">
        <v>29</v>
      </c>
      <c r="B20" s="12">
        <v>32000</v>
      </c>
      <c r="C20" s="12">
        <v>32000</v>
      </c>
      <c r="D20" s="30" t="s">
        <v>24</v>
      </c>
      <c r="E20" s="19" t="s">
        <v>79</v>
      </c>
      <c r="F20" s="20" t="s">
        <v>905</v>
      </c>
    </row>
    <row r="21" spans="1:6" ht="16.2" thickBot="1" x14ac:dyDescent="0.35">
      <c r="A21" s="15" t="s">
        <v>30</v>
      </c>
      <c r="B21" s="12">
        <v>500</v>
      </c>
      <c r="C21" s="12">
        <v>1000</v>
      </c>
      <c r="D21" s="30" t="s">
        <v>24</v>
      </c>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39500</v>
      </c>
      <c r="C28" s="22">
        <v>40500</v>
      </c>
      <c r="D28" s="23"/>
      <c r="E28" s="23"/>
      <c r="F28" s="24"/>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9B70-BDCE-4DA8-917E-09419AE5CD33}">
  <dimension ref="A1:H29"/>
  <sheetViews>
    <sheetView topLeftCell="A8"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2128</v>
      </c>
      <c r="B2" s="390">
        <v>110000</v>
      </c>
      <c r="C2" s="389" t="s">
        <v>2129</v>
      </c>
      <c r="D2" s="391">
        <v>3000000</v>
      </c>
      <c r="E2" s="389" t="s">
        <v>10</v>
      </c>
      <c r="F2" s="392"/>
      <c r="G2" s="391">
        <v>0</v>
      </c>
      <c r="H2" s="391">
        <v>0</v>
      </c>
    </row>
    <row r="4" spans="1:8" x14ac:dyDescent="0.3">
      <c r="A4" s="386" t="s">
        <v>11</v>
      </c>
    </row>
    <row r="6" spans="1:8" ht="16.2" thickBot="1" x14ac:dyDescent="0.35">
      <c r="A6" s="491" t="s">
        <v>12</v>
      </c>
      <c r="B6" s="10" t="s">
        <v>9</v>
      </c>
    </row>
    <row r="7" spans="1:8" ht="16.2" thickBot="1" x14ac:dyDescent="0.35">
      <c r="A7" s="490" t="s">
        <v>51</v>
      </c>
      <c r="B7" s="374">
        <v>0</v>
      </c>
    </row>
    <row r="8" spans="1:8" ht="16.2" thickBot="1" x14ac:dyDescent="0.35">
      <c r="A8" s="490" t="s">
        <v>53</v>
      </c>
      <c r="B8" s="374">
        <v>0</v>
      </c>
    </row>
    <row r="9" spans="1:8" ht="16.2" thickBot="1" x14ac:dyDescent="0.35">
      <c r="A9" s="490" t="s">
        <v>55</v>
      </c>
      <c r="B9" s="374">
        <v>10000</v>
      </c>
    </row>
    <row r="10" spans="1:8" ht="16.2" thickBot="1" x14ac:dyDescent="0.35">
      <c r="A10" s="490" t="s">
        <v>57</v>
      </c>
      <c r="B10" s="374">
        <v>150000</v>
      </c>
    </row>
    <row r="11" spans="1:8" ht="16.2" thickBot="1" x14ac:dyDescent="0.35">
      <c r="A11" s="490"/>
      <c r="B11" s="374">
        <v>0</v>
      </c>
    </row>
    <row r="12" spans="1:8" ht="16.2" thickBot="1" x14ac:dyDescent="0.35">
      <c r="A12" s="490"/>
      <c r="B12" s="10"/>
      <c r="C12" s="374">
        <f>SUM(B7:B11)</f>
        <v>160000</v>
      </c>
    </row>
    <row r="13" spans="1:8" x14ac:dyDescent="0.3">
      <c r="A13" s="489"/>
      <c r="C13" s="10" t="s">
        <v>9</v>
      </c>
    </row>
    <row r="15" spans="1:8" ht="31.2" x14ac:dyDescent="0.3">
      <c r="A15" s="384" t="s">
        <v>17</v>
      </c>
      <c r="B15" s="385" t="s">
        <v>18</v>
      </c>
      <c r="C15" s="384" t="s">
        <v>19</v>
      </c>
      <c r="D15" s="384" t="s">
        <v>20</v>
      </c>
      <c r="E15" s="384" t="s">
        <v>21</v>
      </c>
      <c r="F15" s="384" t="s">
        <v>22</v>
      </c>
    </row>
    <row r="16" spans="1:8" ht="16.2" thickBot="1" x14ac:dyDescent="0.35">
      <c r="A16" s="488" t="s">
        <v>23</v>
      </c>
      <c r="B16" s="382">
        <v>300</v>
      </c>
      <c r="C16" s="382">
        <v>1000</v>
      </c>
      <c r="D16" s="359" t="s">
        <v>24</v>
      </c>
      <c r="E16" s="359"/>
      <c r="F16" s="383"/>
    </row>
    <row r="17" spans="1:6" ht="16.2" thickBot="1" x14ac:dyDescent="0.35">
      <c r="A17" s="488" t="s">
        <v>25</v>
      </c>
      <c r="B17" s="374">
        <v>0</v>
      </c>
      <c r="C17" s="374">
        <v>1000</v>
      </c>
      <c r="D17" s="387" t="s">
        <v>24</v>
      </c>
      <c r="E17" s="387"/>
      <c r="F17" s="377"/>
    </row>
    <row r="18" spans="1:6" ht="16.2" thickBot="1" x14ac:dyDescent="0.35">
      <c r="A18" s="488" t="s">
        <v>26</v>
      </c>
      <c r="B18" s="374">
        <v>0</v>
      </c>
      <c r="C18" s="374">
        <v>0</v>
      </c>
      <c r="D18" s="387"/>
      <c r="E18" s="387"/>
      <c r="F18" s="377"/>
    </row>
    <row r="19" spans="1:6" ht="16.2" thickBot="1" x14ac:dyDescent="0.35">
      <c r="A19" s="488" t="s">
        <v>27</v>
      </c>
      <c r="B19" s="374">
        <v>0</v>
      </c>
      <c r="C19" s="374">
        <v>0</v>
      </c>
      <c r="D19" s="387"/>
      <c r="E19" s="387"/>
      <c r="F19" s="377"/>
    </row>
    <row r="20" spans="1:6" ht="16.2" thickBot="1" x14ac:dyDescent="0.35">
      <c r="A20" s="488" t="s">
        <v>28</v>
      </c>
      <c r="B20" s="374">
        <v>0</v>
      </c>
      <c r="C20" s="374">
        <v>0</v>
      </c>
      <c r="D20" s="387"/>
      <c r="E20" s="387"/>
      <c r="F20" s="377"/>
    </row>
    <row r="21" spans="1:6" ht="16.2" thickBot="1" x14ac:dyDescent="0.35">
      <c r="A21" s="488" t="s">
        <v>29</v>
      </c>
      <c r="B21" s="374">
        <v>0</v>
      </c>
      <c r="C21" s="374">
        <v>1000</v>
      </c>
      <c r="D21" s="387" t="s">
        <v>24</v>
      </c>
      <c r="E21" s="387"/>
      <c r="F21" s="377"/>
    </row>
    <row r="22" spans="1:6" ht="16.2" thickBot="1" x14ac:dyDescent="0.35">
      <c r="A22" s="488" t="s">
        <v>30</v>
      </c>
      <c r="B22" s="374">
        <v>0</v>
      </c>
      <c r="C22" s="374">
        <v>0</v>
      </c>
      <c r="D22" s="387"/>
      <c r="E22" s="387"/>
      <c r="F22" s="377"/>
    </row>
    <row r="23" spans="1:6" ht="16.2" thickBot="1" x14ac:dyDescent="0.35">
      <c r="A23" s="490"/>
      <c r="B23" s="374">
        <v>0</v>
      </c>
      <c r="C23" s="374">
        <v>0</v>
      </c>
      <c r="D23" s="387"/>
      <c r="E23" s="387"/>
      <c r="F23" s="377"/>
    </row>
    <row r="24" spans="1:6" ht="16.2" thickBot="1" x14ac:dyDescent="0.35">
      <c r="A24" s="490"/>
      <c r="B24" s="374">
        <v>0</v>
      </c>
      <c r="C24" s="374">
        <v>0</v>
      </c>
      <c r="D24" s="387"/>
      <c r="E24" s="387"/>
      <c r="F24" s="377"/>
    </row>
    <row r="25" spans="1:6" ht="16.2" thickBot="1" x14ac:dyDescent="0.35">
      <c r="A25" s="490"/>
      <c r="B25" s="374">
        <v>0</v>
      </c>
      <c r="C25" s="374">
        <v>0</v>
      </c>
      <c r="D25" s="387"/>
      <c r="E25" s="387"/>
      <c r="F25" s="377"/>
    </row>
    <row r="26" spans="1:6" ht="16.2" thickBot="1" x14ac:dyDescent="0.35">
      <c r="A26" s="490"/>
      <c r="B26" s="374">
        <v>0</v>
      </c>
      <c r="C26" s="374">
        <v>0</v>
      </c>
      <c r="D26" s="387"/>
      <c r="E26" s="387"/>
      <c r="F26" s="377"/>
    </row>
    <row r="27" spans="1:6" ht="16.2" thickBot="1" x14ac:dyDescent="0.35">
      <c r="A27" s="490"/>
      <c r="B27" s="374">
        <v>0</v>
      </c>
      <c r="C27" s="374">
        <v>0</v>
      </c>
      <c r="D27" s="387"/>
      <c r="E27" s="387"/>
      <c r="F27" s="377"/>
    </row>
    <row r="28" spans="1:6" ht="16.2" thickBot="1" x14ac:dyDescent="0.35">
      <c r="A28" s="378"/>
      <c r="B28" s="374">
        <v>0</v>
      </c>
      <c r="C28" s="374">
        <v>0</v>
      </c>
      <c r="D28" s="387"/>
      <c r="E28" s="387"/>
      <c r="F28" s="377"/>
    </row>
    <row r="29" spans="1:6" ht="16.2" thickBot="1" x14ac:dyDescent="0.35">
      <c r="A29" s="489" t="s">
        <v>32</v>
      </c>
      <c r="B29" s="379">
        <f>SUM(B16:B28)</f>
        <v>300</v>
      </c>
      <c r="C29" s="379">
        <f>SUM(C16:C28)</f>
        <v>3000</v>
      </c>
      <c r="D29" s="388"/>
      <c r="E29" s="388"/>
      <c r="F29" s="380"/>
    </row>
  </sheetData>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428E-4BD1-4B41-BECB-ECA4C23FDF93}">
  <dimension ref="A1:H41"/>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2285</v>
      </c>
      <c r="B2" s="390">
        <v>14000000</v>
      </c>
      <c r="C2" s="389" t="s">
        <v>2274</v>
      </c>
      <c r="D2" s="391">
        <v>15759887</v>
      </c>
      <c r="E2" s="389" t="s">
        <v>24</v>
      </c>
      <c r="F2" s="392" t="s">
        <v>2275</v>
      </c>
      <c r="G2" s="391">
        <v>6700000</v>
      </c>
      <c r="H2" s="391">
        <v>15200000</v>
      </c>
    </row>
    <row r="4" spans="1:8" x14ac:dyDescent="0.3">
      <c r="A4" s="386" t="s">
        <v>11</v>
      </c>
    </row>
    <row r="6" spans="1:8" ht="16.2" thickBot="1" x14ac:dyDescent="0.35">
      <c r="A6" s="549" t="s">
        <v>12</v>
      </c>
      <c r="B6" s="10" t="s">
        <v>9</v>
      </c>
    </row>
    <row r="7" spans="1:8" ht="16.2" thickBot="1" x14ac:dyDescent="0.35">
      <c r="A7" s="548" t="s">
        <v>51</v>
      </c>
      <c r="B7" s="374">
        <v>0</v>
      </c>
    </row>
    <row r="8" spans="1:8" ht="16.2" thickBot="1" x14ac:dyDescent="0.35">
      <c r="A8" s="548" t="s">
        <v>53</v>
      </c>
      <c r="B8" s="374">
        <v>50000000</v>
      </c>
      <c r="C8" s="372" t="s">
        <v>2276</v>
      </c>
    </row>
    <row r="9" spans="1:8" ht="16.2" thickBot="1" x14ac:dyDescent="0.35">
      <c r="A9" s="548" t="s">
        <v>55</v>
      </c>
      <c r="B9" s="374">
        <v>500000</v>
      </c>
    </row>
    <row r="10" spans="1:8" ht="16.2" thickBot="1" x14ac:dyDescent="0.35">
      <c r="A10" s="548" t="s">
        <v>57</v>
      </c>
      <c r="B10" s="374">
        <v>400000</v>
      </c>
    </row>
    <row r="11" spans="1:8" ht="16.2" thickBot="1" x14ac:dyDescent="0.35">
      <c r="A11" s="548"/>
      <c r="B11" s="374">
        <v>0</v>
      </c>
    </row>
    <row r="12" spans="1:8" ht="16.2" thickBot="1" x14ac:dyDescent="0.35">
      <c r="A12" s="548"/>
      <c r="B12" s="10"/>
      <c r="C12" s="374">
        <f>SUM(B7:B11)</f>
        <v>50900000</v>
      </c>
    </row>
    <row r="13" spans="1:8" x14ac:dyDescent="0.3">
      <c r="A13" s="547"/>
      <c r="C13" s="10" t="s">
        <v>9</v>
      </c>
    </row>
    <row r="15" spans="1:8" ht="31.2" x14ac:dyDescent="0.3">
      <c r="A15" s="384" t="s">
        <v>17</v>
      </c>
      <c r="B15" s="385" t="s">
        <v>18</v>
      </c>
      <c r="C15" s="384" t="s">
        <v>19</v>
      </c>
      <c r="D15" s="384" t="s">
        <v>20</v>
      </c>
      <c r="E15" s="384" t="s">
        <v>21</v>
      </c>
      <c r="F15" s="384" t="s">
        <v>22</v>
      </c>
    </row>
    <row r="16" spans="1:8" ht="16.2" thickBot="1" x14ac:dyDescent="0.35">
      <c r="A16" s="546" t="s">
        <v>23</v>
      </c>
      <c r="B16" s="382">
        <v>62059.71</v>
      </c>
      <c r="C16" s="382">
        <v>112059.70999999999</v>
      </c>
      <c r="D16" s="359" t="s">
        <v>423</v>
      </c>
      <c r="E16" s="359" t="s">
        <v>2277</v>
      </c>
      <c r="F16" s="383"/>
    </row>
    <row r="17" spans="1:6" ht="16.2" thickBot="1" x14ac:dyDescent="0.35">
      <c r="A17" s="546" t="s">
        <v>25</v>
      </c>
      <c r="B17" s="374">
        <v>987848.2</v>
      </c>
      <c r="C17" s="374">
        <v>1137848.2</v>
      </c>
      <c r="D17" s="359" t="s">
        <v>423</v>
      </c>
      <c r="E17" s="387" t="s">
        <v>2278</v>
      </c>
      <c r="F17" s="377" t="s">
        <v>2279</v>
      </c>
    </row>
    <row r="18" spans="1:6" ht="16.2" thickBot="1" x14ac:dyDescent="0.35">
      <c r="A18" s="546" t="s">
        <v>26</v>
      </c>
      <c r="B18" s="374">
        <v>86533.11</v>
      </c>
      <c r="C18" s="374">
        <v>286533.11</v>
      </c>
      <c r="D18" s="359" t="s">
        <v>423</v>
      </c>
      <c r="E18" s="359" t="s">
        <v>2280</v>
      </c>
      <c r="F18" s="377"/>
    </row>
    <row r="19" spans="1:6" ht="16.2" thickBot="1" x14ac:dyDescent="0.35">
      <c r="A19" s="546" t="s">
        <v>27</v>
      </c>
      <c r="B19" s="374">
        <v>103984.02</v>
      </c>
      <c r="C19" s="374">
        <v>203984.02000000002</v>
      </c>
      <c r="D19" s="359" t="s">
        <v>423</v>
      </c>
      <c r="E19" s="359" t="s">
        <v>2280</v>
      </c>
      <c r="F19" s="377"/>
    </row>
    <row r="20" spans="1:6" ht="16.2" thickBot="1" x14ac:dyDescent="0.35">
      <c r="A20" s="546" t="s">
        <v>28</v>
      </c>
      <c r="B20" s="374">
        <v>89150.7</v>
      </c>
      <c r="C20" s="374">
        <v>189150.7</v>
      </c>
      <c r="D20" s="359" t="s">
        <v>423</v>
      </c>
      <c r="E20" s="359" t="s">
        <v>2280</v>
      </c>
      <c r="F20" s="377"/>
    </row>
    <row r="21" spans="1:6" ht="16.2" thickBot="1" x14ac:dyDescent="0.35">
      <c r="A21" s="546" t="s">
        <v>29</v>
      </c>
      <c r="B21" s="374">
        <v>187765.97000000018</v>
      </c>
      <c r="C21" s="374">
        <v>387765.9700000002</v>
      </c>
      <c r="D21" s="359" t="s">
        <v>423</v>
      </c>
      <c r="E21" s="359" t="s">
        <v>2281</v>
      </c>
      <c r="F21" s="377"/>
    </row>
    <row r="22" spans="1:6" ht="16.2" thickBot="1" x14ac:dyDescent="0.35">
      <c r="A22" s="546" t="s">
        <v>30</v>
      </c>
      <c r="B22" s="374">
        <v>66471.81</v>
      </c>
      <c r="C22" s="374">
        <v>216471.81</v>
      </c>
      <c r="D22" s="359" t="s">
        <v>423</v>
      </c>
      <c r="E22" s="359" t="s">
        <v>2282</v>
      </c>
      <c r="F22" s="377"/>
    </row>
    <row r="23" spans="1:6" ht="16.2" thickBot="1" x14ac:dyDescent="0.35">
      <c r="A23" s="546" t="s">
        <v>2283</v>
      </c>
      <c r="B23" s="374">
        <v>3239.21</v>
      </c>
      <c r="C23" s="374">
        <v>8239.2099999999991</v>
      </c>
      <c r="D23" s="359" t="s">
        <v>423</v>
      </c>
      <c r="E23" s="359" t="s">
        <v>2280</v>
      </c>
      <c r="F23" s="377"/>
    </row>
    <row r="24" spans="1:6" ht="16.2" thickBot="1" x14ac:dyDescent="0.35">
      <c r="A24" s="548" t="s">
        <v>2284</v>
      </c>
      <c r="B24" s="374">
        <v>5116.2299999999996</v>
      </c>
      <c r="C24" s="374">
        <v>55116.229999999996</v>
      </c>
      <c r="D24" s="359" t="s">
        <v>423</v>
      </c>
      <c r="E24" s="359" t="s">
        <v>2280</v>
      </c>
      <c r="F24" s="377"/>
    </row>
    <row r="25" spans="1:6" ht="16.2" thickBot="1" x14ac:dyDescent="0.35">
      <c r="A25" s="548"/>
      <c r="B25" s="374">
        <v>0</v>
      </c>
      <c r="C25" s="374">
        <v>0</v>
      </c>
      <c r="D25" s="359"/>
      <c r="E25" s="387"/>
      <c r="F25" s="377"/>
    </row>
    <row r="26" spans="1:6" ht="16.2" thickBot="1" x14ac:dyDescent="0.35">
      <c r="A26" s="548"/>
      <c r="B26" s="374">
        <v>0</v>
      </c>
      <c r="C26" s="374">
        <v>0</v>
      </c>
      <c r="D26" s="359"/>
      <c r="E26" s="387"/>
      <c r="F26" s="377"/>
    </row>
    <row r="27" spans="1:6" ht="16.2" thickBot="1" x14ac:dyDescent="0.35">
      <c r="A27" s="548"/>
      <c r="B27" s="374">
        <v>0</v>
      </c>
      <c r="C27" s="374">
        <v>0</v>
      </c>
      <c r="D27" s="359"/>
      <c r="E27" s="387"/>
      <c r="F27" s="377"/>
    </row>
    <row r="28" spans="1:6" ht="16.2" thickBot="1" x14ac:dyDescent="0.35">
      <c r="A28" s="378"/>
      <c r="B28" s="374">
        <v>0</v>
      </c>
      <c r="C28" s="374">
        <v>0</v>
      </c>
      <c r="D28" s="359"/>
      <c r="E28" s="387"/>
      <c r="F28" s="377"/>
    </row>
    <row r="29" spans="1:6" ht="16.2" thickBot="1" x14ac:dyDescent="0.35">
      <c r="A29" s="547" t="s">
        <v>32</v>
      </c>
      <c r="B29" s="379">
        <f>SUM(B16:B28)</f>
        <v>1592168.9600000002</v>
      </c>
      <c r="C29" s="379">
        <f>SUM(C16:C28)</f>
        <v>2597168.96</v>
      </c>
      <c r="D29" s="388"/>
      <c r="E29" s="388"/>
      <c r="F29" s="380"/>
    </row>
    <row r="31" spans="1:6" x14ac:dyDescent="0.3">
      <c r="B31" s="372" t="s">
        <v>2527</v>
      </c>
      <c r="C31" s="10">
        <v>-500000</v>
      </c>
      <c r="D31" s="396"/>
    </row>
    <row r="32" spans="1:6" x14ac:dyDescent="0.3">
      <c r="B32" s="372" t="s">
        <v>747</v>
      </c>
      <c r="C32" s="396">
        <f>SUM(C29:C31)</f>
        <v>2097168.96</v>
      </c>
      <c r="D32" s="396"/>
    </row>
    <row r="33" spans="4:4" x14ac:dyDescent="0.3">
      <c r="D33" s="396"/>
    </row>
    <row r="34" spans="4:4" x14ac:dyDescent="0.3">
      <c r="D34" s="396"/>
    </row>
    <row r="35" spans="4:4" x14ac:dyDescent="0.3">
      <c r="D35" s="396"/>
    </row>
    <row r="36" spans="4:4" x14ac:dyDescent="0.3">
      <c r="D36" s="396"/>
    </row>
    <row r="37" spans="4:4" x14ac:dyDescent="0.3">
      <c r="D37" s="396"/>
    </row>
    <row r="38" spans="4:4" x14ac:dyDescent="0.3">
      <c r="D38" s="396"/>
    </row>
    <row r="39" spans="4:4" x14ac:dyDescent="0.3">
      <c r="D39" s="396"/>
    </row>
    <row r="40" spans="4:4" x14ac:dyDescent="0.3">
      <c r="D40" s="396"/>
    </row>
    <row r="41" spans="4:4" x14ac:dyDescent="0.3">
      <c r="D41" s="396"/>
    </row>
  </sheetData>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22A0-811F-4257-9BA0-137EB8181085}">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49.109375" style="7" bestFit="1"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868</v>
      </c>
      <c r="B2" s="4">
        <v>426000</v>
      </c>
      <c r="C2" s="3" t="s">
        <v>869</v>
      </c>
      <c r="D2" s="5">
        <v>19258000</v>
      </c>
      <c r="E2" s="3" t="s">
        <v>10</v>
      </c>
      <c r="F2" s="6"/>
      <c r="G2" s="5">
        <v>0</v>
      </c>
      <c r="H2" s="5">
        <v>0</v>
      </c>
    </row>
    <row r="4" spans="1:8" x14ac:dyDescent="0.3">
      <c r="A4" s="8" t="s">
        <v>11</v>
      </c>
    </row>
    <row r="6" spans="1:8" ht="16.2" thickBot="1" x14ac:dyDescent="0.35">
      <c r="A6" s="9" t="s">
        <v>12</v>
      </c>
      <c r="B6" s="10" t="s">
        <v>9</v>
      </c>
    </row>
    <row r="7" spans="1:8" ht="16.2" thickBot="1" x14ac:dyDescent="0.35">
      <c r="A7" s="11" t="s">
        <v>13</v>
      </c>
      <c r="B7" s="12">
        <v>150000</v>
      </c>
    </row>
    <row r="8" spans="1:8" ht="16.2" thickBot="1" x14ac:dyDescent="0.35">
      <c r="A8" s="11" t="s">
        <v>14</v>
      </c>
      <c r="B8" s="12">
        <v>56000</v>
      </c>
    </row>
    <row r="9" spans="1:8" ht="16.2" thickBot="1" x14ac:dyDescent="0.35">
      <c r="A9" s="11" t="s">
        <v>860</v>
      </c>
      <c r="B9" s="12">
        <v>120000</v>
      </c>
    </row>
    <row r="10" spans="1:8" ht="16.2" thickBot="1" x14ac:dyDescent="0.35">
      <c r="A10" s="11" t="s">
        <v>870</v>
      </c>
      <c r="B10" s="12">
        <v>100000</v>
      </c>
    </row>
    <row r="11" spans="1:8" ht="16.2" thickBot="1" x14ac:dyDescent="0.35">
      <c r="A11" s="11"/>
      <c r="B11" s="10"/>
      <c r="C11" s="12">
        <v>426000</v>
      </c>
      <c r="D11" s="73" t="s">
        <v>871</v>
      </c>
    </row>
    <row r="12" spans="1:8" x14ac:dyDescent="0.3">
      <c r="A12" s="8" t="s">
        <v>9</v>
      </c>
      <c r="C12" s="10" t="s">
        <v>9</v>
      </c>
    </row>
    <row r="14" spans="1:8" ht="31.2" x14ac:dyDescent="0.3">
      <c r="A14" s="1" t="s">
        <v>17</v>
      </c>
      <c r="B14" s="14" t="s">
        <v>18</v>
      </c>
      <c r="C14" s="1" t="s">
        <v>19</v>
      </c>
      <c r="D14" s="1" t="s">
        <v>20</v>
      </c>
      <c r="E14" s="1" t="s">
        <v>21</v>
      </c>
      <c r="F14" s="1" t="s">
        <v>22</v>
      </c>
    </row>
    <row r="15" spans="1:8" ht="16.2" thickBot="1" x14ac:dyDescent="0.35">
      <c r="A15" s="15" t="s">
        <v>23</v>
      </c>
      <c r="B15" s="16">
        <v>15129</v>
      </c>
      <c r="C15" s="16">
        <v>30000</v>
      </c>
      <c r="D15" s="17" t="s">
        <v>24</v>
      </c>
      <c r="E15" s="17" t="s">
        <v>872</v>
      </c>
      <c r="F15" s="18" t="s">
        <v>873</v>
      </c>
    </row>
    <row r="16" spans="1:8" ht="16.2" thickBot="1" x14ac:dyDescent="0.35">
      <c r="A16" s="15" t="s">
        <v>25</v>
      </c>
      <c r="B16" s="12">
        <v>5860</v>
      </c>
      <c r="C16" s="12">
        <v>10000</v>
      </c>
      <c r="D16" s="19" t="s">
        <v>24</v>
      </c>
      <c r="E16" s="19" t="s">
        <v>872</v>
      </c>
      <c r="F16" s="20" t="s">
        <v>874</v>
      </c>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2449</v>
      </c>
      <c r="C21" s="12">
        <v>2500</v>
      </c>
      <c r="D21" s="19" t="s">
        <v>24</v>
      </c>
      <c r="E21" s="19" t="s">
        <v>872</v>
      </c>
      <c r="F21" s="20" t="s">
        <v>875</v>
      </c>
    </row>
    <row r="22" spans="1:6" ht="63" thickBot="1" x14ac:dyDescent="0.35">
      <c r="A22" s="11" t="s">
        <v>876</v>
      </c>
      <c r="B22" s="12">
        <v>6990</v>
      </c>
      <c r="C22" s="12">
        <v>10000</v>
      </c>
      <c r="D22" s="19" t="s">
        <v>24</v>
      </c>
      <c r="E22" s="19" t="s">
        <v>877</v>
      </c>
      <c r="F22" s="33" t="s">
        <v>878</v>
      </c>
    </row>
    <row r="23" spans="1:6" ht="16.2" thickBot="1" x14ac:dyDescent="0.35">
      <c r="A23" s="11" t="s">
        <v>879</v>
      </c>
      <c r="B23" s="12">
        <v>220</v>
      </c>
      <c r="C23" s="12">
        <v>200</v>
      </c>
      <c r="D23" s="19" t="s">
        <v>24</v>
      </c>
      <c r="E23" s="19" t="s">
        <v>872</v>
      </c>
      <c r="F23" s="20" t="s">
        <v>880</v>
      </c>
    </row>
    <row r="24" spans="1:6" ht="16.2" thickBot="1" x14ac:dyDescent="0.35">
      <c r="A24" s="11" t="s">
        <v>881</v>
      </c>
      <c r="B24" s="12">
        <v>525</v>
      </c>
      <c r="C24" s="12">
        <v>0</v>
      </c>
      <c r="D24" s="19"/>
      <c r="E24" s="19" t="s">
        <v>872</v>
      </c>
      <c r="F24" s="20"/>
    </row>
    <row r="25" spans="1:6" ht="16.2" thickBot="1" x14ac:dyDescent="0.35">
      <c r="A25" s="11" t="s">
        <v>132</v>
      </c>
      <c r="B25" s="12">
        <v>746</v>
      </c>
      <c r="C25" s="12">
        <v>0</v>
      </c>
      <c r="D25" s="19"/>
      <c r="E25" s="19" t="s">
        <v>872</v>
      </c>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31919</v>
      </c>
      <c r="C28" s="22">
        <v>52700</v>
      </c>
      <c r="D28" s="23"/>
      <c r="E28" s="23"/>
      <c r="F28" s="24"/>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54F8-CA4D-49BE-A31F-6EE56C104925}">
  <dimension ref="A1:L33"/>
  <sheetViews>
    <sheetView topLeftCell="A11"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1" width="9.109375" style="372"/>
    <col min="12" max="12" width="14" style="372" bestFit="1" customWidth="1"/>
    <col min="13" max="16384" width="9.109375" style="372"/>
  </cols>
  <sheetData>
    <row r="1" spans="1:12" s="375" customFormat="1" ht="31.8" thickBot="1" x14ac:dyDescent="0.35">
      <c r="A1" s="384" t="s">
        <v>0</v>
      </c>
      <c r="B1" s="384" t="s">
        <v>1</v>
      </c>
      <c r="C1" s="384" t="s">
        <v>2</v>
      </c>
      <c r="D1" s="384" t="s">
        <v>3</v>
      </c>
      <c r="E1" s="384" t="s">
        <v>4</v>
      </c>
      <c r="F1" s="384" t="s">
        <v>5</v>
      </c>
      <c r="G1" s="384" t="s">
        <v>6</v>
      </c>
      <c r="H1" s="384" t="s">
        <v>7</v>
      </c>
    </row>
    <row r="2" spans="1:12" ht="78.599999999999994" thickBot="1" x14ac:dyDescent="0.35">
      <c r="A2" s="389" t="s">
        <v>2083</v>
      </c>
      <c r="B2" s="390">
        <v>750000</v>
      </c>
      <c r="C2" s="389" t="s">
        <v>2084</v>
      </c>
      <c r="D2" s="391" t="s">
        <v>2085</v>
      </c>
      <c r="E2" s="389" t="s">
        <v>2086</v>
      </c>
      <c r="F2" s="392" t="s">
        <v>2087</v>
      </c>
      <c r="G2" s="391" t="s">
        <v>105</v>
      </c>
      <c r="H2" s="391" t="s">
        <v>105</v>
      </c>
    </row>
    <row r="4" spans="1:12" x14ac:dyDescent="0.3">
      <c r="A4" s="386" t="s">
        <v>11</v>
      </c>
    </row>
    <row r="6" spans="1:12" ht="16.2" thickBot="1" x14ac:dyDescent="0.35">
      <c r="A6" s="381" t="s">
        <v>12</v>
      </c>
      <c r="B6" s="10" t="s">
        <v>9</v>
      </c>
    </row>
    <row r="7" spans="1:12" ht="16.2" thickBot="1" x14ac:dyDescent="0.35">
      <c r="A7" s="456" t="s">
        <v>51</v>
      </c>
      <c r="B7" s="374">
        <v>0</v>
      </c>
    </row>
    <row r="8" spans="1:12" ht="16.2" thickBot="1" x14ac:dyDescent="0.35">
      <c r="A8" s="456" t="s">
        <v>53</v>
      </c>
      <c r="B8" s="374">
        <f>29191366-16267275</f>
        <v>12924091</v>
      </c>
    </row>
    <row r="9" spans="1:12" ht="16.2" thickBot="1" x14ac:dyDescent="0.35">
      <c r="A9" s="456" t="s">
        <v>55</v>
      </c>
      <c r="B9" s="374">
        <v>0</v>
      </c>
    </row>
    <row r="10" spans="1:12" ht="16.2" thickBot="1" x14ac:dyDescent="0.35">
      <c r="A10" s="456" t="s">
        <v>57</v>
      </c>
      <c r="B10" s="374">
        <v>0</v>
      </c>
    </row>
    <row r="11" spans="1:12" ht="16.2" thickBot="1" x14ac:dyDescent="0.35">
      <c r="A11" s="456"/>
      <c r="B11" s="374">
        <v>0</v>
      </c>
    </row>
    <row r="12" spans="1:12" ht="16.2" thickBot="1" x14ac:dyDescent="0.35">
      <c r="A12" s="456"/>
      <c r="B12" s="10"/>
      <c r="C12" s="374">
        <f>SUM(B7:B11)</f>
        <v>12924091</v>
      </c>
      <c r="L12" s="372" t="s">
        <v>2088</v>
      </c>
    </row>
    <row r="13" spans="1:12" x14ac:dyDescent="0.3">
      <c r="A13" s="455"/>
      <c r="C13" s="10" t="s">
        <v>9</v>
      </c>
    </row>
    <row r="15" spans="1:12" ht="31.2" x14ac:dyDescent="0.3">
      <c r="A15" s="384" t="s">
        <v>17</v>
      </c>
      <c r="B15" s="385" t="s">
        <v>18</v>
      </c>
      <c r="C15" s="384" t="s">
        <v>19</v>
      </c>
      <c r="D15" s="384" t="s">
        <v>20</v>
      </c>
      <c r="E15" s="384" t="s">
        <v>21</v>
      </c>
      <c r="F15" s="384" t="s">
        <v>22</v>
      </c>
    </row>
    <row r="16" spans="1:12" ht="16.2" thickBot="1" x14ac:dyDescent="0.35">
      <c r="A16" s="454" t="s">
        <v>2089</v>
      </c>
      <c r="B16" s="382">
        <v>14954</v>
      </c>
      <c r="C16" s="382">
        <f>B16+L16</f>
        <v>34892</v>
      </c>
      <c r="D16" s="397" t="s">
        <v>1309</v>
      </c>
      <c r="E16" s="397"/>
      <c r="F16" s="483"/>
      <c r="L16" s="382">
        <v>19938</v>
      </c>
    </row>
    <row r="17" spans="1:12" ht="16.2" thickBot="1" x14ac:dyDescent="0.35">
      <c r="A17" s="454" t="s">
        <v>2090</v>
      </c>
      <c r="B17" s="374">
        <v>48279</v>
      </c>
      <c r="C17" s="382">
        <f t="shared" ref="C17:C23" si="0">B17+L17</f>
        <v>112652</v>
      </c>
      <c r="D17" s="394" t="s">
        <v>115</v>
      </c>
      <c r="E17" s="394"/>
      <c r="F17" s="227"/>
      <c r="L17" s="374">
        <v>64373</v>
      </c>
    </row>
    <row r="18" spans="1:12" ht="16.2" thickBot="1" x14ac:dyDescent="0.35">
      <c r="A18" s="454" t="s">
        <v>2091</v>
      </c>
      <c r="B18" s="374">
        <v>1358369</v>
      </c>
      <c r="C18" s="382">
        <f t="shared" si="0"/>
        <v>1438369</v>
      </c>
      <c r="D18" s="394" t="s">
        <v>115</v>
      </c>
      <c r="E18" s="394"/>
      <c r="F18" s="227"/>
      <c r="L18" s="374">
        <v>80000</v>
      </c>
    </row>
    <row r="19" spans="1:12" ht="16.2" thickBot="1" x14ac:dyDescent="0.35">
      <c r="A19" s="454" t="s">
        <v>2092</v>
      </c>
      <c r="B19" s="374">
        <v>32115</v>
      </c>
      <c r="C19" s="382">
        <f t="shared" si="0"/>
        <v>32230</v>
      </c>
      <c r="D19" s="394" t="s">
        <v>115</v>
      </c>
      <c r="E19" s="394"/>
      <c r="F19" s="227"/>
      <c r="L19" s="374">
        <v>115</v>
      </c>
    </row>
    <row r="20" spans="1:12" ht="16.2" thickBot="1" x14ac:dyDescent="0.35">
      <c r="A20" s="454" t="s">
        <v>2093</v>
      </c>
      <c r="B20" s="374">
        <v>250000</v>
      </c>
      <c r="C20" s="382">
        <f t="shared" si="0"/>
        <v>583333</v>
      </c>
      <c r="D20" s="394" t="s">
        <v>115</v>
      </c>
      <c r="E20" s="394"/>
      <c r="F20" s="227"/>
      <c r="L20" s="374">
        <v>333333</v>
      </c>
    </row>
    <row r="21" spans="1:12" ht="16.2" thickBot="1" x14ac:dyDescent="0.35">
      <c r="A21" s="454" t="s">
        <v>867</v>
      </c>
      <c r="B21" s="374">
        <v>90790</v>
      </c>
      <c r="C21" s="382">
        <f t="shared" si="0"/>
        <v>211843</v>
      </c>
      <c r="D21" s="394" t="s">
        <v>115</v>
      </c>
      <c r="E21" s="394"/>
      <c r="F21" s="227"/>
      <c r="L21" s="374">
        <v>121053</v>
      </c>
    </row>
    <row r="22" spans="1:12" ht="16.2" thickBot="1" x14ac:dyDescent="0.35">
      <c r="A22" s="454" t="s">
        <v>2094</v>
      </c>
      <c r="B22" s="374">
        <v>1500</v>
      </c>
      <c r="C22" s="382">
        <f t="shared" si="0"/>
        <v>3500</v>
      </c>
      <c r="D22" s="394" t="s">
        <v>115</v>
      </c>
      <c r="E22" s="394"/>
      <c r="F22" s="227"/>
      <c r="L22" s="374">
        <v>2000</v>
      </c>
    </row>
    <row r="23" spans="1:12" ht="16.2" thickBot="1" x14ac:dyDescent="0.35">
      <c r="A23" s="454" t="s">
        <v>567</v>
      </c>
      <c r="B23" s="374">
        <v>32500</v>
      </c>
      <c r="C23" s="382">
        <f t="shared" si="0"/>
        <v>47500</v>
      </c>
      <c r="D23" s="394" t="s">
        <v>115</v>
      </c>
      <c r="E23" s="394"/>
      <c r="F23" s="227"/>
      <c r="L23" s="374">
        <v>15000</v>
      </c>
    </row>
    <row r="24" spans="1:12" ht="16.2" thickBot="1" x14ac:dyDescent="0.35">
      <c r="A24" s="456"/>
      <c r="B24" s="374">
        <v>0</v>
      </c>
      <c r="C24" s="374">
        <v>0</v>
      </c>
      <c r="D24" s="394"/>
      <c r="E24" s="394"/>
      <c r="F24" s="227"/>
    </row>
    <row r="25" spans="1:12" ht="16.2" thickBot="1" x14ac:dyDescent="0.35">
      <c r="A25" s="456"/>
      <c r="B25" s="374">
        <v>0</v>
      </c>
      <c r="C25" s="374">
        <v>0</v>
      </c>
      <c r="D25" s="394"/>
      <c r="E25" s="394"/>
      <c r="F25" s="227"/>
    </row>
    <row r="26" spans="1:12" ht="16.2" thickBot="1" x14ac:dyDescent="0.35">
      <c r="A26" s="456"/>
      <c r="B26" s="374">
        <v>0</v>
      </c>
      <c r="C26" s="374">
        <v>0</v>
      </c>
      <c r="D26" s="394"/>
      <c r="E26" s="394"/>
      <c r="F26" s="227"/>
    </row>
    <row r="27" spans="1:12" ht="16.2" thickBot="1" x14ac:dyDescent="0.35">
      <c r="A27" s="456"/>
      <c r="B27" s="374">
        <v>0</v>
      </c>
      <c r="C27" s="374">
        <v>0</v>
      </c>
      <c r="D27" s="394"/>
      <c r="E27" s="394"/>
      <c r="F27" s="227"/>
    </row>
    <row r="28" spans="1:12" ht="16.2" thickBot="1" x14ac:dyDescent="0.35">
      <c r="A28" s="456"/>
      <c r="B28" s="374">
        <v>0</v>
      </c>
      <c r="C28" s="374">
        <v>0</v>
      </c>
      <c r="D28" s="394"/>
      <c r="E28" s="394"/>
      <c r="F28" s="227"/>
    </row>
    <row r="29" spans="1:12" ht="16.2" thickBot="1" x14ac:dyDescent="0.35">
      <c r="A29" s="378"/>
      <c r="B29" s="374">
        <v>0</v>
      </c>
      <c r="C29" s="374">
        <v>0</v>
      </c>
      <c r="D29" s="394"/>
      <c r="E29" s="394"/>
      <c r="F29" s="227"/>
    </row>
    <row r="30" spans="1:12" ht="16.2" thickBot="1" x14ac:dyDescent="0.35">
      <c r="A30" s="455" t="s">
        <v>32</v>
      </c>
      <c r="B30" s="379">
        <f>SUM(B16:B29)</f>
        <v>1828507</v>
      </c>
      <c r="C30" s="379">
        <f>SUM(C16:C29)</f>
        <v>2464319</v>
      </c>
      <c r="D30" s="34"/>
      <c r="E30" s="34"/>
      <c r="F30" s="484"/>
    </row>
    <row r="32" spans="1:12" x14ac:dyDescent="0.3">
      <c r="B32" s="372" t="s">
        <v>2508</v>
      </c>
      <c r="C32" s="372">
        <v>-1307000</v>
      </c>
    </row>
    <row r="33" spans="2:3" x14ac:dyDescent="0.3">
      <c r="B33" s="372" t="s">
        <v>2507</v>
      </c>
      <c r="C33" s="396">
        <f>SUM(C30:C32)</f>
        <v>1157319</v>
      </c>
    </row>
  </sheetData>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8CDC-685D-475B-A579-241CA39011B9}">
  <dimension ref="A1:Z29"/>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11" customWidth="1"/>
    <col min="5" max="5" width="30.6640625" style="7" customWidth="1"/>
    <col min="6" max="6" width="87.33203125" style="3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294</v>
      </c>
      <c r="B2" s="4">
        <v>-20000000</v>
      </c>
      <c r="C2" s="3" t="s">
        <v>882</v>
      </c>
      <c r="D2" s="5">
        <v>20005594</v>
      </c>
      <c r="E2" s="3" t="s">
        <v>24</v>
      </c>
      <c r="F2" s="6" t="s">
        <v>883</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-20000000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-20000000</v>
      </c>
    </row>
    <row r="13" spans="1:8" x14ac:dyDescent="0.3">
      <c r="A13" s="13"/>
      <c r="C13" s="10" t="s">
        <v>9</v>
      </c>
    </row>
    <row r="15" spans="1:8" ht="31.2" x14ac:dyDescent="0.3">
      <c r="A15" s="1" t="s">
        <v>17</v>
      </c>
      <c r="B15" s="14" t="s">
        <v>18</v>
      </c>
      <c r="C15" s="1" t="s">
        <v>19</v>
      </c>
      <c r="D15" s="1" t="s">
        <v>20</v>
      </c>
      <c r="E15" s="1" t="s">
        <v>21</v>
      </c>
      <c r="F15" s="1" t="s">
        <v>22</v>
      </c>
    </row>
    <row r="16" spans="1:8" ht="31.2" x14ac:dyDescent="0.3">
      <c r="A16" s="210" t="s">
        <v>23</v>
      </c>
      <c r="B16" s="211">
        <v>19673.54</v>
      </c>
      <c r="C16" s="211">
        <v>22084.52</v>
      </c>
      <c r="D16" s="125" t="s">
        <v>24</v>
      </c>
      <c r="E16" s="126" t="s">
        <v>79</v>
      </c>
      <c r="F16" s="212" t="s">
        <v>884</v>
      </c>
    </row>
    <row r="17" spans="1:26" ht="78" x14ac:dyDescent="0.3">
      <c r="A17" s="210" t="s">
        <v>25</v>
      </c>
      <c r="B17" s="211">
        <v>84289.59</v>
      </c>
      <c r="C17" s="211">
        <v>86591.12</v>
      </c>
      <c r="D17" s="125" t="s">
        <v>24</v>
      </c>
      <c r="E17" s="126" t="s">
        <v>79</v>
      </c>
      <c r="F17" s="213" t="s">
        <v>885</v>
      </c>
    </row>
    <row r="18" spans="1:26" ht="46.8" x14ac:dyDescent="0.3">
      <c r="A18" s="210" t="s">
        <v>26</v>
      </c>
      <c r="B18" s="214">
        <v>11402.04</v>
      </c>
      <c r="C18" s="214">
        <v>30846.59</v>
      </c>
      <c r="D18" s="215" t="s">
        <v>24</v>
      </c>
      <c r="E18" s="126" t="s">
        <v>886</v>
      </c>
      <c r="F18" s="216" t="s">
        <v>887</v>
      </c>
    </row>
    <row r="19" spans="1:26" x14ac:dyDescent="0.3">
      <c r="A19" s="210" t="s">
        <v>27</v>
      </c>
      <c r="B19" s="211">
        <v>7000</v>
      </c>
      <c r="C19" s="211">
        <v>21000</v>
      </c>
      <c r="D19" s="125" t="s">
        <v>24</v>
      </c>
      <c r="E19" s="126" t="s">
        <v>79</v>
      </c>
      <c r="F19" s="213" t="s">
        <v>888</v>
      </c>
    </row>
    <row r="20" spans="1:26" x14ac:dyDescent="0.3">
      <c r="A20" s="210" t="s">
        <v>28</v>
      </c>
      <c r="B20" s="211">
        <v>0</v>
      </c>
      <c r="C20" s="211">
        <v>0</v>
      </c>
      <c r="D20" s="125"/>
      <c r="E20" s="126"/>
      <c r="F20" s="213"/>
    </row>
    <row r="21" spans="1:26" ht="31.2" x14ac:dyDescent="0.3">
      <c r="A21" s="210" t="s">
        <v>29</v>
      </c>
      <c r="B21" s="211">
        <v>10713.68</v>
      </c>
      <c r="C21" s="211">
        <v>24843.68</v>
      </c>
      <c r="D21" s="125" t="s">
        <v>10</v>
      </c>
      <c r="E21" s="126" t="s">
        <v>886</v>
      </c>
      <c r="F21" s="213" t="s">
        <v>889</v>
      </c>
    </row>
    <row r="22" spans="1:26" ht="31.2" x14ac:dyDescent="0.3">
      <c r="A22" s="210" t="s">
        <v>30</v>
      </c>
      <c r="B22" s="211">
        <v>31567.570000000003</v>
      </c>
      <c r="C22" s="211">
        <v>44891.18</v>
      </c>
      <c r="D22" s="125" t="s">
        <v>24</v>
      </c>
      <c r="E22" s="217" t="s">
        <v>79</v>
      </c>
      <c r="F22" s="213" t="s">
        <v>890</v>
      </c>
    </row>
    <row r="23" spans="1:26" ht="46.8" x14ac:dyDescent="0.3">
      <c r="A23" s="216" t="s">
        <v>891</v>
      </c>
      <c r="B23" s="211">
        <v>1509</v>
      </c>
      <c r="C23" s="211">
        <v>5494</v>
      </c>
      <c r="D23" s="125" t="s">
        <v>24</v>
      </c>
      <c r="E23" s="126" t="s">
        <v>79</v>
      </c>
      <c r="F23" s="213" t="s">
        <v>892</v>
      </c>
    </row>
    <row r="24" spans="1:26" x14ac:dyDescent="0.3">
      <c r="A24" s="210" t="s">
        <v>893</v>
      </c>
      <c r="B24" s="218">
        <v>46506</v>
      </c>
      <c r="C24" s="219">
        <v>70772</v>
      </c>
      <c r="D24" s="125" t="s">
        <v>24</v>
      </c>
      <c r="E24" s="126" t="s">
        <v>886</v>
      </c>
      <c r="F24" s="213" t="s">
        <v>894</v>
      </c>
    </row>
    <row r="25" spans="1:26" ht="31.2" x14ac:dyDescent="0.3">
      <c r="A25" s="210" t="s">
        <v>895</v>
      </c>
      <c r="B25" s="211">
        <v>9437.33</v>
      </c>
      <c r="C25" s="211">
        <v>10484.6</v>
      </c>
      <c r="D25" s="125" t="s">
        <v>24</v>
      </c>
      <c r="E25" s="126" t="s">
        <v>886</v>
      </c>
      <c r="F25" s="213" t="s">
        <v>896</v>
      </c>
    </row>
    <row r="26" spans="1:26" ht="16.2" thickBot="1" x14ac:dyDescent="0.35">
      <c r="A26" s="210" t="s">
        <v>897</v>
      </c>
      <c r="B26" s="211">
        <v>8557.92</v>
      </c>
      <c r="C26" s="211">
        <v>12914.48</v>
      </c>
      <c r="D26" s="125" t="s">
        <v>10</v>
      </c>
      <c r="E26" s="126" t="s">
        <v>886</v>
      </c>
      <c r="F26" s="213" t="s">
        <v>898</v>
      </c>
    </row>
    <row r="27" spans="1:26" ht="16.2" thickBot="1" x14ac:dyDescent="0.35">
      <c r="A27" s="20" t="s">
        <v>899</v>
      </c>
      <c r="B27" s="12">
        <v>10159</v>
      </c>
      <c r="C27" s="12">
        <v>17000</v>
      </c>
      <c r="D27" s="30" t="s">
        <v>24</v>
      </c>
      <c r="E27" s="19" t="s">
        <v>886</v>
      </c>
      <c r="F27" s="33" t="s">
        <v>900</v>
      </c>
    </row>
    <row r="28" spans="1:26" x14ac:dyDescent="0.3">
      <c r="A28" s="220" t="s">
        <v>32</v>
      </c>
      <c r="B28" s="221">
        <v>240815.67</v>
      </c>
      <c r="C28" s="221">
        <v>346922.16999999993</v>
      </c>
      <c r="D28" s="133"/>
      <c r="E28" s="134"/>
      <c r="F28" s="216"/>
    </row>
    <row r="29" spans="1:26" customFormat="1" x14ac:dyDescent="0.3">
      <c r="A29" s="7"/>
      <c r="B29" s="7"/>
      <c r="C29" s="7"/>
      <c r="D29" s="11"/>
      <c r="E29" s="7"/>
      <c r="F29" s="222"/>
      <c r="G29" s="7"/>
      <c r="H29" s="7"/>
      <c r="I29" s="7"/>
      <c r="J29" s="7"/>
      <c r="K29" s="7"/>
      <c r="L29" s="7"/>
      <c r="M29" s="7"/>
      <c r="N29" s="7"/>
      <c r="O29" s="7"/>
      <c r="P29" s="7"/>
      <c r="Q29" s="7"/>
      <c r="R29" s="7"/>
      <c r="S29" s="7"/>
      <c r="T29" s="7"/>
      <c r="U29" s="7"/>
      <c r="V29" s="7"/>
      <c r="W29" s="7"/>
      <c r="X29" s="7"/>
      <c r="Y29" s="7"/>
      <c r="Z29" s="7"/>
    </row>
  </sheetData>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226E-61A2-4624-BD66-53C5BB11614E}">
  <dimension ref="A1:H32"/>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2" x14ac:dyDescent="0.3">
      <c r="A1" s="1" t="s">
        <v>853</v>
      </c>
      <c r="B1" s="1" t="s">
        <v>1</v>
      </c>
      <c r="C1" s="1" t="s">
        <v>2</v>
      </c>
      <c r="D1" s="1" t="s">
        <v>3</v>
      </c>
      <c r="E1" s="1" t="s">
        <v>4</v>
      </c>
      <c r="F1" s="1" t="s">
        <v>5</v>
      </c>
      <c r="G1" s="1" t="s">
        <v>6</v>
      </c>
      <c r="H1" s="1" t="s">
        <v>7</v>
      </c>
    </row>
    <row r="2" spans="1:8" s="2" customFormat="1" ht="16.2" thickBot="1" x14ac:dyDescent="0.35">
      <c r="A2" s="104"/>
      <c r="B2" s="204"/>
      <c r="C2" s="104"/>
      <c r="D2" s="205">
        <v>15652000</v>
      </c>
      <c r="E2" s="206" t="s">
        <v>854</v>
      </c>
      <c r="F2" s="104"/>
      <c r="G2" s="104"/>
      <c r="H2" s="104"/>
    </row>
    <row r="3" spans="1:8" ht="31.8" thickBot="1" x14ac:dyDescent="0.35">
      <c r="A3" s="3"/>
      <c r="B3" s="4">
        <v>262000</v>
      </c>
      <c r="C3" s="3" t="s">
        <v>855</v>
      </c>
      <c r="D3" s="5">
        <v>0</v>
      </c>
      <c r="E3" s="3"/>
      <c r="F3" s="6"/>
      <c r="G3" s="5"/>
      <c r="H3" s="5"/>
    </row>
    <row r="4" spans="1:8" ht="31.8" thickBot="1" x14ac:dyDescent="0.35">
      <c r="A4" s="3"/>
      <c r="B4" s="4">
        <v>50000</v>
      </c>
      <c r="C4" s="3" t="s">
        <v>856</v>
      </c>
      <c r="D4" s="5"/>
      <c r="E4" s="3"/>
      <c r="F4" s="6"/>
      <c r="G4" s="5"/>
      <c r="H4" s="5"/>
    </row>
    <row r="5" spans="1:8" ht="31.8" thickBot="1" x14ac:dyDescent="0.35">
      <c r="A5" s="3"/>
      <c r="B5" s="4">
        <v>55000</v>
      </c>
      <c r="C5" s="3" t="s">
        <v>857</v>
      </c>
      <c r="D5" s="5"/>
      <c r="E5" s="3"/>
      <c r="F5" s="6"/>
      <c r="G5" s="5"/>
      <c r="H5" s="5"/>
    </row>
    <row r="6" spans="1:8" ht="47.4" thickBot="1" x14ac:dyDescent="0.35">
      <c r="A6" s="3"/>
      <c r="B6" s="4">
        <v>138000</v>
      </c>
      <c r="C6" s="3" t="s">
        <v>858</v>
      </c>
      <c r="D6" s="5"/>
      <c r="E6" s="3"/>
      <c r="F6" s="6"/>
      <c r="G6" s="5"/>
      <c r="H6" s="5"/>
    </row>
    <row r="7" spans="1:8" x14ac:dyDescent="0.3">
      <c r="A7" s="207"/>
      <c r="B7" s="208"/>
      <c r="C7" s="207"/>
      <c r="D7" s="208"/>
      <c r="E7" s="207"/>
      <c r="F7" s="209"/>
      <c r="G7" s="208"/>
      <c r="H7" s="208"/>
    </row>
    <row r="8" spans="1:8" x14ac:dyDescent="0.3">
      <c r="D8" s="7" t="s">
        <v>859</v>
      </c>
    </row>
    <row r="9" spans="1:8" ht="16.2" thickBot="1" x14ac:dyDescent="0.35">
      <c r="A9" s="9" t="s">
        <v>12</v>
      </c>
      <c r="B9" s="10" t="s">
        <v>9</v>
      </c>
    </row>
    <row r="10" spans="1:8" ht="16.2" thickBot="1" x14ac:dyDescent="0.35">
      <c r="A10" s="11" t="s">
        <v>51</v>
      </c>
      <c r="B10" s="12">
        <v>0</v>
      </c>
    </row>
    <row r="11" spans="1:8" ht="16.2" thickBot="1" x14ac:dyDescent="0.35">
      <c r="A11" s="11" t="s">
        <v>53</v>
      </c>
      <c r="B11" s="12">
        <v>22000</v>
      </c>
      <c r="C11" s="7" t="s">
        <v>860</v>
      </c>
    </row>
    <row r="12" spans="1:8" ht="16.2" thickBot="1" x14ac:dyDescent="0.35">
      <c r="A12" s="11" t="s">
        <v>55</v>
      </c>
      <c r="B12" s="12" t="s">
        <v>420</v>
      </c>
    </row>
    <row r="13" spans="1:8" ht="16.2" thickBot="1" x14ac:dyDescent="0.35">
      <c r="A13" s="11" t="s">
        <v>57</v>
      </c>
      <c r="B13" s="12" t="s">
        <v>420</v>
      </c>
    </row>
    <row r="14" spans="1:8" ht="16.2" thickBot="1" x14ac:dyDescent="0.35">
      <c r="A14" s="11"/>
      <c r="B14" s="12">
        <v>0</v>
      </c>
    </row>
    <row r="15" spans="1:8" ht="16.2" thickBot="1" x14ac:dyDescent="0.35">
      <c r="A15" s="11"/>
      <c r="B15" s="10"/>
      <c r="C15" s="12">
        <v>22000</v>
      </c>
    </row>
    <row r="16" spans="1:8" x14ac:dyDescent="0.3">
      <c r="A16" s="13"/>
      <c r="C16" s="10" t="s">
        <v>9</v>
      </c>
    </row>
    <row r="18" spans="1:6" ht="31.2" x14ac:dyDescent="0.3">
      <c r="A18" s="1" t="s">
        <v>17</v>
      </c>
      <c r="B18" s="14" t="s">
        <v>18</v>
      </c>
      <c r="C18" s="1" t="s">
        <v>19</v>
      </c>
      <c r="D18" s="1" t="s">
        <v>20</v>
      </c>
      <c r="E18" s="1" t="s">
        <v>21</v>
      </c>
      <c r="F18" s="1" t="s">
        <v>22</v>
      </c>
    </row>
    <row r="19" spans="1:6" ht="16.2" thickBot="1" x14ac:dyDescent="0.35">
      <c r="A19" s="15" t="s">
        <v>23</v>
      </c>
      <c r="B19" s="16">
        <v>4500</v>
      </c>
      <c r="C19" s="16">
        <v>10500</v>
      </c>
      <c r="D19" s="29" t="s">
        <v>10</v>
      </c>
      <c r="E19" s="17"/>
      <c r="F19" s="18" t="s">
        <v>726</v>
      </c>
    </row>
    <row r="20" spans="1:6" ht="16.2" thickBot="1" x14ac:dyDescent="0.35">
      <c r="A20" s="15" t="s">
        <v>25</v>
      </c>
      <c r="B20" s="12">
        <v>3000</v>
      </c>
      <c r="C20" s="12">
        <v>4000</v>
      </c>
      <c r="D20" s="30" t="s">
        <v>10</v>
      </c>
      <c r="E20" s="19"/>
      <c r="F20" s="20" t="s">
        <v>861</v>
      </c>
    </row>
    <row r="21" spans="1:6" ht="16.2" thickBot="1" x14ac:dyDescent="0.35">
      <c r="A21" s="15" t="s">
        <v>26</v>
      </c>
      <c r="B21" s="12">
        <v>0</v>
      </c>
      <c r="C21" s="12">
        <v>0</v>
      </c>
      <c r="D21" s="30"/>
      <c r="E21" s="19"/>
      <c r="F21" s="20"/>
    </row>
    <row r="22" spans="1:6" ht="16.2" thickBot="1" x14ac:dyDescent="0.35">
      <c r="A22" s="15" t="s">
        <v>27</v>
      </c>
      <c r="B22" s="12">
        <v>5360</v>
      </c>
      <c r="C22" s="12">
        <v>7000</v>
      </c>
      <c r="D22" s="30"/>
      <c r="E22" s="19"/>
      <c r="F22" s="20" t="s">
        <v>862</v>
      </c>
    </row>
    <row r="23" spans="1:6" ht="16.2" thickBot="1" x14ac:dyDescent="0.35">
      <c r="A23" s="15" t="s">
        <v>28</v>
      </c>
      <c r="B23" s="12">
        <v>0</v>
      </c>
      <c r="C23" s="12">
        <v>0</v>
      </c>
      <c r="D23" s="30"/>
      <c r="E23" s="19"/>
      <c r="F23" s="20"/>
    </row>
    <row r="24" spans="1:6" ht="16.2" thickBot="1" x14ac:dyDescent="0.35">
      <c r="A24" s="15" t="s">
        <v>29</v>
      </c>
      <c r="B24" s="12">
        <v>0</v>
      </c>
      <c r="C24" s="12">
        <v>0</v>
      </c>
      <c r="D24" s="30"/>
      <c r="E24" s="19"/>
      <c r="F24" s="20"/>
    </row>
    <row r="25" spans="1:6" ht="16.2" thickBot="1" x14ac:dyDescent="0.35">
      <c r="A25" s="15" t="s">
        <v>30</v>
      </c>
      <c r="B25" s="12">
        <v>3400</v>
      </c>
      <c r="C25" s="12">
        <v>8000</v>
      </c>
      <c r="D25" s="30" t="s">
        <v>10</v>
      </c>
      <c r="E25" s="19"/>
      <c r="F25" s="20" t="s">
        <v>863</v>
      </c>
    </row>
    <row r="26" spans="1:6" ht="16.2" thickBot="1" x14ac:dyDescent="0.35">
      <c r="A26" s="15" t="s">
        <v>864</v>
      </c>
      <c r="B26" s="12">
        <v>0</v>
      </c>
      <c r="C26" s="12">
        <v>0</v>
      </c>
      <c r="D26" s="30"/>
      <c r="E26" s="19"/>
      <c r="F26" s="20"/>
    </row>
    <row r="27" spans="1:6" ht="16.2" thickBot="1" x14ac:dyDescent="0.35">
      <c r="A27" s="15" t="s">
        <v>23</v>
      </c>
      <c r="B27" s="12">
        <v>15000</v>
      </c>
      <c r="C27" s="12">
        <v>40000</v>
      </c>
      <c r="D27" s="30" t="s">
        <v>10</v>
      </c>
      <c r="E27" s="19"/>
      <c r="F27" s="20" t="s">
        <v>726</v>
      </c>
    </row>
    <row r="28" spans="1:6" ht="16.2" thickBot="1" x14ac:dyDescent="0.35">
      <c r="A28" s="15" t="s">
        <v>25</v>
      </c>
      <c r="B28" s="12">
        <v>25000</v>
      </c>
      <c r="C28" s="12">
        <v>60000</v>
      </c>
      <c r="D28" s="30" t="s">
        <v>10</v>
      </c>
      <c r="E28" s="19"/>
      <c r="F28" s="20" t="s">
        <v>865</v>
      </c>
    </row>
    <row r="29" spans="1:6" ht="16.2" thickBot="1" x14ac:dyDescent="0.35">
      <c r="A29" s="15" t="s">
        <v>26</v>
      </c>
      <c r="B29" s="12">
        <v>28000</v>
      </c>
      <c r="C29" s="12">
        <v>72000</v>
      </c>
      <c r="D29" s="30" t="s">
        <v>10</v>
      </c>
      <c r="E29" s="19"/>
      <c r="F29" s="20" t="s">
        <v>866</v>
      </c>
    </row>
    <row r="30" spans="1:6" ht="16.2" thickBot="1" x14ac:dyDescent="0.35">
      <c r="A30" s="15" t="s">
        <v>30</v>
      </c>
      <c r="B30" s="12">
        <v>10000</v>
      </c>
      <c r="C30" s="12">
        <v>30000</v>
      </c>
      <c r="D30" s="30" t="s">
        <v>10</v>
      </c>
      <c r="E30" s="19"/>
      <c r="F30" s="20" t="s">
        <v>867</v>
      </c>
    </row>
    <row r="31" spans="1:6" ht="16.2" thickBot="1" x14ac:dyDescent="0.35">
      <c r="A31" s="21"/>
      <c r="B31" s="12">
        <v>0</v>
      </c>
      <c r="C31" s="12">
        <v>0</v>
      </c>
      <c r="D31" s="19"/>
      <c r="E31" s="19"/>
      <c r="F31" s="20"/>
    </row>
    <row r="32" spans="1:6" ht="16.2" thickBot="1" x14ac:dyDescent="0.35">
      <c r="A32" s="13" t="s">
        <v>32</v>
      </c>
      <c r="B32" s="22">
        <v>94260</v>
      </c>
      <c r="C32" s="22">
        <v>231500</v>
      </c>
      <c r="D32" s="23"/>
      <c r="E32" s="23"/>
      <c r="F32" s="2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6BDF-0FB0-496F-ADBC-F2A698F948CA}">
  <dimension ref="A1:H32"/>
  <sheetViews>
    <sheetView topLeftCell="A22"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31.8" thickBot="1" x14ac:dyDescent="0.35">
      <c r="A2" s="36" t="s">
        <v>86</v>
      </c>
      <c r="B2" s="37">
        <v>-4770000</v>
      </c>
      <c r="C2" s="38" t="s">
        <v>87</v>
      </c>
      <c r="D2" s="39">
        <v>14949335</v>
      </c>
      <c r="E2" s="36" t="s">
        <v>24</v>
      </c>
      <c r="F2" s="40" t="s">
        <v>88</v>
      </c>
      <c r="G2" s="39">
        <v>-1577733</v>
      </c>
      <c r="H2" s="39">
        <v>-5807733</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-41700</v>
      </c>
    </row>
    <row r="10" spans="1:8" ht="16.2" thickBot="1" x14ac:dyDescent="0.35">
      <c r="A10" s="11" t="s">
        <v>57</v>
      </c>
      <c r="B10" s="12">
        <v>-62500.000000000022</v>
      </c>
    </row>
    <row r="11" spans="1:8" ht="16.2" thickBot="1" x14ac:dyDescent="0.35">
      <c r="A11" s="11"/>
      <c r="B11" s="12">
        <v>0</v>
      </c>
    </row>
    <row r="12" spans="1:8" ht="16.2" thickBot="1" x14ac:dyDescent="0.35">
      <c r="A12" s="11"/>
      <c r="B12" s="10"/>
      <c r="C12" s="12">
        <v>-104200.00000000003</v>
      </c>
    </row>
    <row r="13" spans="1:8" x14ac:dyDescent="0.3">
      <c r="A13" s="13"/>
      <c r="C13" s="10" t="s">
        <v>9</v>
      </c>
    </row>
    <row r="15" spans="1:8" ht="31.2" x14ac:dyDescent="0.3">
      <c r="A15" s="1" t="s">
        <v>17</v>
      </c>
      <c r="B15" s="14" t="s">
        <v>18</v>
      </c>
      <c r="C15" s="1" t="s">
        <v>19</v>
      </c>
      <c r="D15" s="1" t="s">
        <v>20</v>
      </c>
      <c r="E15" s="1" t="s">
        <v>21</v>
      </c>
      <c r="F15" s="1" t="s">
        <v>22</v>
      </c>
    </row>
    <row r="16" spans="1:8" ht="78.599999999999994" thickBot="1" x14ac:dyDescent="0.35">
      <c r="A16" s="41" t="s">
        <v>23</v>
      </c>
      <c r="B16" s="42">
        <v>10305.31</v>
      </c>
      <c r="C16" s="42">
        <v>10680</v>
      </c>
      <c r="D16" s="43" t="s">
        <v>24</v>
      </c>
      <c r="E16" s="43" t="s">
        <v>89</v>
      </c>
      <c r="F16" s="44" t="s">
        <v>90</v>
      </c>
    </row>
    <row r="17" spans="1:6" ht="78.599999999999994" thickBot="1" x14ac:dyDescent="0.35">
      <c r="A17" s="41" t="s">
        <v>25</v>
      </c>
      <c r="B17" s="45">
        <v>20322.16</v>
      </c>
      <c r="C17" s="45">
        <v>123042</v>
      </c>
      <c r="D17" s="46" t="s">
        <v>24</v>
      </c>
      <c r="E17" s="43" t="s">
        <v>89</v>
      </c>
      <c r="F17" s="47" t="s">
        <v>91</v>
      </c>
    </row>
    <row r="18" spans="1:6" ht="78.599999999999994" thickBot="1" x14ac:dyDescent="0.35">
      <c r="A18" s="41" t="s">
        <v>26</v>
      </c>
      <c r="B18" s="45">
        <v>84629</v>
      </c>
      <c r="C18" s="45">
        <v>72540</v>
      </c>
      <c r="D18" s="46"/>
      <c r="E18" s="46" t="s">
        <v>92</v>
      </c>
      <c r="F18" s="47" t="s">
        <v>93</v>
      </c>
    </row>
    <row r="19" spans="1:6" ht="47.4" thickBot="1" x14ac:dyDescent="0.35">
      <c r="A19" s="41" t="s">
        <v>94</v>
      </c>
      <c r="B19" s="45">
        <v>2925</v>
      </c>
      <c r="C19" s="45">
        <v>3500</v>
      </c>
      <c r="D19" s="46" t="s">
        <v>24</v>
      </c>
      <c r="E19" s="46" t="s">
        <v>95</v>
      </c>
      <c r="F19" s="47" t="s">
        <v>96</v>
      </c>
    </row>
    <row r="20" spans="1:6" ht="16.2" thickBot="1" x14ac:dyDescent="0.35">
      <c r="A20" s="41" t="s">
        <v>28</v>
      </c>
      <c r="B20" s="45">
        <v>0</v>
      </c>
      <c r="C20" s="45">
        <v>0</v>
      </c>
      <c r="D20" s="46"/>
      <c r="E20" s="48"/>
      <c r="F20" s="49"/>
    </row>
    <row r="21" spans="1:6" ht="94.2" thickBot="1" x14ac:dyDescent="0.35">
      <c r="A21" s="41" t="s">
        <v>29</v>
      </c>
      <c r="B21" s="45">
        <v>13470.24</v>
      </c>
      <c r="C21" s="45">
        <v>10000</v>
      </c>
      <c r="D21" s="46"/>
      <c r="E21" s="43"/>
      <c r="F21" s="47" t="s">
        <v>97</v>
      </c>
    </row>
    <row r="22" spans="1:6" ht="47.4" thickBot="1" x14ac:dyDescent="0.35">
      <c r="A22" s="41" t="s">
        <v>30</v>
      </c>
      <c r="B22" s="45">
        <v>4425</v>
      </c>
      <c r="C22" s="45">
        <v>16922.5</v>
      </c>
      <c r="D22" s="46" t="s">
        <v>24</v>
      </c>
      <c r="E22" s="43" t="s">
        <v>89</v>
      </c>
      <c r="F22" s="47" t="s">
        <v>98</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136076.71</v>
      </c>
      <c r="C29" s="22">
        <v>236684.5</v>
      </c>
      <c r="D29" s="23"/>
      <c r="E29" s="23"/>
      <c r="F29" s="24"/>
    </row>
    <row r="31" spans="1:6" x14ac:dyDescent="0.3">
      <c r="B31" s="7" t="s">
        <v>2508</v>
      </c>
      <c r="C31" s="7">
        <v>-101210</v>
      </c>
    </row>
    <row r="32" spans="1:6" x14ac:dyDescent="0.3">
      <c r="B32" s="7" t="s">
        <v>747</v>
      </c>
      <c r="C32" s="396">
        <f>SUM(C29:C31)</f>
        <v>135474.5</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7435-9582-46D8-9416-ED6B8432F532}">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s="77" customFormat="1" ht="31.8" thickBot="1" x14ac:dyDescent="0.35">
      <c r="A2" s="395" t="s">
        <v>2321</v>
      </c>
      <c r="B2" s="37">
        <v>67277</v>
      </c>
      <c r="C2" s="395" t="s">
        <v>2322</v>
      </c>
      <c r="D2" s="39">
        <v>0</v>
      </c>
      <c r="E2" s="395" t="s">
        <v>108</v>
      </c>
      <c r="F2" s="76" t="s">
        <v>2323</v>
      </c>
      <c r="G2" s="39">
        <v>0</v>
      </c>
      <c r="H2" s="39" t="s">
        <v>212</v>
      </c>
    </row>
    <row r="4" spans="1:8" x14ac:dyDescent="0.3">
      <c r="A4" s="386" t="s">
        <v>11</v>
      </c>
    </row>
    <row r="6" spans="1:8" ht="16.2" thickBot="1" x14ac:dyDescent="0.35">
      <c r="A6" s="563" t="s">
        <v>12</v>
      </c>
      <c r="B6" s="10" t="s">
        <v>9</v>
      </c>
    </row>
    <row r="7" spans="1:8" ht="16.2" thickBot="1" x14ac:dyDescent="0.35">
      <c r="A7" s="562" t="s">
        <v>51</v>
      </c>
      <c r="B7" s="374">
        <v>0</v>
      </c>
    </row>
    <row r="8" spans="1:8" ht="16.2" thickBot="1" x14ac:dyDescent="0.35">
      <c r="A8" s="562" t="s">
        <v>53</v>
      </c>
      <c r="B8" s="374">
        <v>0</v>
      </c>
    </row>
    <row r="9" spans="1:8" ht="16.2" thickBot="1" x14ac:dyDescent="0.35">
      <c r="A9" s="562" t="s">
        <v>55</v>
      </c>
      <c r="B9" s="374">
        <v>69000</v>
      </c>
    </row>
    <row r="10" spans="1:8" ht="16.2" thickBot="1" x14ac:dyDescent="0.35">
      <c r="A10" s="562" t="s">
        <v>57</v>
      </c>
      <c r="B10" s="374">
        <v>0</v>
      </c>
    </row>
    <row r="11" spans="1:8" ht="16.2" thickBot="1" x14ac:dyDescent="0.35">
      <c r="A11" s="562"/>
      <c r="B11" s="374">
        <v>0</v>
      </c>
    </row>
    <row r="12" spans="1:8" ht="16.2" thickBot="1" x14ac:dyDescent="0.35">
      <c r="A12" s="562"/>
      <c r="B12" s="10"/>
      <c r="C12" s="374">
        <f>SUM(B7:B11)</f>
        <v>69000</v>
      </c>
    </row>
    <row r="13" spans="1:8" x14ac:dyDescent="0.3">
      <c r="A13" s="561"/>
      <c r="C13" s="10" t="s">
        <v>9</v>
      </c>
    </row>
    <row r="15" spans="1:8" ht="31.2" x14ac:dyDescent="0.3">
      <c r="A15" s="384" t="s">
        <v>17</v>
      </c>
      <c r="B15" s="385" t="s">
        <v>18</v>
      </c>
      <c r="C15" s="384" t="s">
        <v>19</v>
      </c>
      <c r="D15" s="384" t="s">
        <v>20</v>
      </c>
      <c r="E15" s="384" t="s">
        <v>21</v>
      </c>
      <c r="F15" s="384" t="s">
        <v>22</v>
      </c>
    </row>
    <row r="16" spans="1:8" ht="16.2" thickBot="1" x14ac:dyDescent="0.35">
      <c r="A16" s="560" t="s">
        <v>23</v>
      </c>
      <c r="B16" s="382">
        <v>94.62</v>
      </c>
      <c r="C16" s="382">
        <f>B16</f>
        <v>94.62</v>
      </c>
      <c r="D16" s="359"/>
      <c r="E16" s="359"/>
      <c r="F16" s="383"/>
    </row>
    <row r="17" spans="1:6" ht="16.2" thickBot="1" x14ac:dyDescent="0.35">
      <c r="A17" s="560" t="s">
        <v>25</v>
      </c>
      <c r="B17" s="374">
        <v>629.52</v>
      </c>
      <c r="C17" s="382">
        <f>B17</f>
        <v>629.52</v>
      </c>
      <c r="D17" s="387"/>
      <c r="E17" s="387"/>
      <c r="F17" s="377"/>
    </row>
    <row r="18" spans="1:6" ht="16.2" thickBot="1" x14ac:dyDescent="0.35">
      <c r="A18" s="560" t="s">
        <v>26</v>
      </c>
      <c r="B18" s="374">
        <v>0</v>
      </c>
      <c r="C18" s="374">
        <v>0</v>
      </c>
      <c r="D18" s="387"/>
      <c r="E18" s="387"/>
      <c r="F18" s="377"/>
    </row>
    <row r="19" spans="1:6" ht="16.2" thickBot="1" x14ac:dyDescent="0.35">
      <c r="A19" s="560" t="s">
        <v>27</v>
      </c>
      <c r="B19" s="374">
        <v>2459.79</v>
      </c>
      <c r="C19" s="374">
        <f>B19+819.93</f>
        <v>3279.72</v>
      </c>
      <c r="D19" s="387"/>
      <c r="E19" s="387"/>
      <c r="F19" s="377"/>
    </row>
    <row r="20" spans="1:6" ht="16.2" thickBot="1" x14ac:dyDescent="0.35">
      <c r="A20" s="560" t="s">
        <v>28</v>
      </c>
      <c r="B20" s="374">
        <v>0</v>
      </c>
      <c r="C20" s="374">
        <v>0</v>
      </c>
      <c r="D20" s="387"/>
      <c r="E20" s="387"/>
      <c r="F20" s="377"/>
    </row>
    <row r="21" spans="1:6" ht="16.2" thickBot="1" x14ac:dyDescent="0.35">
      <c r="A21" s="560" t="s">
        <v>29</v>
      </c>
      <c r="B21" s="374">
        <v>0</v>
      </c>
      <c r="C21" s="374">
        <v>0</v>
      </c>
      <c r="D21" s="387"/>
      <c r="E21" s="387"/>
      <c r="F21" s="377"/>
    </row>
    <row r="22" spans="1:6" ht="16.2" thickBot="1" x14ac:dyDescent="0.35">
      <c r="A22" s="560" t="s">
        <v>30</v>
      </c>
      <c r="B22" s="374">
        <v>0</v>
      </c>
      <c r="C22" s="374">
        <v>0</v>
      </c>
      <c r="D22" s="387"/>
      <c r="E22" s="387"/>
      <c r="F22" s="377"/>
    </row>
    <row r="23" spans="1:6" ht="16.2" thickBot="1" x14ac:dyDescent="0.35">
      <c r="A23" s="562"/>
      <c r="B23" s="374">
        <v>4670</v>
      </c>
      <c r="C23" s="374">
        <f>B23+1556.67</f>
        <v>6226.67</v>
      </c>
      <c r="D23" s="387"/>
      <c r="E23" s="387"/>
      <c r="F23" s="377"/>
    </row>
    <row r="24" spans="1:6" ht="16.2" thickBot="1" x14ac:dyDescent="0.35">
      <c r="A24" s="562"/>
      <c r="B24" s="374">
        <v>1627.2</v>
      </c>
      <c r="C24" s="374">
        <f>B24+976.32</f>
        <v>2603.52</v>
      </c>
      <c r="D24" s="387"/>
      <c r="E24" s="387"/>
      <c r="F24" s="377"/>
    </row>
    <row r="25" spans="1:6" ht="16.2" thickBot="1" x14ac:dyDescent="0.35">
      <c r="A25" s="560" t="s">
        <v>2324</v>
      </c>
      <c r="B25" s="374">
        <v>2151.15</v>
      </c>
      <c r="C25" s="374">
        <v>3097.66</v>
      </c>
      <c r="D25" s="387"/>
      <c r="E25" s="387"/>
      <c r="F25" s="377"/>
    </row>
    <row r="26" spans="1:6" ht="16.2" thickBot="1" x14ac:dyDescent="0.35">
      <c r="A26" s="562"/>
      <c r="B26" s="374">
        <v>0</v>
      </c>
      <c r="C26" s="374">
        <v>0</v>
      </c>
      <c r="D26" s="387"/>
      <c r="E26" s="387"/>
      <c r="F26" s="377"/>
    </row>
    <row r="27" spans="1:6" ht="16.2" thickBot="1" x14ac:dyDescent="0.35">
      <c r="A27" s="562"/>
      <c r="B27" s="374">
        <v>0</v>
      </c>
      <c r="C27" s="374">
        <v>0</v>
      </c>
      <c r="D27" s="387"/>
      <c r="E27" s="387"/>
      <c r="F27" s="377"/>
    </row>
    <row r="28" spans="1:6" ht="16.2" thickBot="1" x14ac:dyDescent="0.35">
      <c r="A28" s="378"/>
      <c r="B28" s="374">
        <v>0</v>
      </c>
      <c r="C28" s="374">
        <v>0</v>
      </c>
      <c r="D28" s="387"/>
      <c r="E28" s="387"/>
      <c r="F28" s="377"/>
    </row>
    <row r="29" spans="1:6" ht="16.2" thickBot="1" x14ac:dyDescent="0.35">
      <c r="A29" s="561" t="s">
        <v>32</v>
      </c>
      <c r="B29" s="379">
        <f>SUM(B16:B28)</f>
        <v>11632.28</v>
      </c>
      <c r="C29" s="379">
        <f>SUM(C16:C28)</f>
        <v>15931.71</v>
      </c>
      <c r="D29" s="388"/>
      <c r="E29" s="388"/>
      <c r="F29" s="380"/>
    </row>
  </sheetData>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B841-CADE-438D-8B6E-DCC344E4A722}">
  <dimension ref="A1:H63"/>
  <sheetViews>
    <sheetView topLeftCell="A19" workbookViewId="0">
      <selection activeCell="A30" sqref="A30"/>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2297</v>
      </c>
      <c r="B2" s="390">
        <f>+C11</f>
        <v>67600.570000000007</v>
      </c>
      <c r="C2" s="389" t="s">
        <v>9</v>
      </c>
      <c r="D2" s="391">
        <v>8538018</v>
      </c>
      <c r="E2" s="389" t="s">
        <v>10</v>
      </c>
      <c r="F2" s="392"/>
      <c r="G2" s="391">
        <v>0</v>
      </c>
      <c r="H2" s="391">
        <v>0</v>
      </c>
    </row>
    <row r="4" spans="1:8" x14ac:dyDescent="0.3">
      <c r="A4" s="386" t="s">
        <v>11</v>
      </c>
    </row>
    <row r="6" spans="1:8" ht="16.2" thickBot="1" x14ac:dyDescent="0.35">
      <c r="A6" s="701" t="s">
        <v>12</v>
      </c>
      <c r="B6" s="10" t="s">
        <v>9</v>
      </c>
    </row>
    <row r="7" spans="1:8" ht="16.2" thickBot="1" x14ac:dyDescent="0.35">
      <c r="A7" s="700" t="s">
        <v>13</v>
      </c>
      <c r="B7" s="374">
        <v>67600.570000000007</v>
      </c>
    </row>
    <row r="8" spans="1:8" ht="16.2" thickBot="1" x14ac:dyDescent="0.35">
      <c r="A8" s="700" t="s">
        <v>14</v>
      </c>
      <c r="B8" s="374">
        <v>0</v>
      </c>
    </row>
    <row r="9" spans="1:8" ht="16.2" thickBot="1" x14ac:dyDescent="0.35">
      <c r="A9" s="700"/>
      <c r="B9" s="374">
        <v>0</v>
      </c>
    </row>
    <row r="10" spans="1:8" ht="16.2" thickBot="1" x14ac:dyDescent="0.35">
      <c r="A10" s="700"/>
      <c r="B10" s="374">
        <v>0</v>
      </c>
    </row>
    <row r="11" spans="1:8" ht="16.2" thickBot="1" x14ac:dyDescent="0.35">
      <c r="A11" s="700"/>
      <c r="B11" s="10"/>
      <c r="C11" s="374">
        <f>SUM(B7:B10)</f>
        <v>67600.570000000007</v>
      </c>
    </row>
    <row r="12" spans="1:8" x14ac:dyDescent="0.3">
      <c r="A12" s="699"/>
      <c r="C12" s="10" t="s">
        <v>9</v>
      </c>
    </row>
    <row r="14" spans="1:8" ht="31.2" x14ac:dyDescent="0.3">
      <c r="A14" s="384" t="s">
        <v>17</v>
      </c>
      <c r="B14" s="385" t="s">
        <v>18</v>
      </c>
      <c r="C14" s="384" t="s">
        <v>19</v>
      </c>
      <c r="D14" s="384" t="s">
        <v>20</v>
      </c>
      <c r="E14" s="384" t="s">
        <v>21</v>
      </c>
      <c r="F14" s="384" t="s">
        <v>22</v>
      </c>
    </row>
    <row r="15" spans="1:8" ht="16.2" thickBot="1" x14ac:dyDescent="0.35">
      <c r="A15" s="698" t="s">
        <v>23</v>
      </c>
      <c r="B15" s="555">
        <f>+E35</f>
        <v>2472.11</v>
      </c>
      <c r="C15" s="382">
        <v>6500</v>
      </c>
      <c r="D15" s="397" t="s">
        <v>24</v>
      </c>
      <c r="E15" s="397" t="s">
        <v>525</v>
      </c>
      <c r="F15" s="383"/>
    </row>
    <row r="16" spans="1:8" ht="16.2" thickBot="1" x14ac:dyDescent="0.35">
      <c r="A16" s="698" t="s">
        <v>25</v>
      </c>
      <c r="B16" s="556">
        <f>+E44</f>
        <v>16632.310000000001</v>
      </c>
      <c r="C16" s="374">
        <v>27500</v>
      </c>
      <c r="D16" s="394" t="s">
        <v>24</v>
      </c>
      <c r="E16" s="394" t="s">
        <v>525</v>
      </c>
      <c r="F16" s="377"/>
    </row>
    <row r="17" spans="1:6" ht="16.2" thickBot="1" x14ac:dyDescent="0.35">
      <c r="A17" s="698" t="s">
        <v>26</v>
      </c>
      <c r="B17" s="374">
        <v>0</v>
      </c>
      <c r="C17" s="374">
        <v>0</v>
      </c>
      <c r="D17" s="394"/>
      <c r="E17" s="394"/>
      <c r="F17" s="377"/>
    </row>
    <row r="18" spans="1:6" ht="16.2" thickBot="1" x14ac:dyDescent="0.35">
      <c r="A18" s="698" t="s">
        <v>27</v>
      </c>
      <c r="B18" s="374">
        <v>0</v>
      </c>
      <c r="C18" s="374">
        <v>0</v>
      </c>
      <c r="D18" s="394"/>
      <c r="E18" s="394"/>
      <c r="F18" s="377"/>
    </row>
    <row r="19" spans="1:6" ht="16.2" thickBot="1" x14ac:dyDescent="0.35">
      <c r="A19" s="698" t="s">
        <v>28</v>
      </c>
      <c r="B19" s="374">
        <v>0</v>
      </c>
      <c r="C19" s="374">
        <v>0</v>
      </c>
      <c r="D19" s="394"/>
      <c r="E19" s="394"/>
      <c r="F19" s="377"/>
    </row>
    <row r="20" spans="1:6" ht="16.2" thickBot="1" x14ac:dyDescent="0.35">
      <c r="A20" s="698" t="s">
        <v>29</v>
      </c>
      <c r="B20" s="374">
        <v>0</v>
      </c>
      <c r="C20" s="374">
        <v>0</v>
      </c>
      <c r="D20" s="394"/>
      <c r="E20" s="394"/>
      <c r="F20" s="377"/>
    </row>
    <row r="21" spans="1:6" ht="16.2" thickBot="1" x14ac:dyDescent="0.35">
      <c r="A21" s="698" t="s">
        <v>30</v>
      </c>
      <c r="B21" s="556">
        <f>+E51</f>
        <v>19911.87</v>
      </c>
      <c r="C21" s="374">
        <v>60000</v>
      </c>
      <c r="D21" s="394" t="s">
        <v>24</v>
      </c>
      <c r="E21" s="394" t="s">
        <v>525</v>
      </c>
      <c r="F21" s="377"/>
    </row>
    <row r="22" spans="1:6" ht="16.2" thickBot="1" x14ac:dyDescent="0.35">
      <c r="A22" s="698" t="s">
        <v>2298</v>
      </c>
      <c r="B22" s="556">
        <f>+E60</f>
        <v>2762</v>
      </c>
      <c r="C22" s="374">
        <v>25000</v>
      </c>
      <c r="D22" s="394" t="s">
        <v>24</v>
      </c>
      <c r="E22" s="394" t="s">
        <v>525</v>
      </c>
      <c r="F22" s="377"/>
    </row>
    <row r="23" spans="1:6" ht="16.2" thickBot="1" x14ac:dyDescent="0.35">
      <c r="A23" s="698" t="s">
        <v>2299</v>
      </c>
      <c r="B23" s="374">
        <v>0</v>
      </c>
      <c r="C23" s="374">
        <v>70000</v>
      </c>
      <c r="D23" s="394" t="s">
        <v>24</v>
      </c>
      <c r="E23" s="394" t="s">
        <v>525</v>
      </c>
      <c r="F23" s="377"/>
    </row>
    <row r="24" spans="1:6" ht="16.2" thickBot="1" x14ac:dyDescent="0.35">
      <c r="A24" s="700"/>
      <c r="B24" s="374">
        <v>0</v>
      </c>
      <c r="C24" s="374">
        <v>0</v>
      </c>
      <c r="D24" s="394"/>
      <c r="E24" s="394"/>
      <c r="F24" s="377"/>
    </row>
    <row r="25" spans="1:6" ht="16.2" thickBot="1" x14ac:dyDescent="0.35">
      <c r="A25" s="700"/>
      <c r="B25" s="374">
        <v>0</v>
      </c>
      <c r="C25" s="374">
        <v>0</v>
      </c>
      <c r="D25" s="394"/>
      <c r="E25" s="394"/>
      <c r="F25" s="377"/>
    </row>
    <row r="26" spans="1:6" ht="16.2" thickBot="1" x14ac:dyDescent="0.35">
      <c r="A26" s="700"/>
      <c r="B26" s="374">
        <v>0</v>
      </c>
      <c r="C26" s="374">
        <v>0</v>
      </c>
      <c r="D26" s="387"/>
      <c r="E26" s="387"/>
      <c r="F26" s="377"/>
    </row>
    <row r="27" spans="1:6" ht="16.2" thickBot="1" x14ac:dyDescent="0.35">
      <c r="A27" s="378"/>
      <c r="B27" s="374">
        <v>0</v>
      </c>
      <c r="C27" s="374">
        <v>0</v>
      </c>
      <c r="D27" s="387"/>
      <c r="E27" s="387"/>
      <c r="F27" s="377"/>
    </row>
    <row r="28" spans="1:6" ht="16.2" thickBot="1" x14ac:dyDescent="0.35">
      <c r="A28" s="699" t="s">
        <v>32</v>
      </c>
      <c r="B28" s="379">
        <f>SUM(B15:B27)</f>
        <v>41778.29</v>
      </c>
      <c r="C28" s="379">
        <f>SUM(C15:C27)</f>
        <v>189000</v>
      </c>
      <c r="D28" s="388"/>
      <c r="E28" s="388"/>
      <c r="F28" s="380"/>
    </row>
    <row r="32" spans="1:6" x14ac:dyDescent="0.3">
      <c r="C32" s="372" t="s">
        <v>712</v>
      </c>
      <c r="D32" s="372" t="s">
        <v>2535</v>
      </c>
      <c r="E32" s="372" t="s">
        <v>2536</v>
      </c>
    </row>
    <row r="33" spans="3:5" x14ac:dyDescent="0.3">
      <c r="C33" s="372" t="s">
        <v>2300</v>
      </c>
      <c r="D33" s="557">
        <v>1074.3499999999999</v>
      </c>
      <c r="E33" s="557">
        <v>2472.11</v>
      </c>
    </row>
    <row r="34" spans="3:5" x14ac:dyDescent="0.3">
      <c r="C34" s="372" t="s">
        <v>2537</v>
      </c>
      <c r="D34" s="557"/>
      <c r="E34" s="557">
        <v>35.92</v>
      </c>
    </row>
    <row r="35" spans="3:5" x14ac:dyDescent="0.3">
      <c r="D35" s="558">
        <f>SUM(D33)</f>
        <v>1074.3499999999999</v>
      </c>
      <c r="E35" s="558">
        <f>SUM(E33)</f>
        <v>2472.11</v>
      </c>
    </row>
    <row r="36" spans="3:5" x14ac:dyDescent="0.3">
      <c r="D36" s="557"/>
      <c r="E36" s="557"/>
    </row>
    <row r="37" spans="3:5" x14ac:dyDescent="0.3">
      <c r="C37" s="372" t="s">
        <v>2538</v>
      </c>
      <c r="D37" s="557"/>
      <c r="E37" s="557"/>
    </row>
    <row r="38" spans="3:5" x14ac:dyDescent="0.3">
      <c r="C38" s="372" t="s">
        <v>2301</v>
      </c>
      <c r="D38" s="557">
        <v>2955.67</v>
      </c>
      <c r="E38" s="557">
        <v>3498.81</v>
      </c>
    </row>
    <row r="39" spans="3:5" x14ac:dyDescent="0.3">
      <c r="C39" s="372" t="s">
        <v>2539</v>
      </c>
      <c r="D39" s="557"/>
      <c r="E39" s="557">
        <v>2507.9699999999998</v>
      </c>
    </row>
    <row r="40" spans="3:5" x14ac:dyDescent="0.3">
      <c r="C40" s="372" t="s">
        <v>2302</v>
      </c>
      <c r="D40" s="557">
        <v>550</v>
      </c>
      <c r="E40" s="557">
        <v>550</v>
      </c>
    </row>
    <row r="41" spans="3:5" x14ac:dyDescent="0.3">
      <c r="C41" s="372" t="s">
        <v>2303</v>
      </c>
      <c r="D41" s="557">
        <v>314.7</v>
      </c>
      <c r="E41" s="557">
        <v>314.7</v>
      </c>
    </row>
    <row r="42" spans="3:5" x14ac:dyDescent="0.3">
      <c r="C42" s="372" t="s">
        <v>2304</v>
      </c>
      <c r="D42" s="557">
        <v>3740</v>
      </c>
      <c r="E42" s="557">
        <v>4305.95</v>
      </c>
    </row>
    <row r="43" spans="3:5" x14ac:dyDescent="0.3">
      <c r="C43" s="372" t="s">
        <v>2305</v>
      </c>
      <c r="D43" s="557">
        <v>177.95</v>
      </c>
      <c r="E43" s="557">
        <v>5454.88</v>
      </c>
    </row>
    <row r="44" spans="3:5" x14ac:dyDescent="0.3">
      <c r="D44" s="558">
        <f>SUM(D38:D43)</f>
        <v>7738.32</v>
      </c>
      <c r="E44" s="558">
        <f>SUM(E38:E43)</f>
        <v>16632.310000000001</v>
      </c>
    </row>
    <row r="45" spans="3:5" x14ac:dyDescent="0.3">
      <c r="D45" s="557"/>
      <c r="E45" s="557"/>
    </row>
    <row r="46" spans="3:5" x14ac:dyDescent="0.3">
      <c r="C46" s="372" t="s">
        <v>2306</v>
      </c>
      <c r="D46" s="557"/>
      <c r="E46" s="557"/>
    </row>
    <row r="47" spans="3:5" x14ac:dyDescent="0.3">
      <c r="C47" s="372" t="s">
        <v>2307</v>
      </c>
      <c r="D47" s="557">
        <v>1871.09</v>
      </c>
      <c r="E47" s="557">
        <v>4122.74</v>
      </c>
    </row>
    <row r="48" spans="3:5" x14ac:dyDescent="0.3">
      <c r="C48" s="372" t="s">
        <v>2308</v>
      </c>
      <c r="D48" s="557">
        <v>9057.5</v>
      </c>
      <c r="E48" s="557">
        <v>9070.9699999999993</v>
      </c>
    </row>
    <row r="49" spans="3:5" x14ac:dyDescent="0.3">
      <c r="C49" s="372" t="s">
        <v>2309</v>
      </c>
      <c r="D49" s="557">
        <v>6533.83</v>
      </c>
      <c r="E49" s="557">
        <v>6718.16</v>
      </c>
    </row>
    <row r="50" spans="3:5" x14ac:dyDescent="0.3">
      <c r="C50" s="372" t="s">
        <v>2540</v>
      </c>
      <c r="D50" s="557"/>
      <c r="E50" s="557">
        <v>14240</v>
      </c>
    </row>
    <row r="51" spans="3:5" x14ac:dyDescent="0.3">
      <c r="D51" s="558">
        <f>SUM(D47:D49)</f>
        <v>17462.419999999998</v>
      </c>
      <c r="E51" s="558">
        <f>SUM(E47:E49)</f>
        <v>19911.87</v>
      </c>
    </row>
    <row r="52" spans="3:5" x14ac:dyDescent="0.3">
      <c r="D52" s="557"/>
      <c r="E52" s="557"/>
    </row>
    <row r="53" spans="3:5" x14ac:dyDescent="0.3">
      <c r="C53" s="372" t="s">
        <v>2310</v>
      </c>
      <c r="D53" s="557"/>
      <c r="E53" s="557"/>
    </row>
    <row r="54" spans="3:5" x14ac:dyDescent="0.3">
      <c r="C54" s="372" t="s">
        <v>2541</v>
      </c>
      <c r="D54" s="557"/>
      <c r="E54" s="557">
        <v>340</v>
      </c>
    </row>
    <row r="55" spans="3:5" x14ac:dyDescent="0.3">
      <c r="C55" s="372" t="s">
        <v>2311</v>
      </c>
      <c r="D55" s="557">
        <v>672</v>
      </c>
      <c r="E55" s="557">
        <v>672</v>
      </c>
    </row>
    <row r="56" spans="3:5" x14ac:dyDescent="0.3">
      <c r="C56" s="372" t="s">
        <v>2312</v>
      </c>
      <c r="D56" s="557">
        <v>0</v>
      </c>
      <c r="E56" s="557"/>
    </row>
    <row r="57" spans="3:5" x14ac:dyDescent="0.3">
      <c r="C57" s="372" t="s">
        <v>2542</v>
      </c>
      <c r="D57" s="557"/>
      <c r="E57" s="557">
        <v>510</v>
      </c>
    </row>
    <row r="58" spans="3:5" x14ac:dyDescent="0.3">
      <c r="C58" s="372" t="s">
        <v>2543</v>
      </c>
      <c r="D58" s="557"/>
      <c r="E58" s="557">
        <v>170</v>
      </c>
    </row>
    <row r="59" spans="3:5" x14ac:dyDescent="0.3">
      <c r="C59" s="372" t="s">
        <v>2313</v>
      </c>
      <c r="D59" s="557">
        <v>1410</v>
      </c>
      <c r="E59" s="557">
        <v>1410</v>
      </c>
    </row>
    <row r="60" spans="3:5" x14ac:dyDescent="0.3">
      <c r="D60" s="558">
        <f>SUM(D55:D59)</f>
        <v>2082</v>
      </c>
      <c r="E60" s="558">
        <f>SUM(E55:E59)</f>
        <v>2762</v>
      </c>
    </row>
    <row r="61" spans="3:5" x14ac:dyDescent="0.3">
      <c r="D61" s="557"/>
      <c r="E61" s="557"/>
    </row>
    <row r="62" spans="3:5" x14ac:dyDescent="0.3">
      <c r="D62" s="557"/>
      <c r="E62" s="557"/>
    </row>
    <row r="63" spans="3:5" x14ac:dyDescent="0.3">
      <c r="D63" s="557">
        <f>+D35+D44+D51+D60</f>
        <v>28357.089999999997</v>
      </c>
      <c r="E63" s="557">
        <f>+E35+E44+E51+E60</f>
        <v>41778.29</v>
      </c>
    </row>
  </sheetData>
  <pageMargins left="0.7" right="0.7" top="0.75" bottom="0.75" header="0.3" footer="0.3"/>
  <pageSetup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1297-6C1B-4B68-963C-4502F5DD0A1D}">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2.109375" style="372" customWidth="1"/>
    <col min="4" max="4" width="19.109375" style="372" customWidth="1"/>
    <col min="5" max="5" width="12.6640625" style="372" customWidth="1"/>
    <col min="6" max="6" width="12.5546875" style="372" customWidth="1"/>
    <col min="7" max="7" width="12" style="372" customWidth="1"/>
    <col min="8" max="8" width="11.109375" style="372" customWidth="1"/>
    <col min="9" max="16384" width="9.109375" style="372"/>
  </cols>
  <sheetData>
    <row r="1" spans="1:8" s="375" customFormat="1" ht="63" thickBot="1" x14ac:dyDescent="0.35">
      <c r="A1" s="384" t="s">
        <v>0</v>
      </c>
      <c r="B1" s="384" t="s">
        <v>1</v>
      </c>
      <c r="C1" s="384" t="s">
        <v>2</v>
      </c>
      <c r="D1" s="384" t="s">
        <v>3</v>
      </c>
      <c r="E1" s="384" t="s">
        <v>4</v>
      </c>
      <c r="F1" s="384" t="s">
        <v>5</v>
      </c>
      <c r="G1" s="384" t="s">
        <v>6</v>
      </c>
      <c r="H1" s="384" t="s">
        <v>7</v>
      </c>
    </row>
    <row r="2" spans="1:8" ht="31.8" thickBot="1" x14ac:dyDescent="0.35">
      <c r="A2" s="389" t="s">
        <v>2474</v>
      </c>
      <c r="B2" s="390">
        <v>7193857</v>
      </c>
      <c r="C2" s="389" t="s">
        <v>2475</v>
      </c>
      <c r="D2" s="391">
        <v>2658201</v>
      </c>
      <c r="E2" s="389" t="s">
        <v>2476</v>
      </c>
      <c r="F2" s="392"/>
      <c r="G2" s="391">
        <v>0</v>
      </c>
      <c r="H2" s="391">
        <v>0</v>
      </c>
    </row>
    <row r="4" spans="1:8" x14ac:dyDescent="0.3">
      <c r="A4" s="386" t="s">
        <v>11</v>
      </c>
    </row>
    <row r="5" spans="1:8" x14ac:dyDescent="0.3">
      <c r="C5" s="372" t="s">
        <v>2477</v>
      </c>
    </row>
    <row r="6" spans="1:8" ht="16.2" thickBot="1" x14ac:dyDescent="0.35">
      <c r="A6" s="644" t="s">
        <v>12</v>
      </c>
      <c r="B6" s="10" t="s">
        <v>9</v>
      </c>
    </row>
    <row r="7" spans="1:8" ht="16.2" thickBot="1" x14ac:dyDescent="0.35">
      <c r="A7" s="643" t="s">
        <v>13</v>
      </c>
      <c r="B7" s="374">
        <v>7193857</v>
      </c>
    </row>
    <row r="8" spans="1:8" ht="16.2" thickBot="1" x14ac:dyDescent="0.35">
      <c r="A8" s="643" t="s">
        <v>14</v>
      </c>
      <c r="B8" s="374">
        <v>0</v>
      </c>
    </row>
    <row r="9" spans="1:8" ht="16.2" thickBot="1" x14ac:dyDescent="0.35">
      <c r="A9" s="643"/>
      <c r="B9" s="374">
        <v>0</v>
      </c>
    </row>
    <row r="10" spans="1:8" ht="16.2" thickBot="1" x14ac:dyDescent="0.35">
      <c r="A10" s="643"/>
      <c r="B10" s="374">
        <v>0</v>
      </c>
    </row>
    <row r="11" spans="1:8" ht="16.2" thickBot="1" x14ac:dyDescent="0.35">
      <c r="A11" s="643"/>
      <c r="B11" s="10"/>
      <c r="C11" s="374">
        <f>SUM(B7:B10)</f>
        <v>7193857</v>
      </c>
    </row>
    <row r="12" spans="1:8" x14ac:dyDescent="0.3">
      <c r="A12" s="642"/>
      <c r="C12" s="10" t="s">
        <v>9</v>
      </c>
    </row>
    <row r="14" spans="1:8" ht="46.8" x14ac:dyDescent="0.3">
      <c r="A14" s="384" t="s">
        <v>17</v>
      </c>
      <c r="B14" s="385" t="s">
        <v>18</v>
      </c>
      <c r="C14" s="384" t="s">
        <v>19</v>
      </c>
      <c r="D14" s="384" t="s">
        <v>20</v>
      </c>
      <c r="E14" s="384" t="s">
        <v>21</v>
      </c>
      <c r="F14" s="384" t="s">
        <v>22</v>
      </c>
    </row>
    <row r="15" spans="1:8" ht="16.2" thickBot="1" x14ac:dyDescent="0.35">
      <c r="A15" s="641" t="s">
        <v>23</v>
      </c>
      <c r="B15" s="382">
        <v>987.41</v>
      </c>
      <c r="C15" s="382">
        <v>2000</v>
      </c>
      <c r="D15" s="359" t="s">
        <v>24</v>
      </c>
      <c r="E15" s="359"/>
      <c r="F15" s="383"/>
    </row>
    <row r="16" spans="1:8" ht="16.2" thickBot="1" x14ac:dyDescent="0.35">
      <c r="A16" s="641" t="s">
        <v>25</v>
      </c>
      <c r="B16" s="374">
        <v>0</v>
      </c>
      <c r="C16" s="374">
        <v>0</v>
      </c>
      <c r="D16" s="387"/>
      <c r="E16" s="387"/>
      <c r="F16" s="377"/>
    </row>
    <row r="17" spans="1:6" ht="16.2" thickBot="1" x14ac:dyDescent="0.35">
      <c r="A17" s="641" t="s">
        <v>26</v>
      </c>
      <c r="B17" s="374">
        <v>5000</v>
      </c>
      <c r="C17" s="374">
        <v>0</v>
      </c>
      <c r="D17" s="387" t="s">
        <v>24</v>
      </c>
      <c r="E17" s="387"/>
      <c r="F17" s="377"/>
    </row>
    <row r="18" spans="1:6" ht="16.2" thickBot="1" x14ac:dyDescent="0.35">
      <c r="A18" s="641" t="s">
        <v>27</v>
      </c>
      <c r="B18" s="374">
        <v>0</v>
      </c>
      <c r="C18" s="374">
        <v>0</v>
      </c>
      <c r="D18" s="387"/>
      <c r="E18" s="387"/>
      <c r="F18" s="377"/>
    </row>
    <row r="19" spans="1:6" ht="16.2" thickBot="1" x14ac:dyDescent="0.35">
      <c r="A19" s="641" t="s">
        <v>28</v>
      </c>
      <c r="B19" s="374">
        <v>0</v>
      </c>
      <c r="C19" s="374">
        <v>0</v>
      </c>
      <c r="D19" s="387"/>
      <c r="E19" s="387"/>
      <c r="F19" s="377"/>
    </row>
    <row r="20" spans="1:6" ht="16.2" thickBot="1" x14ac:dyDescent="0.35">
      <c r="A20" s="641" t="s">
        <v>29</v>
      </c>
      <c r="B20" s="374">
        <v>0</v>
      </c>
      <c r="C20" s="374">
        <v>0</v>
      </c>
      <c r="D20" s="387"/>
      <c r="E20" s="387"/>
      <c r="F20" s="377"/>
    </row>
    <row r="21" spans="1:6" ht="16.2" thickBot="1" x14ac:dyDescent="0.35">
      <c r="A21" s="641" t="s">
        <v>30</v>
      </c>
      <c r="B21" s="374">
        <v>235.72</v>
      </c>
      <c r="C21" s="374">
        <v>1000</v>
      </c>
      <c r="D21" s="387" t="s">
        <v>24</v>
      </c>
      <c r="E21" s="387"/>
      <c r="F21" s="377"/>
    </row>
    <row r="22" spans="1:6" ht="16.2" thickBot="1" x14ac:dyDescent="0.35">
      <c r="A22" s="643"/>
      <c r="B22" s="374">
        <v>0</v>
      </c>
      <c r="C22" s="374">
        <v>0</v>
      </c>
      <c r="D22" s="387"/>
      <c r="E22" s="387"/>
      <c r="F22" s="377"/>
    </row>
    <row r="23" spans="1:6" ht="16.2" thickBot="1" x14ac:dyDescent="0.35">
      <c r="A23" s="643"/>
      <c r="B23" s="374">
        <v>0</v>
      </c>
      <c r="C23" s="374">
        <v>0</v>
      </c>
      <c r="D23" s="387"/>
      <c r="E23" s="387"/>
      <c r="F23" s="377"/>
    </row>
    <row r="24" spans="1:6" ht="16.2" thickBot="1" x14ac:dyDescent="0.35">
      <c r="A24" s="643"/>
      <c r="B24" s="374">
        <v>0</v>
      </c>
      <c r="C24" s="374">
        <v>0</v>
      </c>
      <c r="D24" s="387"/>
      <c r="E24" s="387"/>
      <c r="F24" s="377"/>
    </row>
    <row r="25" spans="1:6" ht="16.2" thickBot="1" x14ac:dyDescent="0.35">
      <c r="A25" s="643"/>
      <c r="B25" s="374">
        <v>0</v>
      </c>
      <c r="C25" s="374">
        <v>0</v>
      </c>
      <c r="D25" s="387"/>
      <c r="E25" s="387"/>
      <c r="F25" s="377"/>
    </row>
    <row r="26" spans="1:6" ht="16.2" thickBot="1" x14ac:dyDescent="0.35">
      <c r="A26" s="643"/>
      <c r="B26" s="374">
        <v>0</v>
      </c>
      <c r="C26" s="374">
        <v>0</v>
      </c>
      <c r="D26" s="387"/>
      <c r="E26" s="387"/>
      <c r="F26" s="377"/>
    </row>
    <row r="27" spans="1:6" ht="16.2" thickBot="1" x14ac:dyDescent="0.35">
      <c r="A27" s="378"/>
      <c r="B27" s="374">
        <v>0</v>
      </c>
      <c r="C27" s="374">
        <v>0</v>
      </c>
      <c r="D27" s="387"/>
      <c r="E27" s="387"/>
      <c r="F27" s="377"/>
    </row>
    <row r="28" spans="1:6" ht="16.2" thickBot="1" x14ac:dyDescent="0.35">
      <c r="A28" s="642" t="s">
        <v>32</v>
      </c>
      <c r="B28" s="379">
        <f>SUM(B15:B27)</f>
        <v>6223.13</v>
      </c>
      <c r="C28" s="379">
        <f>SUM(C15:C27)</f>
        <v>3000</v>
      </c>
      <c r="D28" s="388"/>
      <c r="E28" s="388"/>
      <c r="F28" s="380"/>
    </row>
  </sheetData>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90EC7-3FC1-4635-8C93-9F459D1340D5}">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2076</v>
      </c>
      <c r="B2" s="390">
        <v>27000000</v>
      </c>
      <c r="C2" s="389" t="s">
        <v>2077</v>
      </c>
      <c r="D2" s="391">
        <v>8069400</v>
      </c>
      <c r="E2" s="389" t="s">
        <v>24</v>
      </c>
      <c r="F2" s="392" t="s">
        <v>1180</v>
      </c>
      <c r="G2" s="391">
        <v>0</v>
      </c>
      <c r="H2" s="391">
        <v>0</v>
      </c>
    </row>
    <row r="4" spans="1:8" x14ac:dyDescent="0.3">
      <c r="A4" s="386" t="s">
        <v>11</v>
      </c>
    </row>
    <row r="6" spans="1:8" ht="16.2" thickBot="1" x14ac:dyDescent="0.35">
      <c r="A6" s="381" t="s">
        <v>12</v>
      </c>
      <c r="B6" s="10" t="s">
        <v>9</v>
      </c>
    </row>
    <row r="7" spans="1:8" ht="16.2" thickBot="1" x14ac:dyDescent="0.35">
      <c r="A7" s="453" t="s">
        <v>13</v>
      </c>
      <c r="B7" s="374">
        <v>27000000</v>
      </c>
    </row>
    <row r="8" spans="1:8" ht="16.2" thickBot="1" x14ac:dyDescent="0.35">
      <c r="A8" s="453" t="s">
        <v>14</v>
      </c>
      <c r="B8" s="374">
        <v>0</v>
      </c>
    </row>
    <row r="9" spans="1:8" ht="16.2" thickBot="1" x14ac:dyDescent="0.35">
      <c r="A9" s="453"/>
      <c r="B9" s="374">
        <v>0</v>
      </c>
    </row>
    <row r="10" spans="1:8" ht="16.2" thickBot="1" x14ac:dyDescent="0.35">
      <c r="A10" s="453"/>
      <c r="B10" s="374">
        <v>0</v>
      </c>
    </row>
    <row r="11" spans="1:8" ht="16.2" thickBot="1" x14ac:dyDescent="0.35">
      <c r="A11" s="453"/>
      <c r="B11" s="10"/>
      <c r="C11" s="374">
        <f>SUM(B7:B10)</f>
        <v>27000000</v>
      </c>
    </row>
    <row r="12" spans="1:8" x14ac:dyDescent="0.3">
      <c r="A12" s="452"/>
      <c r="C12" s="10" t="s">
        <v>9</v>
      </c>
    </row>
    <row r="14" spans="1:8" ht="31.2" x14ac:dyDescent="0.3">
      <c r="A14" s="384" t="s">
        <v>17</v>
      </c>
      <c r="B14" s="385" t="s">
        <v>18</v>
      </c>
      <c r="C14" s="384" t="s">
        <v>19</v>
      </c>
      <c r="D14" s="384" t="s">
        <v>20</v>
      </c>
      <c r="E14" s="384" t="s">
        <v>21</v>
      </c>
      <c r="F14" s="384" t="s">
        <v>22</v>
      </c>
    </row>
    <row r="15" spans="1:8" ht="16.2" thickBot="1" x14ac:dyDescent="0.35">
      <c r="A15" s="451" t="s">
        <v>23</v>
      </c>
      <c r="B15" s="382">
        <v>30000</v>
      </c>
      <c r="C15" s="382">
        <v>50000</v>
      </c>
      <c r="D15" s="359" t="s">
        <v>24</v>
      </c>
      <c r="E15" s="359" t="s">
        <v>79</v>
      </c>
      <c r="F15" s="383"/>
    </row>
    <row r="16" spans="1:8" ht="16.2" thickBot="1" x14ac:dyDescent="0.35">
      <c r="A16" s="451" t="s">
        <v>25</v>
      </c>
      <c r="B16" s="374">
        <v>12759</v>
      </c>
      <c r="C16" s="374">
        <v>6000</v>
      </c>
      <c r="D16" s="387" t="s">
        <v>24</v>
      </c>
      <c r="E16" s="387" t="s">
        <v>79</v>
      </c>
      <c r="F16" s="377"/>
    </row>
    <row r="17" spans="1:6" ht="16.2" thickBot="1" x14ac:dyDescent="0.35">
      <c r="A17" s="451" t="s">
        <v>26</v>
      </c>
      <c r="B17" s="374">
        <v>2621</v>
      </c>
      <c r="C17" s="374">
        <v>2000</v>
      </c>
      <c r="D17" s="387" t="s">
        <v>24</v>
      </c>
      <c r="E17" s="387" t="s">
        <v>79</v>
      </c>
      <c r="F17" s="377"/>
    </row>
    <row r="18" spans="1:6" ht="16.2" thickBot="1" x14ac:dyDescent="0.35">
      <c r="A18" s="451" t="s">
        <v>27</v>
      </c>
      <c r="B18" s="374">
        <v>1910</v>
      </c>
      <c r="C18" s="374">
        <v>0</v>
      </c>
      <c r="D18" s="387" t="s">
        <v>24</v>
      </c>
      <c r="E18" s="387" t="s">
        <v>79</v>
      </c>
      <c r="F18" s="377"/>
    </row>
    <row r="19" spans="1:6" ht="16.2" thickBot="1" x14ac:dyDescent="0.35">
      <c r="A19" s="451" t="s">
        <v>28</v>
      </c>
      <c r="B19" s="374"/>
      <c r="C19" s="374">
        <v>0</v>
      </c>
      <c r="D19" s="387"/>
      <c r="E19" s="387"/>
      <c r="F19" s="377"/>
    </row>
    <row r="20" spans="1:6" ht="16.2" thickBot="1" x14ac:dyDescent="0.35">
      <c r="A20" s="451" t="s">
        <v>29</v>
      </c>
      <c r="B20" s="374">
        <v>0</v>
      </c>
      <c r="C20" s="374">
        <v>0</v>
      </c>
      <c r="D20" s="387"/>
      <c r="E20" s="387"/>
      <c r="F20" s="377"/>
    </row>
    <row r="21" spans="1:6" ht="16.2" thickBot="1" x14ac:dyDescent="0.35">
      <c r="A21" s="451" t="s">
        <v>30</v>
      </c>
      <c r="B21" s="374">
        <v>9470</v>
      </c>
      <c r="C21" s="374">
        <v>15000</v>
      </c>
      <c r="D21" s="387" t="s">
        <v>24</v>
      </c>
      <c r="E21" s="387" t="s">
        <v>79</v>
      </c>
      <c r="F21" s="377"/>
    </row>
    <row r="22" spans="1:6" ht="16.2" thickBot="1" x14ac:dyDescent="0.35">
      <c r="A22" s="453"/>
      <c r="B22" s="374">
        <v>0</v>
      </c>
      <c r="C22" s="374">
        <v>0</v>
      </c>
      <c r="D22" s="387"/>
      <c r="E22" s="387"/>
      <c r="F22" s="377"/>
    </row>
    <row r="23" spans="1:6" ht="16.2" thickBot="1" x14ac:dyDescent="0.35">
      <c r="A23" s="453"/>
      <c r="B23" s="374">
        <v>0</v>
      </c>
      <c r="C23" s="374">
        <v>0</v>
      </c>
      <c r="D23" s="387"/>
      <c r="E23" s="387"/>
      <c r="F23" s="377"/>
    </row>
    <row r="24" spans="1:6" ht="16.2" thickBot="1" x14ac:dyDescent="0.35">
      <c r="A24" s="453"/>
      <c r="B24" s="374">
        <v>0</v>
      </c>
      <c r="C24" s="374">
        <v>0</v>
      </c>
      <c r="D24" s="387"/>
      <c r="E24" s="387"/>
      <c r="F24" s="377"/>
    </row>
    <row r="25" spans="1:6" ht="16.2" thickBot="1" x14ac:dyDescent="0.35">
      <c r="A25" s="453"/>
      <c r="B25" s="374">
        <v>0</v>
      </c>
      <c r="C25" s="374">
        <v>0</v>
      </c>
      <c r="D25" s="387"/>
      <c r="E25" s="387"/>
      <c r="F25" s="377"/>
    </row>
    <row r="26" spans="1:6" ht="16.2" thickBot="1" x14ac:dyDescent="0.35">
      <c r="A26" s="453"/>
      <c r="B26" s="374">
        <v>0</v>
      </c>
      <c r="C26" s="374">
        <v>0</v>
      </c>
      <c r="D26" s="387"/>
      <c r="E26" s="387"/>
      <c r="F26" s="377"/>
    </row>
    <row r="27" spans="1:6" ht="16.2" thickBot="1" x14ac:dyDescent="0.35">
      <c r="A27" s="378"/>
      <c r="B27" s="374">
        <v>0</v>
      </c>
      <c r="C27" s="374">
        <v>0</v>
      </c>
      <c r="D27" s="387"/>
      <c r="E27" s="387"/>
      <c r="F27" s="377"/>
    </row>
    <row r="28" spans="1:6" ht="16.2" thickBot="1" x14ac:dyDescent="0.35">
      <c r="A28" s="452" t="s">
        <v>32</v>
      </c>
      <c r="B28" s="379">
        <f>SUM(B15:B27)</f>
        <v>56760</v>
      </c>
      <c r="C28" s="379">
        <f>SUM(C15:C27)</f>
        <v>73000</v>
      </c>
      <c r="D28" s="388"/>
      <c r="E28" s="388"/>
      <c r="F28" s="380"/>
    </row>
  </sheetData>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A3D0-0FE8-413D-AE16-6CA4A8F68246}">
  <dimension ref="A1:H29"/>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295</v>
      </c>
      <c r="B2" s="4">
        <v>225000</v>
      </c>
      <c r="C2" s="3" t="s">
        <v>9</v>
      </c>
      <c r="D2" s="5">
        <v>3128059</v>
      </c>
      <c r="E2" s="3" t="s">
        <v>10</v>
      </c>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225000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225000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1617.04</v>
      </c>
      <c r="C16" s="16">
        <v>4280.62</v>
      </c>
      <c r="D16" s="17" t="s">
        <v>24</v>
      </c>
      <c r="E16" s="17"/>
      <c r="F16" s="18" t="s">
        <v>842</v>
      </c>
    </row>
    <row r="17" spans="1:6" ht="16.2" thickBot="1" x14ac:dyDescent="0.35">
      <c r="A17" s="15" t="s">
        <v>25</v>
      </c>
      <c r="B17" s="12">
        <v>460.23</v>
      </c>
      <c r="C17" s="12">
        <v>550.23</v>
      </c>
      <c r="D17" s="19" t="s">
        <v>24</v>
      </c>
      <c r="E17" s="19"/>
      <c r="F17" s="20" t="s">
        <v>843</v>
      </c>
    </row>
    <row r="18" spans="1:6" ht="16.2" thickBot="1" x14ac:dyDescent="0.35">
      <c r="A18" s="15" t="s">
        <v>26</v>
      </c>
      <c r="B18" s="12">
        <v>8513</v>
      </c>
      <c r="C18" s="12">
        <v>18513</v>
      </c>
      <c r="D18" s="19" t="s">
        <v>24</v>
      </c>
      <c r="E18" s="19"/>
      <c r="F18" s="20" t="s">
        <v>844</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1264.3499999999999</v>
      </c>
      <c r="C21" s="12">
        <v>2290.63</v>
      </c>
      <c r="D21" s="19" t="s">
        <v>24</v>
      </c>
      <c r="E21" s="19"/>
      <c r="F21" s="20" t="s">
        <v>845</v>
      </c>
    </row>
    <row r="22" spans="1:6" ht="16.2" thickBot="1" x14ac:dyDescent="0.35">
      <c r="A22" s="15" t="s">
        <v>30</v>
      </c>
      <c r="B22" s="12">
        <v>9765.6200000000008</v>
      </c>
      <c r="C22" s="12">
        <v>11165.62</v>
      </c>
      <c r="D22" s="19" t="s">
        <v>24</v>
      </c>
      <c r="E22" s="19"/>
      <c r="F22" s="20"/>
    </row>
    <row r="23" spans="1:6" ht="16.2" thickBot="1" x14ac:dyDescent="0.35">
      <c r="A23" s="11" t="s">
        <v>846</v>
      </c>
      <c r="B23" s="12">
        <v>1444.75</v>
      </c>
      <c r="C23" s="12">
        <v>1444.75</v>
      </c>
      <c r="D23" s="19" t="s">
        <v>24</v>
      </c>
      <c r="E23" s="19"/>
      <c r="F23" s="20" t="s">
        <v>847</v>
      </c>
    </row>
    <row r="24" spans="1:6" ht="16.2" thickBot="1" x14ac:dyDescent="0.35">
      <c r="A24" s="11" t="s">
        <v>553</v>
      </c>
      <c r="B24" s="12">
        <v>2623</v>
      </c>
      <c r="C24" s="12">
        <v>5123</v>
      </c>
      <c r="D24" s="19" t="s">
        <v>24</v>
      </c>
      <c r="E24" s="19"/>
      <c r="F24" s="20" t="s">
        <v>848</v>
      </c>
    </row>
    <row r="25" spans="1:6" ht="16.2" thickBot="1" x14ac:dyDescent="0.35">
      <c r="A25" s="11" t="s">
        <v>849</v>
      </c>
      <c r="B25" s="12">
        <v>1440.19</v>
      </c>
      <c r="C25" s="12">
        <v>1440.19</v>
      </c>
      <c r="D25" s="19" t="s">
        <v>24</v>
      </c>
      <c r="E25" s="19"/>
      <c r="F25" s="20" t="s">
        <v>850</v>
      </c>
    </row>
    <row r="26" spans="1:6" ht="16.2" thickBot="1" x14ac:dyDescent="0.35">
      <c r="A26" s="11" t="s">
        <v>851</v>
      </c>
      <c r="B26" s="12">
        <v>366.34</v>
      </c>
      <c r="C26" s="12">
        <v>516.33999999999992</v>
      </c>
      <c r="D26" s="19" t="s">
        <v>24</v>
      </c>
      <c r="E26" s="19"/>
      <c r="F26" s="20" t="s">
        <v>852</v>
      </c>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27494.52</v>
      </c>
      <c r="C29" s="22">
        <v>45324.38</v>
      </c>
      <c r="D29" s="23"/>
      <c r="E29" s="23"/>
      <c r="F29" s="24"/>
    </row>
  </sheetData>
  <pageMargins left="0.7" right="0.7" top="0.75" bottom="0.75" header="0.3" footer="0.3"/>
  <pageSetup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F037-9175-4273-A573-2ADCFDDBD5A8}">
  <dimension ref="A1:I73"/>
  <sheetViews>
    <sheetView topLeftCell="A43" workbookViewId="0">
      <selection activeCell="E11" sqref="E11:J11"/>
    </sheetView>
  </sheetViews>
  <sheetFormatPr defaultColWidth="9.109375" defaultRowHeight="15.6" x14ac:dyDescent="0.3"/>
  <cols>
    <col min="1" max="1" width="3.44140625" style="7" customWidth="1"/>
    <col min="2" max="2" width="35.44140625" style="7" customWidth="1"/>
    <col min="3" max="3" width="20.44140625" style="7" customWidth="1"/>
    <col min="4" max="4" width="21.109375" style="7" customWidth="1"/>
    <col min="5" max="5" width="18" style="7" customWidth="1"/>
    <col min="6" max="6" width="15.6640625" style="7" customWidth="1"/>
    <col min="7" max="7" width="94.44140625" style="7" customWidth="1"/>
    <col min="8" max="8" width="21.33203125" style="7" customWidth="1"/>
    <col min="9" max="9" width="20.6640625" style="7" customWidth="1"/>
    <col min="10" max="16384" width="9.109375" style="7"/>
  </cols>
  <sheetData>
    <row r="1" spans="1:9" s="2" customFormat="1" ht="60.75" customHeight="1" thickBot="1" x14ac:dyDescent="0.35">
      <c r="B1" s="1" t="s">
        <v>0</v>
      </c>
      <c r="C1" s="1" t="s">
        <v>1</v>
      </c>
      <c r="D1" s="1" t="s">
        <v>2</v>
      </c>
      <c r="E1" s="1" t="s">
        <v>3</v>
      </c>
      <c r="F1" s="1" t="s">
        <v>4</v>
      </c>
      <c r="G1" s="1" t="s">
        <v>5</v>
      </c>
      <c r="H1" s="1" t="s">
        <v>6</v>
      </c>
      <c r="I1" s="1" t="s">
        <v>7</v>
      </c>
    </row>
    <row r="2" spans="1:9" ht="56.25" customHeight="1" thickBot="1" x14ac:dyDescent="0.35">
      <c r="A2" s="3"/>
      <c r="B2" s="3" t="s">
        <v>784</v>
      </c>
      <c r="C2" s="197">
        <v>1259946</v>
      </c>
      <c r="D2" s="51" t="s">
        <v>785</v>
      </c>
      <c r="E2" s="5" t="s">
        <v>786</v>
      </c>
      <c r="F2" s="3" t="s">
        <v>10</v>
      </c>
      <c r="G2" s="6" t="s">
        <v>787</v>
      </c>
      <c r="H2" s="198">
        <v>6000000</v>
      </c>
      <c r="I2" s="28">
        <v>7888802.6550000003</v>
      </c>
    </row>
    <row r="4" spans="1:9" x14ac:dyDescent="0.3">
      <c r="A4" s="199" t="s">
        <v>11</v>
      </c>
      <c r="B4" s="8"/>
    </row>
    <row r="6" spans="1:9" ht="16.2" thickBot="1" x14ac:dyDescent="0.35">
      <c r="A6" s="108" t="s">
        <v>12</v>
      </c>
      <c r="B6" s="9"/>
      <c r="C6" s="10" t="s">
        <v>9</v>
      </c>
    </row>
    <row r="7" spans="1:9" ht="16.2" thickBot="1" x14ac:dyDescent="0.35">
      <c r="A7" s="200" t="s">
        <v>788</v>
      </c>
      <c r="B7" s="200"/>
      <c r="C7" s="201">
        <v>193482</v>
      </c>
      <c r="D7" s="200" t="s">
        <v>53</v>
      </c>
    </row>
    <row r="8" spans="1:9" ht="16.2" thickBot="1" x14ac:dyDescent="0.35">
      <c r="A8" s="200" t="s">
        <v>789</v>
      </c>
      <c r="B8" s="200"/>
      <c r="C8" s="201">
        <v>48500</v>
      </c>
      <c r="D8" s="7" t="s">
        <v>790</v>
      </c>
    </row>
    <row r="9" spans="1:9" ht="16.2" thickBot="1" x14ac:dyDescent="0.35">
      <c r="A9" s="200" t="s">
        <v>791</v>
      </c>
      <c r="B9" s="200"/>
      <c r="C9" s="201">
        <v>8000</v>
      </c>
      <c r="D9" s="7" t="s">
        <v>792</v>
      </c>
    </row>
    <row r="10" spans="1:9" ht="16.2" thickBot="1" x14ac:dyDescent="0.35">
      <c r="A10" s="200" t="s">
        <v>793</v>
      </c>
      <c r="B10" s="200"/>
      <c r="C10" s="201">
        <v>122500</v>
      </c>
      <c r="D10" s="7" t="s">
        <v>794</v>
      </c>
    </row>
    <row r="11" spans="1:9" ht="16.2" thickBot="1" x14ac:dyDescent="0.35">
      <c r="A11" s="15" t="s">
        <v>795</v>
      </c>
      <c r="B11" s="11"/>
      <c r="C11" s="201">
        <v>15000</v>
      </c>
      <c r="D11" s="7" t="s">
        <v>796</v>
      </c>
    </row>
    <row r="12" spans="1:9" ht="16.2" thickBot="1" x14ac:dyDescent="0.35">
      <c r="A12" s="15" t="s">
        <v>797</v>
      </c>
      <c r="B12" s="11"/>
      <c r="C12" s="201">
        <v>872464</v>
      </c>
      <c r="D12" s="7" t="s">
        <v>798</v>
      </c>
    </row>
    <row r="13" spans="1:9" ht="16.2" thickBot="1" x14ac:dyDescent="0.35">
      <c r="A13" s="11"/>
      <c r="B13" s="11"/>
      <c r="C13" s="201">
        <v>0</v>
      </c>
    </row>
    <row r="14" spans="1:9" ht="16.2" thickBot="1" x14ac:dyDescent="0.35">
      <c r="A14" s="202" t="s">
        <v>799</v>
      </c>
      <c r="B14" s="11"/>
      <c r="C14" s="22">
        <v>1259946</v>
      </c>
    </row>
    <row r="15" spans="1:9" x14ac:dyDescent="0.3">
      <c r="A15" s="13"/>
      <c r="B15" s="13"/>
      <c r="D15" s="10" t="s">
        <v>9</v>
      </c>
    </row>
    <row r="17" spans="1:7" ht="49.5" customHeight="1" thickBot="1" x14ac:dyDescent="0.35">
      <c r="A17" s="203" t="s">
        <v>17</v>
      </c>
      <c r="B17" s="1"/>
      <c r="C17" s="14" t="s">
        <v>18</v>
      </c>
      <c r="D17" s="1" t="s">
        <v>19</v>
      </c>
      <c r="E17" s="1" t="s">
        <v>20</v>
      </c>
      <c r="F17" s="1" t="s">
        <v>21</v>
      </c>
      <c r="G17" s="1" t="s">
        <v>22</v>
      </c>
    </row>
    <row r="18" spans="1:7" ht="16.2" thickBot="1" x14ac:dyDescent="0.35">
      <c r="A18" s="15" t="s">
        <v>23</v>
      </c>
      <c r="B18" s="15"/>
      <c r="C18" s="16">
        <v>0</v>
      </c>
      <c r="D18" s="16">
        <v>0</v>
      </c>
      <c r="E18" s="17"/>
      <c r="F18" s="19" t="s">
        <v>800</v>
      </c>
      <c r="G18" s="18"/>
    </row>
    <row r="19" spans="1:7" ht="16.2" thickBot="1" x14ac:dyDescent="0.35">
      <c r="A19" s="15"/>
      <c r="B19" s="15" t="s">
        <v>801</v>
      </c>
      <c r="C19" s="16"/>
      <c r="D19" s="16">
        <v>1800</v>
      </c>
      <c r="E19" s="17" t="s">
        <v>24</v>
      </c>
      <c r="F19" s="17"/>
      <c r="G19" s="18" t="s">
        <v>802</v>
      </c>
    </row>
    <row r="20" spans="1:7" ht="16.2" thickBot="1" x14ac:dyDescent="0.35">
      <c r="A20" s="15"/>
      <c r="B20" s="15" t="s">
        <v>803</v>
      </c>
      <c r="C20" s="16">
        <v>2391.3999999999996</v>
      </c>
      <c r="D20" s="16">
        <v>3587.0999999999995</v>
      </c>
      <c r="E20" s="17" t="s">
        <v>24</v>
      </c>
      <c r="F20" s="17"/>
      <c r="G20" s="18" t="s">
        <v>804</v>
      </c>
    </row>
    <row r="21" spans="1:7" ht="16.2" thickBot="1" x14ac:dyDescent="0.35">
      <c r="A21" s="15"/>
      <c r="B21" s="15" t="s">
        <v>793</v>
      </c>
      <c r="C21" s="16">
        <v>2617.9899999999998</v>
      </c>
      <c r="D21" s="16">
        <v>4097.99</v>
      </c>
      <c r="E21" s="17" t="s">
        <v>24</v>
      </c>
      <c r="F21" s="17"/>
      <c r="G21" s="18" t="s">
        <v>805</v>
      </c>
    </row>
    <row r="22" spans="1:7" ht="16.2" thickBot="1" x14ac:dyDescent="0.35">
      <c r="A22" s="15"/>
      <c r="B22" s="15" t="s">
        <v>795</v>
      </c>
      <c r="C22" s="16">
        <v>518.22</v>
      </c>
      <c r="D22" s="16">
        <v>518.22</v>
      </c>
      <c r="E22" s="17" t="s">
        <v>24</v>
      </c>
      <c r="F22" s="17"/>
      <c r="G22" s="18" t="s">
        <v>806</v>
      </c>
    </row>
    <row r="23" spans="1:7" ht="16.2" thickBot="1" x14ac:dyDescent="0.35">
      <c r="A23" s="15"/>
      <c r="B23" s="15" t="s">
        <v>797</v>
      </c>
      <c r="C23" s="16">
        <v>1685.86</v>
      </c>
      <c r="D23" s="16">
        <v>1685.86</v>
      </c>
      <c r="E23" s="17" t="s">
        <v>24</v>
      </c>
      <c r="F23" s="17"/>
      <c r="G23" s="18" t="s">
        <v>806</v>
      </c>
    </row>
    <row r="24" spans="1:7" ht="16.2" thickBot="1" x14ac:dyDescent="0.35">
      <c r="A24" s="15"/>
      <c r="B24" s="15" t="s">
        <v>807</v>
      </c>
      <c r="C24" s="16">
        <v>16000</v>
      </c>
      <c r="D24" s="16">
        <v>16000</v>
      </c>
      <c r="E24" s="17" t="s">
        <v>24</v>
      </c>
      <c r="F24" s="17"/>
      <c r="G24" s="18" t="s">
        <v>806</v>
      </c>
    </row>
    <row r="25" spans="1:7" ht="16.2" thickBot="1" x14ac:dyDescent="0.35">
      <c r="A25" s="15"/>
      <c r="B25" s="15" t="s">
        <v>808</v>
      </c>
      <c r="C25" s="16">
        <v>16465.68</v>
      </c>
      <c r="D25" s="16">
        <v>16465.68</v>
      </c>
      <c r="E25" s="17" t="s">
        <v>24</v>
      </c>
      <c r="F25" s="17"/>
      <c r="G25" s="18" t="s">
        <v>809</v>
      </c>
    </row>
    <row r="26" spans="1:7" ht="16.2" thickBot="1" x14ac:dyDescent="0.35">
      <c r="A26" s="15"/>
      <c r="B26" s="15"/>
      <c r="C26" s="16"/>
      <c r="D26" s="16"/>
      <c r="E26" s="17" t="s">
        <v>24</v>
      </c>
      <c r="F26" s="17"/>
      <c r="G26" s="18"/>
    </row>
    <row r="27" spans="1:7" ht="16.2" thickBot="1" x14ac:dyDescent="0.35">
      <c r="A27" s="15" t="s">
        <v>25</v>
      </c>
      <c r="B27" s="15"/>
      <c r="C27" s="12">
        <v>0</v>
      </c>
      <c r="D27" s="12">
        <v>0</v>
      </c>
      <c r="E27" s="17" t="s">
        <v>24</v>
      </c>
      <c r="F27" s="19" t="s">
        <v>800</v>
      </c>
      <c r="G27" s="20"/>
    </row>
    <row r="28" spans="1:7" ht="16.2" thickBot="1" x14ac:dyDescent="0.35">
      <c r="A28" s="15"/>
      <c r="B28" s="15" t="s">
        <v>810</v>
      </c>
      <c r="C28" s="12">
        <v>32093.100000000002</v>
      </c>
      <c r="D28" s="12">
        <v>32093.100000000002</v>
      </c>
      <c r="E28" s="17" t="s">
        <v>24</v>
      </c>
      <c r="F28" s="19"/>
      <c r="G28" s="20" t="s">
        <v>811</v>
      </c>
    </row>
    <row r="29" spans="1:7" ht="16.2" thickBot="1" x14ac:dyDescent="0.35">
      <c r="A29" s="15"/>
      <c r="B29" s="15" t="s">
        <v>801</v>
      </c>
      <c r="C29" s="12"/>
      <c r="D29" s="12">
        <v>20000</v>
      </c>
      <c r="E29" s="17" t="s">
        <v>24</v>
      </c>
      <c r="F29" s="19"/>
      <c r="G29" s="20" t="s">
        <v>812</v>
      </c>
    </row>
    <row r="30" spans="1:7" ht="16.2" thickBot="1" x14ac:dyDescent="0.35">
      <c r="A30" s="15"/>
      <c r="B30" s="15" t="s">
        <v>813</v>
      </c>
      <c r="C30" s="12"/>
      <c r="D30" s="12">
        <v>84.46</v>
      </c>
      <c r="E30" s="17" t="s">
        <v>24</v>
      </c>
      <c r="F30" s="19"/>
      <c r="G30" s="20"/>
    </row>
    <row r="31" spans="1:7" ht="16.2" thickBot="1" x14ac:dyDescent="0.35">
      <c r="A31" s="15"/>
      <c r="B31" s="15" t="s">
        <v>814</v>
      </c>
      <c r="C31" s="12">
        <v>985.92</v>
      </c>
      <c r="D31" s="12">
        <v>3600</v>
      </c>
      <c r="E31" s="17" t="s">
        <v>24</v>
      </c>
      <c r="F31" s="19"/>
      <c r="G31" s="20" t="s">
        <v>815</v>
      </c>
    </row>
    <row r="32" spans="1:7" ht="16.2" thickBot="1" x14ac:dyDescent="0.35">
      <c r="A32" s="15"/>
      <c r="B32" s="15" t="s">
        <v>795</v>
      </c>
      <c r="C32" s="12">
        <v>264.71999999999997</v>
      </c>
      <c r="D32" s="12">
        <v>264.71999999999997</v>
      </c>
      <c r="E32" s="17" t="s">
        <v>24</v>
      </c>
      <c r="F32" s="19"/>
      <c r="G32" s="20" t="s">
        <v>816</v>
      </c>
    </row>
    <row r="33" spans="1:7" ht="16.2" thickBot="1" x14ac:dyDescent="0.35">
      <c r="A33" s="15"/>
      <c r="B33" s="15" t="s">
        <v>817</v>
      </c>
      <c r="C33" s="12">
        <v>180</v>
      </c>
      <c r="D33" s="12">
        <v>180</v>
      </c>
      <c r="E33" s="17" t="s">
        <v>24</v>
      </c>
      <c r="F33" s="19"/>
      <c r="G33" s="20" t="s">
        <v>818</v>
      </c>
    </row>
    <row r="34" spans="1:7" ht="16.2" thickBot="1" x14ac:dyDescent="0.35">
      <c r="A34" s="15"/>
      <c r="B34" s="15" t="s">
        <v>808</v>
      </c>
      <c r="C34" s="12">
        <v>13760.96</v>
      </c>
      <c r="D34" s="12">
        <v>13760.96</v>
      </c>
      <c r="E34" s="17" t="s">
        <v>24</v>
      </c>
      <c r="F34" s="19"/>
      <c r="G34" s="18" t="s">
        <v>819</v>
      </c>
    </row>
    <row r="35" spans="1:7" ht="16.2" thickBot="1" x14ac:dyDescent="0.35">
      <c r="A35" s="15"/>
      <c r="B35" s="15"/>
      <c r="C35" s="12"/>
      <c r="D35" s="12"/>
      <c r="E35" s="17" t="s">
        <v>24</v>
      </c>
      <c r="F35" s="19"/>
      <c r="G35" s="20"/>
    </row>
    <row r="36" spans="1:7" ht="16.2" thickBot="1" x14ac:dyDescent="0.35">
      <c r="A36" s="15" t="s">
        <v>26</v>
      </c>
      <c r="B36" s="15"/>
      <c r="C36" s="12">
        <v>0</v>
      </c>
      <c r="D36" s="12">
        <v>0</v>
      </c>
      <c r="E36" s="17" t="s">
        <v>24</v>
      </c>
      <c r="F36" s="19"/>
      <c r="G36" s="20"/>
    </row>
    <row r="37" spans="1:7" ht="16.2" thickBot="1" x14ac:dyDescent="0.35">
      <c r="A37" s="15" t="s">
        <v>27</v>
      </c>
      <c r="B37" s="15"/>
      <c r="C37" s="12">
        <v>801.25</v>
      </c>
      <c r="D37" s="200">
        <v>1000</v>
      </c>
      <c r="E37" s="17" t="s">
        <v>24</v>
      </c>
      <c r="F37" s="19" t="s">
        <v>800</v>
      </c>
      <c r="G37" s="20"/>
    </row>
    <row r="38" spans="1:7" ht="16.2" thickBot="1" x14ac:dyDescent="0.35">
      <c r="A38" s="15" t="s">
        <v>28</v>
      </c>
      <c r="B38" s="15"/>
      <c r="C38" s="12">
        <v>0</v>
      </c>
      <c r="D38" s="12">
        <v>0</v>
      </c>
      <c r="E38" s="17" t="s">
        <v>24</v>
      </c>
      <c r="F38" s="19"/>
      <c r="G38" s="20"/>
    </row>
    <row r="39" spans="1:7" ht="16.2" thickBot="1" x14ac:dyDescent="0.35">
      <c r="A39" s="15"/>
      <c r="B39" s="15"/>
      <c r="C39" s="12"/>
      <c r="D39" s="12"/>
      <c r="E39" s="17" t="s">
        <v>24</v>
      </c>
      <c r="F39" s="19"/>
      <c r="G39" s="20"/>
    </row>
    <row r="40" spans="1:7" ht="16.2" thickBot="1" x14ac:dyDescent="0.35">
      <c r="A40" s="15" t="s">
        <v>29</v>
      </c>
      <c r="B40" s="15"/>
      <c r="C40" s="12">
        <v>0</v>
      </c>
      <c r="D40" s="12">
        <v>0</v>
      </c>
      <c r="E40" s="17" t="s">
        <v>24</v>
      </c>
      <c r="F40" s="19" t="s">
        <v>800</v>
      </c>
      <c r="G40" s="20"/>
    </row>
    <row r="41" spans="1:7" ht="16.2" thickBot="1" x14ac:dyDescent="0.35">
      <c r="A41" s="15"/>
      <c r="B41" s="15" t="s">
        <v>820</v>
      </c>
      <c r="C41" s="12">
        <v>801.25</v>
      </c>
      <c r="D41" s="12">
        <v>4131.46</v>
      </c>
      <c r="E41" s="17" t="s">
        <v>24</v>
      </c>
      <c r="F41" s="19"/>
      <c r="G41" s="20" t="s">
        <v>821</v>
      </c>
    </row>
    <row r="42" spans="1:7" ht="16.2" thickBot="1" x14ac:dyDescent="0.35">
      <c r="A42" s="15"/>
      <c r="B42" s="15" t="s">
        <v>803</v>
      </c>
      <c r="C42" s="12">
        <v>87941.06</v>
      </c>
      <c r="D42" s="12">
        <v>175882.12</v>
      </c>
      <c r="E42" s="17" t="s">
        <v>24</v>
      </c>
      <c r="F42" s="19"/>
      <c r="G42" s="20" t="s">
        <v>822</v>
      </c>
    </row>
    <row r="43" spans="1:7" ht="16.2" thickBot="1" x14ac:dyDescent="0.35">
      <c r="A43" s="15"/>
      <c r="B43" s="15" t="s">
        <v>793</v>
      </c>
      <c r="C43" s="12">
        <v>18222.75</v>
      </c>
      <c r="D43" s="12">
        <v>44255.25</v>
      </c>
      <c r="E43" s="17" t="s">
        <v>24</v>
      </c>
      <c r="F43" s="19"/>
      <c r="G43" s="20" t="s">
        <v>823</v>
      </c>
    </row>
    <row r="44" spans="1:7" ht="16.2" thickBot="1" x14ac:dyDescent="0.35">
      <c r="A44" s="15"/>
      <c r="B44" s="15" t="s">
        <v>795</v>
      </c>
      <c r="C44" s="12"/>
      <c r="D44" s="12">
        <v>901.08</v>
      </c>
      <c r="E44" s="17" t="s">
        <v>24</v>
      </c>
      <c r="F44" s="19"/>
      <c r="G44" s="20"/>
    </row>
    <row r="45" spans="1:7" ht="16.2" thickBot="1" x14ac:dyDescent="0.35">
      <c r="A45" s="15"/>
      <c r="B45" s="15" t="s">
        <v>797</v>
      </c>
      <c r="C45" s="12">
        <v>9314.42</v>
      </c>
      <c r="D45" s="12">
        <v>21128.84</v>
      </c>
      <c r="E45" s="17" t="s">
        <v>24</v>
      </c>
      <c r="F45" s="19"/>
      <c r="G45" s="20" t="s">
        <v>824</v>
      </c>
    </row>
    <row r="46" spans="1:7" ht="16.2" thickBot="1" x14ac:dyDescent="0.35">
      <c r="A46" s="15"/>
      <c r="B46" s="15" t="s">
        <v>807</v>
      </c>
      <c r="C46" s="12">
        <v>36000</v>
      </c>
      <c r="D46" s="12">
        <v>36000</v>
      </c>
      <c r="E46" s="17" t="s">
        <v>24</v>
      </c>
      <c r="F46" s="19"/>
      <c r="G46" s="20" t="s">
        <v>825</v>
      </c>
    </row>
    <row r="47" spans="1:7" ht="16.2" thickBot="1" x14ac:dyDescent="0.35">
      <c r="A47" s="15"/>
      <c r="B47" s="15" t="s">
        <v>826</v>
      </c>
      <c r="C47" s="12">
        <v>3974.2000000000003</v>
      </c>
      <c r="D47" s="12">
        <v>5961.3</v>
      </c>
      <c r="E47" s="17" t="s">
        <v>24</v>
      </c>
      <c r="F47" s="19"/>
      <c r="G47" s="20" t="s">
        <v>827</v>
      </c>
    </row>
    <row r="48" spans="1:7" ht="16.2" thickBot="1" x14ac:dyDescent="0.35">
      <c r="A48" s="15"/>
      <c r="B48" s="15"/>
      <c r="C48" s="12"/>
      <c r="D48" s="12"/>
      <c r="E48" s="17" t="s">
        <v>24</v>
      </c>
      <c r="F48" s="19"/>
      <c r="G48" s="20"/>
    </row>
    <row r="49" spans="1:7" ht="16.2" thickBot="1" x14ac:dyDescent="0.35">
      <c r="A49" s="15" t="s">
        <v>30</v>
      </c>
      <c r="B49" s="15"/>
      <c r="C49" s="12"/>
      <c r="D49" s="12"/>
      <c r="E49" s="17" t="s">
        <v>24</v>
      </c>
      <c r="F49" s="19" t="s">
        <v>800</v>
      </c>
      <c r="G49" s="20"/>
    </row>
    <row r="50" spans="1:7" ht="16.2" thickBot="1" x14ac:dyDescent="0.35">
      <c r="A50" s="11"/>
      <c r="B50" s="15" t="s">
        <v>801</v>
      </c>
      <c r="C50" s="12">
        <v>0</v>
      </c>
      <c r="D50" s="12">
        <v>1600</v>
      </c>
      <c r="E50" s="17" t="s">
        <v>24</v>
      </c>
      <c r="F50" s="19"/>
      <c r="G50" s="20" t="s">
        <v>828</v>
      </c>
    </row>
    <row r="51" spans="1:7" ht="16.2" thickBot="1" x14ac:dyDescent="0.35">
      <c r="A51" s="11"/>
      <c r="B51" s="15" t="s">
        <v>803</v>
      </c>
      <c r="C51" s="12">
        <v>2407.0699999999997</v>
      </c>
      <c r="D51" s="12">
        <v>3610.6049999999996</v>
      </c>
      <c r="E51" s="17" t="s">
        <v>24</v>
      </c>
      <c r="F51" s="19"/>
      <c r="G51" s="20" t="s">
        <v>829</v>
      </c>
    </row>
    <row r="52" spans="1:7" ht="16.2" thickBot="1" x14ac:dyDescent="0.35">
      <c r="A52" s="11"/>
      <c r="B52" s="15" t="s">
        <v>793</v>
      </c>
      <c r="C52" s="12">
        <v>1214.92</v>
      </c>
      <c r="D52" s="12">
        <v>2983.92</v>
      </c>
      <c r="E52" s="17" t="s">
        <v>24</v>
      </c>
      <c r="F52" s="19"/>
      <c r="G52" s="20" t="s">
        <v>830</v>
      </c>
    </row>
    <row r="53" spans="1:7" ht="16.2" thickBot="1" x14ac:dyDescent="0.35">
      <c r="A53" s="11"/>
      <c r="B53" s="15" t="s">
        <v>795</v>
      </c>
      <c r="C53" s="12">
        <v>490.02</v>
      </c>
      <c r="D53" s="12">
        <v>490.02</v>
      </c>
      <c r="E53" s="17" t="s">
        <v>24</v>
      </c>
      <c r="F53" s="19"/>
      <c r="G53" s="20" t="s">
        <v>828</v>
      </c>
    </row>
    <row r="54" spans="1:7" ht="16.2" thickBot="1" x14ac:dyDescent="0.35">
      <c r="A54" s="11"/>
      <c r="B54" s="15" t="s">
        <v>808</v>
      </c>
      <c r="C54" s="12">
        <v>4293.68</v>
      </c>
      <c r="D54" s="12">
        <v>4293.68</v>
      </c>
      <c r="E54" s="17" t="s">
        <v>24</v>
      </c>
      <c r="F54" s="19"/>
      <c r="G54" s="20" t="s">
        <v>831</v>
      </c>
    </row>
    <row r="55" spans="1:7" ht="16.2" thickBot="1" x14ac:dyDescent="0.35">
      <c r="A55" s="11"/>
      <c r="B55" s="15"/>
      <c r="C55" s="12"/>
      <c r="D55" s="12"/>
      <c r="E55" s="17" t="s">
        <v>24</v>
      </c>
      <c r="F55" s="19"/>
      <c r="G55" s="20"/>
    </row>
    <row r="56" spans="1:7" ht="16.2" thickBot="1" x14ac:dyDescent="0.35">
      <c r="A56" s="15" t="s">
        <v>832</v>
      </c>
      <c r="B56" s="11"/>
      <c r="C56" s="12">
        <v>0</v>
      </c>
      <c r="D56" s="12">
        <v>510</v>
      </c>
      <c r="E56" s="17" t="s">
        <v>24</v>
      </c>
      <c r="F56" s="19" t="s">
        <v>800</v>
      </c>
      <c r="G56" s="20"/>
    </row>
    <row r="57" spans="1:7" ht="16.2" thickBot="1" x14ac:dyDescent="0.35">
      <c r="A57" s="11"/>
      <c r="B57" s="11"/>
      <c r="C57" s="12">
        <v>0</v>
      </c>
      <c r="D57" s="12">
        <v>0</v>
      </c>
      <c r="E57" s="17" t="s">
        <v>24</v>
      </c>
      <c r="F57" s="19"/>
      <c r="G57" s="20"/>
    </row>
    <row r="58" spans="1:7" ht="16.2" thickBot="1" x14ac:dyDescent="0.35">
      <c r="A58" s="15" t="s">
        <v>833</v>
      </c>
      <c r="B58" s="11"/>
      <c r="C58" s="12">
        <v>0</v>
      </c>
      <c r="D58" s="12">
        <v>0</v>
      </c>
      <c r="E58" s="17" t="s">
        <v>24</v>
      </c>
      <c r="F58" s="19" t="s">
        <v>800</v>
      </c>
      <c r="G58" s="20"/>
    </row>
    <row r="59" spans="1:7" ht="16.2" thickBot="1" x14ac:dyDescent="0.35">
      <c r="A59" s="11"/>
      <c r="B59" s="15" t="s">
        <v>803</v>
      </c>
      <c r="C59" s="12">
        <v>3310.29</v>
      </c>
      <c r="D59" s="12">
        <v>3310.29</v>
      </c>
      <c r="E59" s="17" t="s">
        <v>24</v>
      </c>
      <c r="F59" s="19"/>
      <c r="G59" s="20" t="s">
        <v>834</v>
      </c>
    </row>
    <row r="60" spans="1:7" ht="16.2" thickBot="1" x14ac:dyDescent="0.35">
      <c r="A60" s="11"/>
      <c r="B60" s="15" t="s">
        <v>808</v>
      </c>
      <c r="C60" s="12">
        <v>906.96</v>
      </c>
      <c r="D60" s="12">
        <v>906.96</v>
      </c>
      <c r="E60" s="17" t="s">
        <v>24</v>
      </c>
      <c r="F60" s="19"/>
      <c r="G60" s="20" t="s">
        <v>835</v>
      </c>
    </row>
    <row r="61" spans="1:7" ht="16.2" thickBot="1" x14ac:dyDescent="0.35">
      <c r="A61" s="11"/>
      <c r="B61" s="15"/>
      <c r="C61" s="12"/>
      <c r="D61" s="12"/>
      <c r="E61" s="17" t="s">
        <v>24</v>
      </c>
      <c r="F61" s="19"/>
      <c r="G61" s="20"/>
    </row>
    <row r="62" spans="1:7" ht="16.2" thickBot="1" x14ac:dyDescent="0.35">
      <c r="A62" s="11"/>
      <c r="B62" s="15"/>
      <c r="C62" s="12"/>
      <c r="D62" s="12"/>
      <c r="E62" s="17" t="s">
        <v>24</v>
      </c>
      <c r="F62" s="19"/>
      <c r="G62" s="20"/>
    </row>
    <row r="63" spans="1:7" ht="16.2" thickBot="1" x14ac:dyDescent="0.35">
      <c r="A63" s="15" t="s">
        <v>836</v>
      </c>
      <c r="B63" s="15"/>
      <c r="C63" s="12"/>
      <c r="D63" s="12"/>
      <c r="E63" s="17" t="s">
        <v>24</v>
      </c>
      <c r="F63" s="19" t="s">
        <v>800</v>
      </c>
      <c r="G63" s="20"/>
    </row>
    <row r="64" spans="1:7" ht="16.2" thickBot="1" x14ac:dyDescent="0.35">
      <c r="A64" s="15"/>
      <c r="B64" s="15" t="s">
        <v>793</v>
      </c>
      <c r="C64" s="12">
        <v>6041.48</v>
      </c>
      <c r="D64" s="12">
        <v>6041.48</v>
      </c>
      <c r="E64" s="17" t="s">
        <v>24</v>
      </c>
      <c r="F64" s="19"/>
      <c r="G64" s="20" t="s">
        <v>837</v>
      </c>
    </row>
    <row r="65" spans="1:7" ht="16.2" thickBot="1" x14ac:dyDescent="0.35">
      <c r="A65" s="15"/>
      <c r="B65" s="15" t="s">
        <v>797</v>
      </c>
      <c r="C65" s="12">
        <v>3457.95</v>
      </c>
      <c r="D65" s="12">
        <v>3457.95</v>
      </c>
      <c r="E65" s="17" t="s">
        <v>24</v>
      </c>
      <c r="F65" s="19"/>
      <c r="G65" s="20" t="s">
        <v>838</v>
      </c>
    </row>
    <row r="66" spans="1:7" ht="16.2" thickBot="1" x14ac:dyDescent="0.35">
      <c r="A66" s="15"/>
      <c r="B66" s="15" t="s">
        <v>807</v>
      </c>
      <c r="C66" s="12">
        <v>120000</v>
      </c>
      <c r="D66" s="12">
        <v>120000</v>
      </c>
      <c r="E66" s="17" t="s">
        <v>24</v>
      </c>
      <c r="F66" s="19"/>
      <c r="G66" s="20" t="s">
        <v>839</v>
      </c>
    </row>
    <row r="67" spans="1:7" ht="16.2" thickBot="1" x14ac:dyDescent="0.35">
      <c r="A67" s="15"/>
      <c r="B67" s="15" t="s">
        <v>803</v>
      </c>
      <c r="C67" s="12">
        <v>291.02999999999997</v>
      </c>
      <c r="D67" s="12">
        <v>291.02999999999997</v>
      </c>
      <c r="E67" s="17" t="s">
        <v>24</v>
      </c>
      <c r="F67" s="19"/>
      <c r="G67" s="20" t="s">
        <v>840</v>
      </c>
    </row>
    <row r="68" spans="1:7" ht="16.2" thickBot="1" x14ac:dyDescent="0.35">
      <c r="A68" s="15"/>
      <c r="B68" s="15"/>
      <c r="C68" s="12"/>
      <c r="D68" s="12"/>
      <c r="E68" s="17" t="s">
        <v>24</v>
      </c>
      <c r="F68" s="19"/>
      <c r="G68" s="20"/>
    </row>
    <row r="69" spans="1:7" ht="16.2" thickBot="1" x14ac:dyDescent="0.35">
      <c r="A69" s="15"/>
      <c r="B69" s="15"/>
      <c r="C69" s="12"/>
      <c r="D69" s="12"/>
      <c r="E69" s="17" t="s">
        <v>24</v>
      </c>
      <c r="F69" s="19"/>
      <c r="G69" s="20"/>
    </row>
    <row r="70" spans="1:7" ht="16.2" thickBot="1" x14ac:dyDescent="0.35">
      <c r="A70" s="15" t="s">
        <v>841</v>
      </c>
      <c r="B70" s="15"/>
      <c r="C70" s="12">
        <v>16962.580000000002</v>
      </c>
      <c r="D70" s="12">
        <v>77962.58</v>
      </c>
      <c r="E70" s="17" t="s">
        <v>24</v>
      </c>
      <c r="F70" s="19" t="s">
        <v>800</v>
      </c>
      <c r="G70" s="20"/>
    </row>
    <row r="71" spans="1:7" ht="16.2" thickBot="1" x14ac:dyDescent="0.35">
      <c r="A71" s="15"/>
      <c r="B71" s="15"/>
      <c r="C71" s="12"/>
      <c r="D71" s="12"/>
      <c r="E71" s="17" t="s">
        <v>24</v>
      </c>
      <c r="F71" s="19"/>
      <c r="G71" s="20"/>
    </row>
    <row r="72" spans="1:7" ht="16.2" thickBot="1" x14ac:dyDescent="0.35">
      <c r="A72" s="21"/>
      <c r="B72" s="21"/>
      <c r="C72" s="12">
        <v>0</v>
      </c>
      <c r="D72" s="12">
        <v>0</v>
      </c>
      <c r="E72" s="17" t="s">
        <v>24</v>
      </c>
      <c r="F72" s="19"/>
      <c r="G72" s="20"/>
    </row>
    <row r="73" spans="1:7" ht="16.2" thickBot="1" x14ac:dyDescent="0.35">
      <c r="A73" s="13" t="s">
        <v>32</v>
      </c>
      <c r="B73" s="13"/>
      <c r="C73" s="22">
        <v>403394.76000000007</v>
      </c>
      <c r="D73" s="22">
        <v>628856.65499999991</v>
      </c>
      <c r="E73" s="23"/>
      <c r="F73" s="23"/>
      <c r="G73" s="24"/>
    </row>
  </sheetData>
  <pageMargins left="0.7" right="0.7" top="0.75" bottom="0.75" header="0.3" footer="0.3"/>
  <pageSetup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7E15-61AF-4745-ACFF-5B213D766D16}">
  <dimension ref="A1:H36"/>
  <sheetViews>
    <sheetView topLeftCell="A25"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3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94.2" thickBot="1" x14ac:dyDescent="0.35">
      <c r="A2" s="3" t="s">
        <v>757</v>
      </c>
      <c r="B2" s="4">
        <v>650000</v>
      </c>
      <c r="C2" s="3" t="s">
        <v>758</v>
      </c>
      <c r="D2" s="5">
        <v>13722000</v>
      </c>
      <c r="E2" s="3" t="s">
        <v>759</v>
      </c>
      <c r="F2" s="6" t="s">
        <v>760</v>
      </c>
      <c r="G2" s="5">
        <v>-100000</v>
      </c>
      <c r="H2" s="5">
        <v>-600000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150000</v>
      </c>
    </row>
    <row r="10" spans="1:8" ht="16.2" thickBot="1" x14ac:dyDescent="0.35">
      <c r="A10" s="11" t="s">
        <v>57</v>
      </c>
      <c r="B10" s="12">
        <v>300000</v>
      </c>
    </row>
    <row r="11" spans="1:8" ht="16.2" thickBot="1" x14ac:dyDescent="0.35">
      <c r="A11" s="11" t="s">
        <v>761</v>
      </c>
      <c r="B11" s="12">
        <v>200000</v>
      </c>
    </row>
    <row r="12" spans="1:8" ht="16.2" thickBot="1" x14ac:dyDescent="0.35">
      <c r="A12" s="11"/>
      <c r="B12" s="10"/>
      <c r="C12" s="12">
        <v>650000</v>
      </c>
    </row>
    <row r="13" spans="1:8" x14ac:dyDescent="0.3">
      <c r="A13" s="13"/>
      <c r="C13" s="10" t="s">
        <v>9</v>
      </c>
    </row>
    <row r="15" spans="1:8" ht="31.8" thickBot="1" x14ac:dyDescent="0.35">
      <c r="A15" s="1" t="s">
        <v>17</v>
      </c>
      <c r="B15" s="14" t="s">
        <v>18</v>
      </c>
      <c r="C15" s="1" t="s">
        <v>19</v>
      </c>
      <c r="D15" s="1" t="s">
        <v>20</v>
      </c>
      <c r="E15" s="1" t="s">
        <v>21</v>
      </c>
      <c r="F15" s="1" t="s">
        <v>22</v>
      </c>
    </row>
    <row r="16" spans="1:8" ht="16.2" thickBot="1" x14ac:dyDescent="0.35">
      <c r="A16" s="7" t="s">
        <v>762</v>
      </c>
      <c r="B16" s="16">
        <v>3000</v>
      </c>
      <c r="C16" s="16">
        <v>6000</v>
      </c>
      <c r="D16" s="19" t="s">
        <v>763</v>
      </c>
      <c r="E16" s="19" t="s">
        <v>764</v>
      </c>
      <c r="F16" s="32" t="s">
        <v>765</v>
      </c>
    </row>
    <row r="17" spans="1:6" ht="47.4" thickBot="1" x14ac:dyDescent="0.35">
      <c r="A17" s="7" t="s">
        <v>766</v>
      </c>
      <c r="B17" s="12">
        <v>4000</v>
      </c>
      <c r="C17" s="12">
        <v>7000</v>
      </c>
      <c r="D17" s="19" t="s">
        <v>763</v>
      </c>
      <c r="E17" s="19" t="s">
        <v>764</v>
      </c>
      <c r="F17" s="33" t="s">
        <v>767</v>
      </c>
    </row>
    <row r="18" spans="1:6" ht="16.2" thickBot="1" x14ac:dyDescent="0.35">
      <c r="A18" s="7" t="s">
        <v>26</v>
      </c>
      <c r="B18" s="12">
        <v>0</v>
      </c>
      <c r="C18" s="12">
        <v>0</v>
      </c>
      <c r="D18" s="19" t="s">
        <v>763</v>
      </c>
      <c r="E18" s="19"/>
      <c r="F18" s="33"/>
    </row>
    <row r="19" spans="1:6" ht="16.2" thickBot="1" x14ac:dyDescent="0.35">
      <c r="A19" s="7" t="s">
        <v>27</v>
      </c>
      <c r="B19" s="12">
        <v>0</v>
      </c>
      <c r="C19" s="12">
        <v>0</v>
      </c>
      <c r="D19" s="19" t="s">
        <v>763</v>
      </c>
      <c r="E19" s="19"/>
      <c r="F19" s="33"/>
    </row>
    <row r="20" spans="1:6" ht="63" thickBot="1" x14ac:dyDescent="0.35">
      <c r="A20" s="7" t="s">
        <v>28</v>
      </c>
      <c r="B20" s="12">
        <v>5000</v>
      </c>
      <c r="C20" s="12">
        <v>5000</v>
      </c>
      <c r="D20" s="19" t="s">
        <v>763</v>
      </c>
      <c r="E20" s="19" t="s">
        <v>764</v>
      </c>
      <c r="F20" s="33" t="s">
        <v>768</v>
      </c>
    </row>
    <row r="21" spans="1:6" ht="31.8" thickBot="1" x14ac:dyDescent="0.35">
      <c r="A21" s="7" t="s">
        <v>769</v>
      </c>
      <c r="B21" s="12">
        <v>100</v>
      </c>
      <c r="C21" s="12">
        <v>5000</v>
      </c>
      <c r="D21" s="19" t="s">
        <v>763</v>
      </c>
      <c r="E21" s="19" t="s">
        <v>764</v>
      </c>
      <c r="F21" s="33" t="s">
        <v>770</v>
      </c>
    </row>
    <row r="22" spans="1:6" ht="78.599999999999994" thickBot="1" x14ac:dyDescent="0.35">
      <c r="A22" s="7" t="s">
        <v>771</v>
      </c>
      <c r="B22" s="12">
        <v>13000</v>
      </c>
      <c r="C22" s="12">
        <v>74100</v>
      </c>
      <c r="D22" s="19" t="s">
        <v>763</v>
      </c>
      <c r="E22" s="19" t="s">
        <v>764</v>
      </c>
      <c r="F22" s="33" t="s">
        <v>772</v>
      </c>
    </row>
    <row r="23" spans="1:6" ht="31.8" thickBot="1" x14ac:dyDescent="0.35">
      <c r="A23" s="7" t="s">
        <v>773</v>
      </c>
      <c r="B23" s="12">
        <v>2000</v>
      </c>
      <c r="C23" s="12">
        <v>4000</v>
      </c>
      <c r="D23" s="19" t="s">
        <v>763</v>
      </c>
      <c r="E23" s="19" t="s">
        <v>764</v>
      </c>
      <c r="F23" s="33" t="s">
        <v>774</v>
      </c>
    </row>
    <row r="24" spans="1:6" ht="31.8" thickBot="1" x14ac:dyDescent="0.35">
      <c r="A24" s="7" t="s">
        <v>775</v>
      </c>
      <c r="B24" s="12">
        <v>13428.24</v>
      </c>
      <c r="C24" s="12">
        <v>13428.24</v>
      </c>
      <c r="D24" s="19" t="s">
        <v>763</v>
      </c>
      <c r="E24" s="19" t="s">
        <v>776</v>
      </c>
      <c r="F24" s="33" t="s">
        <v>777</v>
      </c>
    </row>
    <row r="25" spans="1:6" ht="16.2" thickBot="1" x14ac:dyDescent="0.35">
      <c r="A25" s="7" t="s">
        <v>778</v>
      </c>
      <c r="B25" s="12">
        <v>1500</v>
      </c>
      <c r="C25" s="12">
        <v>1500</v>
      </c>
      <c r="D25" s="19" t="s">
        <v>763</v>
      </c>
      <c r="E25" s="19" t="s">
        <v>776</v>
      </c>
      <c r="F25" s="33" t="s">
        <v>779</v>
      </c>
    </row>
    <row r="26" spans="1:6" ht="47.4" thickBot="1" x14ac:dyDescent="0.35">
      <c r="A26" s="15" t="s">
        <v>780</v>
      </c>
      <c r="B26" s="12">
        <v>272198.43</v>
      </c>
      <c r="C26" s="12">
        <v>816595.29</v>
      </c>
      <c r="D26" s="19" t="s">
        <v>763</v>
      </c>
      <c r="E26" s="19" t="s">
        <v>776</v>
      </c>
      <c r="F26" s="33" t="s">
        <v>781</v>
      </c>
    </row>
    <row r="27" spans="1:6" ht="31.8" thickBot="1" x14ac:dyDescent="0.35">
      <c r="A27" s="7" t="s">
        <v>782</v>
      </c>
      <c r="B27" s="12">
        <v>66187.039999999994</v>
      </c>
      <c r="C27" s="12">
        <v>66187.039999999994</v>
      </c>
      <c r="D27" s="19" t="s">
        <v>763</v>
      </c>
      <c r="E27" s="19" t="s">
        <v>89</v>
      </c>
      <c r="F27" s="33" t="s">
        <v>783</v>
      </c>
    </row>
    <row r="28" spans="1:6" ht="16.2" thickBot="1" x14ac:dyDescent="0.35">
      <c r="B28" s="12">
        <v>0</v>
      </c>
      <c r="C28" s="12">
        <v>0</v>
      </c>
      <c r="D28" s="19"/>
      <c r="E28" s="19"/>
      <c r="F28" s="33"/>
    </row>
    <row r="29" spans="1:6" ht="16.2" thickBot="1" x14ac:dyDescent="0.35">
      <c r="A29" s="195"/>
      <c r="B29" s="12">
        <v>0</v>
      </c>
      <c r="C29" s="12">
        <v>0</v>
      </c>
      <c r="D29" s="19"/>
      <c r="E29" s="19"/>
      <c r="F29" s="33"/>
    </row>
    <row r="30" spans="1:6" ht="16.2" thickBot="1" x14ac:dyDescent="0.35">
      <c r="A30" s="13" t="s">
        <v>32</v>
      </c>
      <c r="B30" s="22">
        <v>380413.70999999996</v>
      </c>
      <c r="C30" s="22">
        <v>998810.57000000007</v>
      </c>
      <c r="D30" s="23"/>
      <c r="E30" s="23"/>
      <c r="F30" s="35"/>
    </row>
    <row r="35" spans="3:3" x14ac:dyDescent="0.3">
      <c r="C35" s="196"/>
    </row>
    <row r="36" spans="3:3" x14ac:dyDescent="0.3">
      <c r="C36" s="196"/>
    </row>
  </sheetData>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981D-7859-49FE-B847-3EAA00F5F47D}">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2245</v>
      </c>
      <c r="B2" s="390">
        <v>-500000</v>
      </c>
      <c r="C2" s="389" t="s">
        <v>2246</v>
      </c>
      <c r="D2" s="391">
        <v>11309944</v>
      </c>
      <c r="E2" s="389" t="s">
        <v>917</v>
      </c>
      <c r="F2" s="392" t="s">
        <v>2247</v>
      </c>
      <c r="G2" s="391" t="s">
        <v>917</v>
      </c>
      <c r="H2" s="391" t="s">
        <v>917</v>
      </c>
    </row>
    <row r="4" spans="1:8" x14ac:dyDescent="0.3">
      <c r="A4" s="386" t="s">
        <v>11</v>
      </c>
    </row>
    <row r="6" spans="1:8" ht="16.2" thickBot="1" x14ac:dyDescent="0.35">
      <c r="A6" s="538" t="s">
        <v>12</v>
      </c>
      <c r="B6" s="10" t="s">
        <v>9</v>
      </c>
    </row>
    <row r="7" spans="1:8" ht="16.2" thickBot="1" x14ac:dyDescent="0.35">
      <c r="A7" s="537" t="s">
        <v>51</v>
      </c>
      <c r="B7" s="374">
        <v>0</v>
      </c>
    </row>
    <row r="8" spans="1:8" ht="16.2" thickBot="1" x14ac:dyDescent="0.35">
      <c r="A8" s="537" t="s">
        <v>53</v>
      </c>
      <c r="B8" s="374">
        <v>0</v>
      </c>
    </row>
    <row r="9" spans="1:8" ht="16.2" thickBot="1" x14ac:dyDescent="0.35">
      <c r="A9" s="537" t="s">
        <v>55</v>
      </c>
      <c r="B9" s="374">
        <v>3000</v>
      </c>
    </row>
    <row r="10" spans="1:8" ht="16.2" thickBot="1" x14ac:dyDescent="0.35">
      <c r="A10" s="537" t="s">
        <v>57</v>
      </c>
      <c r="B10" s="374">
        <v>10000</v>
      </c>
    </row>
    <row r="11" spans="1:8" ht="16.2" thickBot="1" x14ac:dyDescent="0.35">
      <c r="A11" s="537"/>
      <c r="B11" s="374">
        <v>0</v>
      </c>
    </row>
    <row r="12" spans="1:8" ht="16.2" thickBot="1" x14ac:dyDescent="0.35">
      <c r="A12" s="537"/>
      <c r="B12" s="10"/>
      <c r="C12" s="374">
        <f>SUM(B7:B11)</f>
        <v>13000</v>
      </c>
    </row>
    <row r="13" spans="1:8" x14ac:dyDescent="0.3">
      <c r="A13" s="536"/>
      <c r="C13" s="10" t="s">
        <v>9</v>
      </c>
    </row>
    <row r="15" spans="1:8" ht="31.2" x14ac:dyDescent="0.3">
      <c r="A15" s="384" t="s">
        <v>17</v>
      </c>
      <c r="B15" s="385" t="s">
        <v>18</v>
      </c>
      <c r="C15" s="384" t="s">
        <v>19</v>
      </c>
      <c r="D15" s="384" t="s">
        <v>20</v>
      </c>
      <c r="E15" s="384" t="s">
        <v>21</v>
      </c>
      <c r="F15" s="384" t="s">
        <v>22</v>
      </c>
    </row>
    <row r="16" spans="1:8" ht="16.2" thickBot="1" x14ac:dyDescent="0.35">
      <c r="A16" s="535" t="s">
        <v>2248</v>
      </c>
      <c r="B16" s="382">
        <f>7428+1040</f>
        <v>8468</v>
      </c>
      <c r="C16" s="382">
        <f>5000+500</f>
        <v>5500</v>
      </c>
      <c r="D16" s="397" t="s">
        <v>24</v>
      </c>
      <c r="E16" s="359"/>
      <c r="F16" s="383" t="s">
        <v>79</v>
      </c>
    </row>
    <row r="17" spans="1:6" ht="16.2" thickBot="1" x14ac:dyDescent="0.35">
      <c r="A17" s="535" t="s">
        <v>25</v>
      </c>
      <c r="B17" s="374">
        <v>0</v>
      </c>
      <c r="C17" s="374">
        <v>0</v>
      </c>
      <c r="D17" s="397" t="s">
        <v>24</v>
      </c>
      <c r="E17" s="387"/>
      <c r="F17" s="383" t="s">
        <v>79</v>
      </c>
    </row>
    <row r="18" spans="1:6" ht="16.2" thickBot="1" x14ac:dyDescent="0.35">
      <c r="A18" s="535" t="s">
        <v>26</v>
      </c>
      <c r="B18" s="374">
        <v>0</v>
      </c>
      <c r="C18" s="374">
        <v>0</v>
      </c>
      <c r="D18" s="397" t="s">
        <v>24</v>
      </c>
      <c r="E18" s="387"/>
      <c r="F18" s="383" t="s">
        <v>79</v>
      </c>
    </row>
    <row r="19" spans="1:6" ht="16.2" thickBot="1" x14ac:dyDescent="0.35">
      <c r="A19" s="535" t="s">
        <v>27</v>
      </c>
      <c r="B19" s="374">
        <v>0</v>
      </c>
      <c r="C19" s="374">
        <v>0</v>
      </c>
      <c r="D19" s="397" t="s">
        <v>24</v>
      </c>
      <c r="E19" s="387"/>
      <c r="F19" s="383" t="s">
        <v>79</v>
      </c>
    </row>
    <row r="20" spans="1:6" ht="16.2" thickBot="1" x14ac:dyDescent="0.35">
      <c r="A20" s="535" t="s">
        <v>28</v>
      </c>
      <c r="B20" s="374">
        <v>0</v>
      </c>
      <c r="C20" s="374">
        <v>0</v>
      </c>
      <c r="D20" s="397" t="s">
        <v>24</v>
      </c>
      <c r="E20" s="387"/>
      <c r="F20" s="383" t="s">
        <v>79</v>
      </c>
    </row>
    <row r="21" spans="1:6" ht="16.2" thickBot="1" x14ac:dyDescent="0.35">
      <c r="A21" s="535" t="s">
        <v>29</v>
      </c>
      <c r="B21" s="374">
        <f>4415+750</f>
        <v>5165</v>
      </c>
      <c r="C21" s="374">
        <v>21000</v>
      </c>
      <c r="D21" s="397" t="s">
        <v>10</v>
      </c>
      <c r="E21" s="387"/>
      <c r="F21" s="383" t="s">
        <v>79</v>
      </c>
    </row>
    <row r="22" spans="1:6" ht="16.2" thickBot="1" x14ac:dyDescent="0.35">
      <c r="A22" s="535" t="s">
        <v>30</v>
      </c>
      <c r="B22" s="374">
        <f>316+154</f>
        <v>470</v>
      </c>
      <c r="C22" s="374">
        <v>500</v>
      </c>
      <c r="D22" s="397" t="s">
        <v>24</v>
      </c>
      <c r="E22" s="387"/>
      <c r="F22" s="383" t="s">
        <v>79</v>
      </c>
    </row>
    <row r="23" spans="1:6" ht="16.2" thickBot="1" x14ac:dyDescent="0.35">
      <c r="A23" s="535" t="s">
        <v>658</v>
      </c>
      <c r="B23" s="374">
        <v>2096</v>
      </c>
      <c r="C23" s="374">
        <v>2000</v>
      </c>
      <c r="D23" s="397" t="s">
        <v>24</v>
      </c>
      <c r="E23" s="387"/>
      <c r="F23" s="383" t="s">
        <v>79</v>
      </c>
    </row>
    <row r="24" spans="1:6" ht="16.2" thickBot="1" x14ac:dyDescent="0.35">
      <c r="A24" s="535" t="s">
        <v>2249</v>
      </c>
      <c r="B24" s="374">
        <f>505+350</f>
        <v>855</v>
      </c>
      <c r="C24" s="374">
        <v>2000</v>
      </c>
      <c r="D24" s="397" t="s">
        <v>24</v>
      </c>
      <c r="E24" s="387"/>
      <c r="F24" s="383" t="s">
        <v>79</v>
      </c>
    </row>
    <row r="25" spans="1:6" ht="16.2" thickBot="1" x14ac:dyDescent="0.35">
      <c r="A25" s="535" t="s">
        <v>9</v>
      </c>
      <c r="B25" s="374">
        <v>0</v>
      </c>
      <c r="C25" s="374">
        <v>0</v>
      </c>
      <c r="D25" s="387"/>
      <c r="E25" s="387"/>
      <c r="F25" s="377"/>
    </row>
    <row r="26" spans="1:6" ht="16.2" thickBot="1" x14ac:dyDescent="0.35">
      <c r="A26" s="535" t="s">
        <v>9</v>
      </c>
      <c r="B26" s="374">
        <v>0</v>
      </c>
      <c r="C26" s="374">
        <v>0</v>
      </c>
      <c r="D26" s="387"/>
      <c r="E26" s="387"/>
      <c r="F26" s="377"/>
    </row>
    <row r="27" spans="1:6" ht="16.2" thickBot="1" x14ac:dyDescent="0.35">
      <c r="A27" s="537"/>
      <c r="B27" s="374">
        <v>0</v>
      </c>
      <c r="C27" s="374">
        <v>0</v>
      </c>
      <c r="D27" s="387"/>
      <c r="E27" s="387"/>
      <c r="F27" s="377"/>
    </row>
    <row r="28" spans="1:6" ht="16.2" thickBot="1" x14ac:dyDescent="0.35">
      <c r="A28" s="378"/>
      <c r="B28" s="374">
        <v>0</v>
      </c>
      <c r="C28" s="374">
        <v>0</v>
      </c>
      <c r="D28" s="387"/>
      <c r="E28" s="387"/>
      <c r="F28" s="377"/>
    </row>
    <row r="29" spans="1:6" ht="16.2" thickBot="1" x14ac:dyDescent="0.35">
      <c r="A29" s="536" t="s">
        <v>32</v>
      </c>
      <c r="B29" s="379">
        <f>SUM(B16:B28)</f>
        <v>17054</v>
      </c>
      <c r="C29" s="379">
        <f>SUM(C16:C28)</f>
        <v>31000</v>
      </c>
      <c r="D29" s="388"/>
      <c r="E29" s="388"/>
      <c r="F29" s="380"/>
    </row>
  </sheetData>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D2FE-CA78-4528-99AB-1462DC6371A3}">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2011</v>
      </c>
      <c r="B2" s="390">
        <v>108000</v>
      </c>
      <c r="C2" s="389" t="s">
        <v>2012</v>
      </c>
      <c r="D2" s="28">
        <v>6971610</v>
      </c>
      <c r="E2" s="389" t="s">
        <v>10</v>
      </c>
      <c r="F2" s="392" t="s">
        <v>2013</v>
      </c>
      <c r="G2" s="391">
        <v>0</v>
      </c>
      <c r="H2" s="391">
        <v>0</v>
      </c>
    </row>
    <row r="4" spans="1:8" x14ac:dyDescent="0.3">
      <c r="A4" s="386" t="s">
        <v>11</v>
      </c>
    </row>
    <row r="6" spans="1:8" ht="16.2" thickBot="1" x14ac:dyDescent="0.35">
      <c r="A6" s="381" t="s">
        <v>12</v>
      </c>
      <c r="B6" s="10" t="s">
        <v>9</v>
      </c>
    </row>
    <row r="7" spans="1:8" ht="16.2" thickBot="1" x14ac:dyDescent="0.35">
      <c r="A7" s="427" t="s">
        <v>13</v>
      </c>
      <c r="B7" s="374">
        <v>0</v>
      </c>
    </row>
    <row r="8" spans="1:8" ht="16.2" thickBot="1" x14ac:dyDescent="0.35">
      <c r="A8" s="427" t="s">
        <v>14</v>
      </c>
      <c r="B8" s="374"/>
    </row>
    <row r="9" spans="1:8" ht="16.2" thickBot="1" x14ac:dyDescent="0.35">
      <c r="A9" s="427"/>
      <c r="B9" s="374">
        <v>0</v>
      </c>
    </row>
    <row r="10" spans="1:8" ht="16.2" thickBot="1" x14ac:dyDescent="0.35">
      <c r="A10" s="427"/>
      <c r="B10" s="374">
        <v>0</v>
      </c>
    </row>
    <row r="11" spans="1:8" ht="16.2" thickBot="1" x14ac:dyDescent="0.35">
      <c r="A11" s="427"/>
      <c r="B11" s="10"/>
      <c r="C11" s="374">
        <f>SUM(B7:B10)</f>
        <v>0</v>
      </c>
    </row>
    <row r="12" spans="1:8" x14ac:dyDescent="0.3">
      <c r="A12" s="426"/>
      <c r="C12" s="10" t="s">
        <v>9</v>
      </c>
    </row>
    <row r="14" spans="1:8" ht="31.8" thickBot="1" x14ac:dyDescent="0.35">
      <c r="A14" s="384" t="s">
        <v>17</v>
      </c>
      <c r="B14" s="385" t="s">
        <v>18</v>
      </c>
      <c r="C14" s="384" t="s">
        <v>19</v>
      </c>
      <c r="D14" s="384" t="s">
        <v>20</v>
      </c>
      <c r="E14" s="384" t="s">
        <v>21</v>
      </c>
      <c r="F14" s="384" t="s">
        <v>22</v>
      </c>
    </row>
    <row r="15" spans="1:8" ht="16.2" thickBot="1" x14ac:dyDescent="0.35">
      <c r="A15" s="425" t="s">
        <v>23</v>
      </c>
      <c r="B15" s="382">
        <v>4550</v>
      </c>
      <c r="C15" s="382">
        <v>12000</v>
      </c>
      <c r="D15" s="359" t="s">
        <v>2014</v>
      </c>
      <c r="E15" s="387" t="s">
        <v>2015</v>
      </c>
      <c r="F15" s="383"/>
    </row>
    <row r="16" spans="1:8" ht="16.2" thickBot="1" x14ac:dyDescent="0.35">
      <c r="A16" s="425" t="s">
        <v>25</v>
      </c>
      <c r="B16" s="374">
        <v>25371</v>
      </c>
      <c r="C16" s="374">
        <v>35000</v>
      </c>
      <c r="D16" s="359" t="s">
        <v>2014</v>
      </c>
      <c r="E16" s="387" t="s">
        <v>2015</v>
      </c>
      <c r="F16" s="377"/>
    </row>
    <row r="17" spans="1:6" ht="16.2" thickBot="1" x14ac:dyDescent="0.35">
      <c r="A17" s="425" t="s">
        <v>26</v>
      </c>
      <c r="B17" s="374">
        <v>0</v>
      </c>
      <c r="C17" s="374">
        <v>0</v>
      </c>
      <c r="D17" s="387"/>
      <c r="E17" s="387"/>
      <c r="F17" s="377"/>
    </row>
    <row r="18" spans="1:6" ht="16.2" thickBot="1" x14ac:dyDescent="0.35">
      <c r="A18" s="425" t="s">
        <v>27</v>
      </c>
      <c r="B18" s="374">
        <v>0</v>
      </c>
      <c r="C18" s="374">
        <v>0</v>
      </c>
      <c r="D18" s="387"/>
      <c r="E18" s="387"/>
      <c r="F18" s="377"/>
    </row>
    <row r="19" spans="1:6" ht="16.2" thickBot="1" x14ac:dyDescent="0.35">
      <c r="A19" s="425" t="s">
        <v>28</v>
      </c>
      <c r="B19" s="374">
        <v>0</v>
      </c>
      <c r="C19" s="374">
        <v>0</v>
      </c>
      <c r="D19" s="387"/>
      <c r="E19" s="387"/>
      <c r="F19" s="377"/>
    </row>
    <row r="20" spans="1:6" ht="16.2" thickBot="1" x14ac:dyDescent="0.35">
      <c r="A20" s="425" t="s">
        <v>29</v>
      </c>
      <c r="B20" s="374">
        <v>51843.48</v>
      </c>
      <c r="C20" s="374">
        <v>75000</v>
      </c>
      <c r="D20" s="359" t="s">
        <v>2014</v>
      </c>
      <c r="E20" s="387" t="s">
        <v>2015</v>
      </c>
      <c r="F20" s="377"/>
    </row>
    <row r="21" spans="1:6" ht="16.2" thickBot="1" x14ac:dyDescent="0.35">
      <c r="A21" s="425" t="s">
        <v>30</v>
      </c>
      <c r="B21" s="374">
        <v>29752.02</v>
      </c>
      <c r="C21" s="374">
        <v>60000</v>
      </c>
      <c r="D21" s="359" t="s">
        <v>2014</v>
      </c>
      <c r="E21" s="387" t="s">
        <v>2015</v>
      </c>
      <c r="F21" s="377"/>
    </row>
    <row r="22" spans="1:6" ht="16.2" thickBot="1" x14ac:dyDescent="0.35">
      <c r="A22" s="427"/>
      <c r="B22" s="374">
        <v>0</v>
      </c>
      <c r="C22" s="374">
        <v>0</v>
      </c>
      <c r="D22" s="387"/>
      <c r="E22" s="387"/>
      <c r="F22" s="377"/>
    </row>
    <row r="23" spans="1:6" ht="16.2" thickBot="1" x14ac:dyDescent="0.35">
      <c r="A23" s="427"/>
      <c r="B23" s="374">
        <v>0</v>
      </c>
      <c r="C23" s="374">
        <v>0</v>
      </c>
      <c r="D23" s="387"/>
      <c r="E23" s="387"/>
      <c r="F23" s="377"/>
    </row>
    <row r="24" spans="1:6" ht="16.2" thickBot="1" x14ac:dyDescent="0.35">
      <c r="A24" s="427"/>
      <c r="B24" s="374">
        <v>0</v>
      </c>
      <c r="C24" s="374">
        <v>0</v>
      </c>
      <c r="D24" s="387"/>
      <c r="E24" s="387"/>
      <c r="F24" s="377"/>
    </row>
    <row r="25" spans="1:6" ht="16.2" thickBot="1" x14ac:dyDescent="0.35">
      <c r="A25" s="427"/>
      <c r="B25" s="374">
        <v>0</v>
      </c>
      <c r="C25" s="374">
        <v>0</v>
      </c>
      <c r="D25" s="387"/>
      <c r="E25" s="387"/>
      <c r="F25" s="377"/>
    </row>
    <row r="26" spans="1:6" ht="16.2" thickBot="1" x14ac:dyDescent="0.35">
      <c r="A26" s="427"/>
      <c r="B26" s="374">
        <v>0</v>
      </c>
      <c r="C26" s="374">
        <v>0</v>
      </c>
      <c r="D26" s="387"/>
      <c r="E26" s="387"/>
      <c r="F26" s="377"/>
    </row>
    <row r="27" spans="1:6" ht="16.2" thickBot="1" x14ac:dyDescent="0.35">
      <c r="A27" s="378"/>
      <c r="B27" s="374">
        <v>0</v>
      </c>
      <c r="C27" s="374">
        <v>0</v>
      </c>
      <c r="D27" s="387"/>
      <c r="E27" s="387"/>
      <c r="F27" s="377"/>
    </row>
    <row r="28" spans="1:6" ht="16.2" thickBot="1" x14ac:dyDescent="0.35">
      <c r="A28" s="426" t="s">
        <v>32</v>
      </c>
      <c r="B28" s="379">
        <f>SUM(B15:B27)</f>
        <v>111516.50000000001</v>
      </c>
      <c r="C28" s="379">
        <f>SUM(C15:C27)</f>
        <v>182000</v>
      </c>
      <c r="D28" s="388"/>
      <c r="E28" s="388"/>
      <c r="F28" s="380"/>
    </row>
  </sheetData>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B70F-C315-4E7A-BCC4-8B0DE1F9F744}">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1018</v>
      </c>
      <c r="B2" s="4">
        <v>700000</v>
      </c>
      <c r="C2" s="3" t="s">
        <v>1019</v>
      </c>
      <c r="D2" s="5">
        <v>13268751</v>
      </c>
      <c r="E2" s="3" t="s">
        <v>108</v>
      </c>
      <c r="F2" s="6"/>
      <c r="G2" s="5" t="s">
        <v>1020</v>
      </c>
      <c r="H2" s="5">
        <v>1000000</v>
      </c>
    </row>
    <row r="4" spans="1:8" x14ac:dyDescent="0.3">
      <c r="A4" s="8" t="s">
        <v>11</v>
      </c>
    </row>
    <row r="6" spans="1:8" ht="16.2" thickBot="1" x14ac:dyDescent="0.35">
      <c r="A6" s="9" t="s">
        <v>12</v>
      </c>
      <c r="B6" s="10" t="s">
        <v>9</v>
      </c>
    </row>
    <row r="7" spans="1:8" ht="16.2" thickBot="1" x14ac:dyDescent="0.35">
      <c r="A7" s="11" t="s">
        <v>13</v>
      </c>
      <c r="B7" s="12">
        <v>500000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500000</v>
      </c>
    </row>
    <row r="12" spans="1:8" x14ac:dyDescent="0.3">
      <c r="A12" s="13"/>
      <c r="C12" s="10" t="s">
        <v>9</v>
      </c>
    </row>
    <row r="14" spans="1:8" ht="31.2" x14ac:dyDescent="0.3">
      <c r="A14" s="1" t="s">
        <v>1021</v>
      </c>
      <c r="B14" s="14" t="s">
        <v>18</v>
      </c>
      <c r="C14" s="1" t="s">
        <v>1022</v>
      </c>
      <c r="D14" s="1" t="s">
        <v>20</v>
      </c>
      <c r="E14" s="1" t="s">
        <v>21</v>
      </c>
      <c r="F14" s="1" t="s">
        <v>22</v>
      </c>
    </row>
    <row r="15" spans="1:8" ht="16.2" thickBot="1" x14ac:dyDescent="0.35">
      <c r="A15" s="15" t="s">
        <v>23</v>
      </c>
      <c r="B15" s="16">
        <v>251.15</v>
      </c>
      <c r="C15" s="16">
        <v>251.15</v>
      </c>
      <c r="D15" s="17" t="s">
        <v>108</v>
      </c>
      <c r="E15" s="17"/>
      <c r="F15" s="18" t="s">
        <v>1023</v>
      </c>
    </row>
    <row r="16" spans="1:8" ht="16.2" thickBot="1" x14ac:dyDescent="0.35">
      <c r="A16" s="15" t="s">
        <v>25</v>
      </c>
      <c r="B16" s="12">
        <v>4100.54</v>
      </c>
      <c r="C16" s="12">
        <v>4100.54</v>
      </c>
      <c r="D16" s="19" t="s">
        <v>108</v>
      </c>
      <c r="E16" s="19"/>
      <c r="F16" s="20" t="s">
        <v>1024</v>
      </c>
    </row>
    <row r="17" spans="1:6" ht="16.2" thickBot="1" x14ac:dyDescent="0.35">
      <c r="A17" s="15" t="s">
        <v>26</v>
      </c>
      <c r="B17" s="12">
        <v>0</v>
      </c>
      <c r="C17" s="12"/>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5291.86</v>
      </c>
      <c r="C21" s="12">
        <v>5291.86</v>
      </c>
      <c r="D21" s="19" t="s">
        <v>108</v>
      </c>
      <c r="E21" s="19"/>
      <c r="F21" s="20" t="s">
        <v>1025</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9643.5499999999993</v>
      </c>
      <c r="C28" s="22">
        <v>9643.5499999999993</v>
      </c>
      <c r="D28" s="23"/>
      <c r="E28" s="23"/>
      <c r="F28" s="2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0E95-0220-4E4C-801A-D15A57EAA812}">
  <dimension ref="A1:H29"/>
  <sheetViews>
    <sheetView topLeftCell="A10"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2189</v>
      </c>
      <c r="B2" s="390">
        <f>116215.15+8000+30000+1000</f>
        <v>155215.15</v>
      </c>
      <c r="C2" s="389" t="s">
        <v>2190</v>
      </c>
      <c r="D2" s="391">
        <v>5532155</v>
      </c>
      <c r="E2" s="389" t="s">
        <v>10</v>
      </c>
      <c r="F2" s="392"/>
      <c r="G2" s="391">
        <v>0</v>
      </c>
      <c r="H2" s="391">
        <v>0</v>
      </c>
    </row>
    <row r="3" spans="1:8" x14ac:dyDescent="0.3">
      <c r="G3" s="372" t="s">
        <v>2191</v>
      </c>
      <c r="H3" s="372" t="s">
        <v>680</v>
      </c>
    </row>
    <row r="4" spans="1:8" x14ac:dyDescent="0.3">
      <c r="A4" s="386" t="s">
        <v>11</v>
      </c>
    </row>
    <row r="6" spans="1:8" ht="16.2" thickBot="1" x14ac:dyDescent="0.35">
      <c r="A6" s="520" t="s">
        <v>12</v>
      </c>
      <c r="B6" s="10" t="s">
        <v>9</v>
      </c>
    </row>
    <row r="7" spans="1:8" ht="16.2" thickBot="1" x14ac:dyDescent="0.35">
      <c r="A7" s="519" t="s">
        <v>13</v>
      </c>
      <c r="B7" s="374">
        <v>-2582729</v>
      </c>
      <c r="C7" s="372" t="s">
        <v>2192</v>
      </c>
    </row>
    <row r="8" spans="1:8" ht="16.2" thickBot="1" x14ac:dyDescent="0.35">
      <c r="A8" s="519" t="s">
        <v>14</v>
      </c>
      <c r="B8" s="374">
        <v>0</v>
      </c>
      <c r="C8" s="372" t="s">
        <v>420</v>
      </c>
    </row>
    <row r="9" spans="1:8" ht="16.2" thickBot="1" x14ac:dyDescent="0.35">
      <c r="A9" s="519"/>
      <c r="B9" s="374">
        <v>0</v>
      </c>
    </row>
    <row r="10" spans="1:8" ht="16.2" thickBot="1" x14ac:dyDescent="0.35">
      <c r="A10" s="519"/>
      <c r="B10" s="374">
        <v>0</v>
      </c>
    </row>
    <row r="11" spans="1:8" ht="16.2" thickBot="1" x14ac:dyDescent="0.35">
      <c r="A11" s="519"/>
      <c r="B11" s="10"/>
      <c r="C11" s="374">
        <f>SUM(B7:B10)</f>
        <v>-2582729</v>
      </c>
    </row>
    <row r="12" spans="1:8" x14ac:dyDescent="0.3">
      <c r="A12" s="518"/>
      <c r="C12" s="10" t="s">
        <v>9</v>
      </c>
    </row>
    <row r="14" spans="1:8" ht="31.2" x14ac:dyDescent="0.3">
      <c r="A14" s="384" t="s">
        <v>17</v>
      </c>
      <c r="B14" s="385" t="s">
        <v>18</v>
      </c>
      <c r="C14" s="384" t="s">
        <v>19</v>
      </c>
      <c r="D14" s="384" t="s">
        <v>20</v>
      </c>
      <c r="E14" s="384" t="s">
        <v>21</v>
      </c>
      <c r="F14" s="384" t="s">
        <v>22</v>
      </c>
    </row>
    <row r="15" spans="1:8" ht="16.2" thickBot="1" x14ac:dyDescent="0.35">
      <c r="A15" s="517" t="s">
        <v>23</v>
      </c>
      <c r="B15" s="382">
        <v>500</v>
      </c>
      <c r="C15" s="382">
        <v>0</v>
      </c>
      <c r="D15" s="359"/>
      <c r="E15" s="359"/>
      <c r="F15" s="383"/>
    </row>
    <row r="16" spans="1:8" ht="16.2" thickBot="1" x14ac:dyDescent="0.35">
      <c r="A16" s="517" t="s">
        <v>25</v>
      </c>
      <c r="B16" s="374">
        <v>0</v>
      </c>
      <c r="C16" s="374">
        <f>+(66+75)*3</f>
        <v>423</v>
      </c>
      <c r="D16" s="387" t="s">
        <v>24</v>
      </c>
      <c r="E16" s="387"/>
      <c r="F16" s="377" t="s">
        <v>2193</v>
      </c>
    </row>
    <row r="17" spans="1:6" ht="16.2" thickBot="1" x14ac:dyDescent="0.35">
      <c r="A17" s="517" t="s">
        <v>26</v>
      </c>
      <c r="B17" s="374">
        <v>6000</v>
      </c>
      <c r="C17" s="374">
        <v>0</v>
      </c>
      <c r="D17" s="387" t="s">
        <v>24</v>
      </c>
      <c r="E17" s="387"/>
      <c r="F17" s="377" t="s">
        <v>2194</v>
      </c>
    </row>
    <row r="18" spans="1:6" ht="16.2" thickBot="1" x14ac:dyDescent="0.35">
      <c r="A18" s="517" t="s">
        <v>27</v>
      </c>
      <c r="B18" s="374">
        <v>0</v>
      </c>
      <c r="C18" s="374">
        <v>0</v>
      </c>
      <c r="D18" s="387"/>
      <c r="E18" s="387"/>
      <c r="F18" s="377"/>
    </row>
    <row r="19" spans="1:6" ht="16.2" thickBot="1" x14ac:dyDescent="0.35">
      <c r="A19" s="517" t="s">
        <v>28</v>
      </c>
      <c r="B19" s="374">
        <v>0</v>
      </c>
      <c r="C19" s="374">
        <v>0</v>
      </c>
      <c r="D19" s="387"/>
      <c r="E19" s="387"/>
      <c r="F19" s="377"/>
    </row>
    <row r="20" spans="1:6" ht="16.2" thickBot="1" x14ac:dyDescent="0.35">
      <c r="A20" s="517" t="s">
        <v>29</v>
      </c>
      <c r="B20" s="374">
        <v>0</v>
      </c>
      <c r="C20" s="374">
        <v>0</v>
      </c>
      <c r="D20" s="387"/>
      <c r="E20" s="387"/>
      <c r="F20" s="377"/>
    </row>
    <row r="21" spans="1:6" ht="16.2" thickBot="1" x14ac:dyDescent="0.35">
      <c r="A21" s="517" t="s">
        <v>30</v>
      </c>
      <c r="B21" s="374">
        <f>6800+2296.19</f>
        <v>9096.19</v>
      </c>
      <c r="C21" s="374">
        <v>800</v>
      </c>
      <c r="D21" s="387" t="s">
        <v>2195</v>
      </c>
      <c r="E21" s="387"/>
      <c r="F21" s="377" t="s">
        <v>2196</v>
      </c>
    </row>
    <row r="22" spans="1:6" ht="16.2" thickBot="1" x14ac:dyDescent="0.35">
      <c r="A22" s="519" t="s">
        <v>2197</v>
      </c>
      <c r="B22" s="374">
        <v>6000</v>
      </c>
      <c r="C22" s="374">
        <v>0</v>
      </c>
      <c r="D22" s="387" t="s">
        <v>24</v>
      </c>
      <c r="E22" s="387"/>
      <c r="F22" s="377"/>
    </row>
    <row r="23" spans="1:6" ht="16.2" thickBot="1" x14ac:dyDescent="0.35">
      <c r="A23" s="519" t="s">
        <v>2198</v>
      </c>
      <c r="B23" s="374">
        <v>0</v>
      </c>
      <c r="C23" s="374">
        <v>2210</v>
      </c>
      <c r="D23" s="387" t="s">
        <v>24</v>
      </c>
      <c r="E23" s="387"/>
      <c r="F23" s="377"/>
    </row>
    <row r="24" spans="1:6" ht="16.2" thickBot="1" x14ac:dyDescent="0.35">
      <c r="A24" s="519"/>
      <c r="B24" s="374">
        <v>0</v>
      </c>
      <c r="C24" s="374">
        <v>0</v>
      </c>
      <c r="D24" s="387"/>
      <c r="E24" s="387"/>
      <c r="F24" s="377"/>
    </row>
    <row r="25" spans="1:6" ht="16.2" thickBot="1" x14ac:dyDescent="0.35">
      <c r="A25" s="519"/>
      <c r="B25" s="374">
        <v>0</v>
      </c>
      <c r="C25" s="374">
        <v>0</v>
      </c>
      <c r="D25" s="387"/>
      <c r="E25" s="387"/>
      <c r="F25" s="377"/>
    </row>
    <row r="26" spans="1:6" ht="16.2" thickBot="1" x14ac:dyDescent="0.35">
      <c r="A26" s="519"/>
      <c r="B26" s="374">
        <v>0</v>
      </c>
      <c r="C26" s="374">
        <v>0</v>
      </c>
      <c r="D26" s="387"/>
      <c r="E26" s="387"/>
      <c r="F26" s="377"/>
    </row>
    <row r="27" spans="1:6" ht="16.2" thickBot="1" x14ac:dyDescent="0.35">
      <c r="A27" s="378"/>
      <c r="B27" s="374">
        <v>0</v>
      </c>
      <c r="C27" s="374">
        <v>0</v>
      </c>
      <c r="D27" s="387"/>
      <c r="E27" s="387"/>
      <c r="F27" s="377"/>
    </row>
    <row r="28" spans="1:6" ht="16.2" thickBot="1" x14ac:dyDescent="0.35">
      <c r="A28" s="518" t="s">
        <v>32</v>
      </c>
      <c r="B28" s="379">
        <f>SUM(B15:B27)</f>
        <v>21596.190000000002</v>
      </c>
      <c r="C28" s="379">
        <f>SUM(C15:C27)</f>
        <v>3433</v>
      </c>
      <c r="D28" s="388"/>
      <c r="E28" s="388"/>
      <c r="F28" s="380"/>
    </row>
    <row r="29" spans="1:6" x14ac:dyDescent="0.3">
      <c r="C29" s="396">
        <f>SUM(B28:C28)</f>
        <v>25029.190000000002</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60A0-C654-4DE5-BD66-FC3DBB9E6593}">
  <dimension ref="A1:H33"/>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78.599999999999994" thickBot="1" x14ac:dyDescent="0.35">
      <c r="A2" s="3" t="s">
        <v>296</v>
      </c>
      <c r="B2" s="4">
        <v>750000</v>
      </c>
      <c r="C2" s="3" t="s">
        <v>1026</v>
      </c>
      <c r="D2" s="5">
        <v>6486695</v>
      </c>
      <c r="E2" s="3" t="s">
        <v>115</v>
      </c>
      <c r="F2" s="6" t="s">
        <v>420</v>
      </c>
      <c r="G2" s="5" t="s">
        <v>420</v>
      </c>
      <c r="H2" s="5" t="s">
        <v>420</v>
      </c>
    </row>
    <row r="3" spans="1:8" x14ac:dyDescent="0.3">
      <c r="D3" s="7" t="s">
        <v>620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5550000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5550000</v>
      </c>
    </row>
    <row r="13" spans="1:8" x14ac:dyDescent="0.3">
      <c r="A13" s="13"/>
      <c r="C13" s="10" t="s">
        <v>9</v>
      </c>
    </row>
    <row r="15" spans="1:8" ht="31.2" x14ac:dyDescent="0.3">
      <c r="A15" s="1" t="s">
        <v>17</v>
      </c>
      <c r="B15" s="14" t="s">
        <v>18</v>
      </c>
      <c r="C15" s="1" t="s">
        <v>19</v>
      </c>
      <c r="D15" s="1" t="s">
        <v>20</v>
      </c>
      <c r="E15" s="1" t="s">
        <v>21</v>
      </c>
      <c r="F15" s="1" t="s">
        <v>22</v>
      </c>
    </row>
    <row r="16" spans="1:8" ht="47.4" thickBot="1" x14ac:dyDescent="0.35">
      <c r="A16" s="15" t="s">
        <v>23</v>
      </c>
      <c r="B16" s="16">
        <v>4386</v>
      </c>
      <c r="C16" s="16">
        <v>21937</v>
      </c>
      <c r="D16" s="29" t="s">
        <v>24</v>
      </c>
      <c r="E16" s="17" t="s">
        <v>79</v>
      </c>
      <c r="F16" s="32" t="s">
        <v>1027</v>
      </c>
    </row>
    <row r="17" spans="1:6" ht="47.4" thickBot="1" x14ac:dyDescent="0.35">
      <c r="A17" s="15" t="s">
        <v>25</v>
      </c>
      <c r="B17" s="12">
        <v>96184</v>
      </c>
      <c r="C17" s="12">
        <v>96184</v>
      </c>
      <c r="D17" s="30" t="s">
        <v>24</v>
      </c>
      <c r="E17" s="19" t="s">
        <v>79</v>
      </c>
      <c r="F17" s="33" t="s">
        <v>1028</v>
      </c>
    </row>
    <row r="18" spans="1:6" ht="47.4" thickBot="1" x14ac:dyDescent="0.35">
      <c r="A18" s="15" t="s">
        <v>26</v>
      </c>
      <c r="B18" s="12">
        <v>7536</v>
      </c>
      <c r="C18" s="12">
        <v>13296</v>
      </c>
      <c r="D18" s="30" t="s">
        <v>24</v>
      </c>
      <c r="E18" s="19" t="s">
        <v>79</v>
      </c>
      <c r="F18" s="33" t="s">
        <v>1029</v>
      </c>
    </row>
    <row r="19" spans="1:6" ht="16.2" thickBot="1" x14ac:dyDescent="0.35">
      <c r="A19" s="15" t="s">
        <v>27</v>
      </c>
      <c r="B19" s="12">
        <v>0</v>
      </c>
      <c r="C19" s="12">
        <v>0</v>
      </c>
      <c r="D19" s="30"/>
      <c r="E19" s="19"/>
      <c r="F19" s="33"/>
    </row>
    <row r="20" spans="1:6" ht="16.2" thickBot="1" x14ac:dyDescent="0.35">
      <c r="A20" s="15" t="s">
        <v>28</v>
      </c>
      <c r="B20" s="12">
        <v>0</v>
      </c>
      <c r="C20" s="12">
        <v>0</v>
      </c>
      <c r="D20" s="30"/>
      <c r="E20" s="19"/>
      <c r="F20" s="33"/>
    </row>
    <row r="21" spans="1:6" ht="47.4" thickBot="1" x14ac:dyDescent="0.35">
      <c r="A21" s="15" t="s">
        <v>29</v>
      </c>
      <c r="B21" s="12">
        <v>14436</v>
      </c>
      <c r="C21" s="12">
        <v>18973</v>
      </c>
      <c r="D21" s="30" t="s">
        <v>24</v>
      </c>
      <c r="E21" s="19" t="s">
        <v>79</v>
      </c>
      <c r="F21" s="33" t="s">
        <v>1030</v>
      </c>
    </row>
    <row r="22" spans="1:6" ht="47.4" thickBot="1" x14ac:dyDescent="0.35">
      <c r="A22" s="15" t="s">
        <v>30</v>
      </c>
      <c r="B22" s="12">
        <v>5218</v>
      </c>
      <c r="C22" s="12">
        <v>8000</v>
      </c>
      <c r="D22" s="30" t="s">
        <v>24</v>
      </c>
      <c r="E22" s="19" t="s">
        <v>79</v>
      </c>
      <c r="F22" s="33" t="s">
        <v>1031</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127760</v>
      </c>
      <c r="C29" s="22">
        <v>158390</v>
      </c>
      <c r="D29" s="23"/>
      <c r="E29" s="23"/>
      <c r="F29" s="24"/>
    </row>
    <row r="31" spans="1:6" x14ac:dyDescent="0.3">
      <c r="B31" s="7" t="s">
        <v>2508</v>
      </c>
    </row>
    <row r="32" spans="1:6" x14ac:dyDescent="0.3">
      <c r="B32" s="7" t="s">
        <v>747</v>
      </c>
      <c r="C32" s="7">
        <v>-85296</v>
      </c>
    </row>
    <row r="33" spans="3:3" x14ac:dyDescent="0.3">
      <c r="C33" s="396">
        <f>SUM(C29:C32)</f>
        <v>73094</v>
      </c>
    </row>
  </sheetData>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EB71-4B35-47E3-BD99-18523EAE5FF8}">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1032</v>
      </c>
      <c r="B2" s="4">
        <v>1000000</v>
      </c>
      <c r="C2" s="3" t="s">
        <v>1033</v>
      </c>
      <c r="D2" s="5">
        <v>8300000</v>
      </c>
      <c r="E2" s="3" t="s">
        <v>525</v>
      </c>
      <c r="F2" s="6" t="s">
        <v>1034</v>
      </c>
      <c r="G2" s="5">
        <v>0</v>
      </c>
      <c r="H2" s="5">
        <v>1000000</v>
      </c>
    </row>
    <row r="3" spans="1:8" x14ac:dyDescent="0.3">
      <c r="D3" s="7" t="s">
        <v>1035</v>
      </c>
    </row>
    <row r="4" spans="1:8" x14ac:dyDescent="0.3">
      <c r="A4" s="8" t="s">
        <v>11</v>
      </c>
      <c r="D4" s="7" t="s">
        <v>1036</v>
      </c>
    </row>
    <row r="6" spans="1:8" ht="16.2" thickBot="1" x14ac:dyDescent="0.35">
      <c r="A6" s="9" t="s">
        <v>12</v>
      </c>
      <c r="B6" s="10" t="s">
        <v>9</v>
      </c>
    </row>
    <row r="7" spans="1:8" ht="16.2" thickBot="1" x14ac:dyDescent="0.35">
      <c r="A7" s="11" t="s">
        <v>51</v>
      </c>
      <c r="B7" s="12">
        <v>0</v>
      </c>
    </row>
    <row r="8" spans="1:8" ht="16.2" thickBot="1" x14ac:dyDescent="0.35">
      <c r="A8" s="11" t="s">
        <v>53</v>
      </c>
      <c r="B8" s="12">
        <v>2100000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2100000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10000</v>
      </c>
      <c r="C16" s="16">
        <v>15000</v>
      </c>
      <c r="D16" s="17" t="s">
        <v>525</v>
      </c>
      <c r="E16" s="17" t="s">
        <v>79</v>
      </c>
      <c r="F16" s="18" t="s">
        <v>1037</v>
      </c>
    </row>
    <row r="17" spans="1:6" ht="16.2" thickBot="1" x14ac:dyDescent="0.35">
      <c r="A17" s="15" t="s">
        <v>25</v>
      </c>
      <c r="B17" s="12">
        <v>5000</v>
      </c>
      <c r="C17" s="12">
        <v>20000</v>
      </c>
      <c r="D17" s="19" t="s">
        <v>525</v>
      </c>
      <c r="E17" s="19" t="s">
        <v>79</v>
      </c>
      <c r="F17" s="20" t="s">
        <v>1038</v>
      </c>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4000</v>
      </c>
      <c r="C21" s="12">
        <v>20000</v>
      </c>
      <c r="D21" s="19" t="s">
        <v>525</v>
      </c>
      <c r="E21" s="19" t="s">
        <v>79</v>
      </c>
      <c r="F21" s="20" t="s">
        <v>1039</v>
      </c>
    </row>
    <row r="22" spans="1:6" ht="16.2" thickBot="1" x14ac:dyDescent="0.35">
      <c r="A22" s="15" t="s">
        <v>30</v>
      </c>
      <c r="B22" s="12">
        <v>2500</v>
      </c>
      <c r="C22" s="12">
        <v>5000</v>
      </c>
      <c r="D22" s="19" t="s">
        <v>525</v>
      </c>
      <c r="E22" s="19" t="s">
        <v>79</v>
      </c>
      <c r="F22" s="20" t="s">
        <v>1040</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21500</v>
      </c>
      <c r="C29" s="22">
        <v>60000</v>
      </c>
      <c r="D29" s="23"/>
      <c r="E29" s="23"/>
      <c r="F29" s="24"/>
    </row>
  </sheetData>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2BB4-5B7F-4AF8-A9D7-D6671EBEF475}">
  <dimension ref="A1:H46"/>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5">
      <c r="A2" s="3" t="s">
        <v>1041</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3631.09</v>
      </c>
      <c r="C16" s="16">
        <v>8472.5433333333349</v>
      </c>
      <c r="D16" s="29" t="s">
        <v>24</v>
      </c>
      <c r="E16" s="17"/>
      <c r="F16" s="18"/>
    </row>
    <row r="17" spans="1:6" ht="16.2" thickBot="1" x14ac:dyDescent="0.35">
      <c r="A17" s="15" t="s">
        <v>25</v>
      </c>
      <c r="B17" s="12">
        <v>49253.29</v>
      </c>
      <c r="C17" s="12">
        <v>50253.29</v>
      </c>
      <c r="D17" s="30" t="s">
        <v>24</v>
      </c>
      <c r="E17" s="19"/>
      <c r="F17" s="20"/>
    </row>
    <row r="18" spans="1:6" ht="16.2" thickBot="1" x14ac:dyDescent="0.35">
      <c r="A18" s="15" t="s">
        <v>26</v>
      </c>
      <c r="B18" s="12">
        <v>0</v>
      </c>
      <c r="C18" s="12">
        <v>0</v>
      </c>
      <c r="D18" s="30"/>
      <c r="E18" s="19"/>
      <c r="F18" s="20"/>
    </row>
    <row r="19" spans="1:6" ht="16.2" thickBot="1" x14ac:dyDescent="0.35">
      <c r="A19" s="15" t="s">
        <v>27</v>
      </c>
      <c r="B19" s="12">
        <v>0</v>
      </c>
      <c r="C19" s="12">
        <v>0</v>
      </c>
      <c r="D19" s="30"/>
      <c r="E19" s="19"/>
      <c r="F19" s="20"/>
    </row>
    <row r="20" spans="1:6" ht="16.2" thickBot="1" x14ac:dyDescent="0.35">
      <c r="A20" s="15" t="s">
        <v>28</v>
      </c>
      <c r="B20" s="12">
        <v>0</v>
      </c>
      <c r="C20" s="12">
        <v>0</v>
      </c>
      <c r="D20" s="30"/>
      <c r="E20" s="19"/>
      <c r="F20" s="20"/>
    </row>
    <row r="21" spans="1:6" ht="16.2" thickBot="1" x14ac:dyDescent="0.35">
      <c r="A21" s="15" t="s">
        <v>29</v>
      </c>
      <c r="B21" s="12">
        <v>0</v>
      </c>
      <c r="C21" s="12">
        <v>0</v>
      </c>
      <c r="D21" s="30"/>
      <c r="E21" s="19"/>
      <c r="F21" s="20"/>
    </row>
    <row r="22" spans="1:6" ht="16.2" thickBot="1" x14ac:dyDescent="0.35">
      <c r="A22" s="15" t="s">
        <v>30</v>
      </c>
      <c r="B22" s="12">
        <v>0</v>
      </c>
      <c r="C22" s="12">
        <v>0</v>
      </c>
      <c r="D22" s="30"/>
      <c r="E22" s="19"/>
      <c r="F22" s="20"/>
    </row>
    <row r="23" spans="1:6" ht="16.2" thickBot="1" x14ac:dyDescent="0.35">
      <c r="A23" s="15" t="s">
        <v>1042</v>
      </c>
      <c r="B23" s="12">
        <v>313.83999999999997</v>
      </c>
      <c r="C23" s="12">
        <v>813.83999999999992</v>
      </c>
      <c r="D23" s="30" t="s">
        <v>24</v>
      </c>
      <c r="E23" s="19"/>
      <c r="F23" s="20"/>
    </row>
    <row r="24" spans="1:6" ht="16.2" thickBot="1" x14ac:dyDescent="0.35">
      <c r="A24" s="15" t="s">
        <v>1043</v>
      </c>
      <c r="B24" s="12">
        <v>6956.02</v>
      </c>
      <c r="C24" s="12">
        <v>13956.02</v>
      </c>
      <c r="D24" s="30" t="s">
        <v>24</v>
      </c>
      <c r="E24" s="19"/>
      <c r="F24" s="20"/>
    </row>
    <row r="25" spans="1:6" ht="16.2" thickBot="1" x14ac:dyDescent="0.35">
      <c r="A25" s="15" t="s">
        <v>1044</v>
      </c>
      <c r="B25" s="12">
        <v>3038.9</v>
      </c>
      <c r="C25" s="12">
        <v>3038.9</v>
      </c>
      <c r="D25" s="30" t="s">
        <v>24</v>
      </c>
      <c r="E25" s="19"/>
      <c r="F25" s="20"/>
    </row>
    <row r="26" spans="1:6" ht="16.2" thickBot="1" x14ac:dyDescent="0.35">
      <c r="A26" s="15" t="s">
        <v>1045</v>
      </c>
      <c r="B26" s="12">
        <v>137.22</v>
      </c>
      <c r="C26" s="12">
        <v>137.22</v>
      </c>
      <c r="D26" s="30" t="s">
        <v>24</v>
      </c>
      <c r="E26" s="19"/>
      <c r="F26" s="20"/>
    </row>
    <row r="27" spans="1:6" ht="16.2" thickBot="1" x14ac:dyDescent="0.35">
      <c r="A27" s="15"/>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63330.360000000008</v>
      </c>
      <c r="C29" s="22">
        <v>76671.813333333324</v>
      </c>
      <c r="D29" s="23"/>
      <c r="E29" s="23"/>
      <c r="F29" s="24"/>
    </row>
    <row r="31" spans="1:6" x14ac:dyDescent="0.3">
      <c r="B31" s="141"/>
      <c r="C31" s="74"/>
    </row>
    <row r="33" spans="3:3" x14ac:dyDescent="0.3">
      <c r="C33" s="62"/>
    </row>
    <row r="34" spans="3:3" x14ac:dyDescent="0.3">
      <c r="C34" s="62"/>
    </row>
    <row r="35" spans="3:3" x14ac:dyDescent="0.3">
      <c r="C35" s="62"/>
    </row>
    <row r="36" spans="3:3" x14ac:dyDescent="0.3">
      <c r="C36" s="62"/>
    </row>
    <row r="37" spans="3:3" x14ac:dyDescent="0.3">
      <c r="C37" s="62"/>
    </row>
    <row r="38" spans="3:3" x14ac:dyDescent="0.3">
      <c r="C38" s="62"/>
    </row>
    <row r="39" spans="3:3" x14ac:dyDescent="0.3">
      <c r="C39" s="62"/>
    </row>
    <row r="40" spans="3:3" x14ac:dyDescent="0.3">
      <c r="C40" s="62"/>
    </row>
    <row r="41" spans="3:3" x14ac:dyDescent="0.3">
      <c r="C41" s="62"/>
    </row>
    <row r="42" spans="3:3" x14ac:dyDescent="0.3">
      <c r="C42" s="62"/>
    </row>
    <row r="43" spans="3:3" x14ac:dyDescent="0.3">
      <c r="C43" s="62"/>
    </row>
    <row r="44" spans="3:3" x14ac:dyDescent="0.3">
      <c r="C44" s="62"/>
    </row>
    <row r="45" spans="3:3" x14ac:dyDescent="0.3">
      <c r="C45" s="62"/>
    </row>
    <row r="46" spans="3:3" x14ac:dyDescent="0.3">
      <c r="C46" s="62"/>
    </row>
  </sheetData>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03E6-4275-4AFF-9342-9BCEE417251F}">
  <dimension ref="A1:H31"/>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1046</v>
      </c>
      <c r="B2" s="4">
        <v>98148</v>
      </c>
      <c r="C2" s="3" t="s">
        <v>1047</v>
      </c>
      <c r="D2" s="5">
        <v>9750710</v>
      </c>
      <c r="E2" s="3" t="s">
        <v>10</v>
      </c>
      <c r="F2" s="6" t="s">
        <v>420</v>
      </c>
      <c r="G2" s="5">
        <v>0</v>
      </c>
      <c r="H2" s="5">
        <v>0</v>
      </c>
    </row>
    <row r="4" spans="1:8" x14ac:dyDescent="0.3">
      <c r="A4" s="8" t="s">
        <v>11</v>
      </c>
    </row>
    <row r="6" spans="1:8" ht="16.2" thickBot="1" x14ac:dyDescent="0.35">
      <c r="A6" s="9" t="s">
        <v>12</v>
      </c>
      <c r="B6" s="10" t="s">
        <v>9</v>
      </c>
    </row>
    <row r="7" spans="1:8" ht="16.2" thickBot="1" x14ac:dyDescent="0.35">
      <c r="A7" s="11" t="s">
        <v>13</v>
      </c>
      <c r="B7" s="12">
        <v>89948</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89948</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3640</v>
      </c>
      <c r="C15" s="16">
        <v>9115</v>
      </c>
      <c r="D15" s="17" t="s">
        <v>10</v>
      </c>
      <c r="E15" s="17"/>
      <c r="F15" s="18" t="s">
        <v>1048</v>
      </c>
    </row>
    <row r="16" spans="1:8" ht="16.2" thickBot="1" x14ac:dyDescent="0.35">
      <c r="A16" s="15" t="s">
        <v>25</v>
      </c>
      <c r="B16" s="12">
        <v>18802</v>
      </c>
      <c r="C16" s="12">
        <v>34105</v>
      </c>
      <c r="D16" s="19" t="s">
        <v>10</v>
      </c>
      <c r="E16" s="19"/>
      <c r="F16" s="20" t="s">
        <v>1049</v>
      </c>
    </row>
    <row r="17" spans="1:6" ht="16.2" thickBot="1" x14ac:dyDescent="0.35">
      <c r="A17" s="15" t="s">
        <v>26</v>
      </c>
      <c r="B17" s="12">
        <v>16755.330000000002</v>
      </c>
      <c r="C17" s="12">
        <v>27882.37</v>
      </c>
      <c r="D17" s="19" t="s">
        <v>10</v>
      </c>
      <c r="E17" s="19"/>
      <c r="F17" s="20" t="s">
        <v>1050</v>
      </c>
    </row>
    <row r="18" spans="1:6" ht="16.2" thickBot="1" x14ac:dyDescent="0.35">
      <c r="A18" s="15" t="s">
        <v>1051</v>
      </c>
      <c r="B18" s="12">
        <v>0</v>
      </c>
      <c r="C18" s="12">
        <v>872</v>
      </c>
      <c r="D18" s="19"/>
      <c r="E18" s="19"/>
      <c r="F18" s="20" t="s">
        <v>1052</v>
      </c>
    </row>
    <row r="19" spans="1:6" ht="16.2" thickBot="1" x14ac:dyDescent="0.35">
      <c r="A19" s="15" t="s">
        <v>28</v>
      </c>
      <c r="B19" s="12">
        <v>0</v>
      </c>
      <c r="C19" s="12">
        <v>0</v>
      </c>
      <c r="D19" s="19"/>
      <c r="E19" s="19"/>
      <c r="F19" s="20"/>
    </row>
    <row r="20" spans="1:6" ht="16.2" thickBot="1" x14ac:dyDescent="0.35">
      <c r="A20" s="15" t="s">
        <v>29</v>
      </c>
      <c r="B20" s="12">
        <v>2826.92</v>
      </c>
      <c r="C20" s="12">
        <v>2826.92</v>
      </c>
      <c r="D20" s="19" t="s">
        <v>24</v>
      </c>
      <c r="E20" s="19"/>
      <c r="F20" s="20" t="s">
        <v>1053</v>
      </c>
    </row>
    <row r="21" spans="1:6" ht="16.2" thickBot="1" x14ac:dyDescent="0.35">
      <c r="A21" s="15" t="s">
        <v>30</v>
      </c>
      <c r="B21" s="12">
        <v>22365.88</v>
      </c>
      <c r="C21" s="12">
        <v>27931.279999999999</v>
      </c>
      <c r="D21" s="19" t="s">
        <v>24</v>
      </c>
      <c r="E21" s="19"/>
      <c r="F21" s="20" t="s">
        <v>1054</v>
      </c>
    </row>
    <row r="22" spans="1:6" ht="16.2" thickBot="1" x14ac:dyDescent="0.35">
      <c r="A22" s="15" t="s">
        <v>1055</v>
      </c>
      <c r="B22" s="12">
        <v>16285.75</v>
      </c>
      <c r="C22" s="12">
        <v>16285.75</v>
      </c>
      <c r="D22" s="19" t="s">
        <v>24</v>
      </c>
      <c r="E22" s="19"/>
      <c r="F22" s="20" t="s">
        <v>1054</v>
      </c>
    </row>
    <row r="23" spans="1:6" ht="16.2" thickBot="1" x14ac:dyDescent="0.35">
      <c r="A23" s="15" t="s">
        <v>1056</v>
      </c>
      <c r="B23" s="12">
        <v>825</v>
      </c>
      <c r="C23" s="12">
        <v>2485</v>
      </c>
      <c r="D23" s="19" t="s">
        <v>24</v>
      </c>
      <c r="E23" s="19"/>
      <c r="F23" s="20" t="s">
        <v>1057</v>
      </c>
    </row>
    <row r="24" spans="1:6" ht="16.2" thickBot="1" x14ac:dyDescent="0.35">
      <c r="A24" s="15" t="s">
        <v>929</v>
      </c>
      <c r="B24" s="12">
        <v>1017.16</v>
      </c>
      <c r="C24" s="12">
        <v>3175.16</v>
      </c>
      <c r="D24" s="19" t="s">
        <v>24</v>
      </c>
      <c r="E24" s="19"/>
      <c r="F24" s="20" t="s">
        <v>1058</v>
      </c>
    </row>
    <row r="25" spans="1:6" ht="16.2" thickBot="1" x14ac:dyDescent="0.35">
      <c r="A25" s="15" t="s">
        <v>1059</v>
      </c>
      <c r="B25" s="12">
        <v>875</v>
      </c>
      <c r="C25" s="12">
        <v>15000</v>
      </c>
      <c r="D25" s="19" t="s">
        <v>24</v>
      </c>
      <c r="E25" s="19"/>
      <c r="F25" s="20" t="s">
        <v>1060</v>
      </c>
    </row>
    <row r="26" spans="1:6" ht="16.2" thickBot="1" x14ac:dyDescent="0.35">
      <c r="A26" s="15" t="s">
        <v>1061</v>
      </c>
      <c r="B26" s="12">
        <v>150</v>
      </c>
      <c r="C26" s="12">
        <v>0</v>
      </c>
      <c r="D26" s="19"/>
      <c r="E26" s="19"/>
      <c r="F26" s="20" t="s">
        <v>132</v>
      </c>
    </row>
    <row r="27" spans="1:6" ht="16.2" thickBot="1" x14ac:dyDescent="0.35">
      <c r="A27" s="21"/>
      <c r="B27" s="12">
        <v>0</v>
      </c>
      <c r="C27" s="12">
        <v>0</v>
      </c>
      <c r="D27" s="19"/>
      <c r="E27" s="19"/>
      <c r="F27" s="20"/>
    </row>
    <row r="28" spans="1:6" ht="16.2" thickBot="1" x14ac:dyDescent="0.35">
      <c r="A28" s="13" t="s">
        <v>32</v>
      </c>
      <c r="B28" s="22">
        <v>83543.040000000008</v>
      </c>
      <c r="C28" s="22">
        <v>139678.47999999998</v>
      </c>
      <c r="D28" s="23"/>
      <c r="E28" s="23"/>
      <c r="F28" s="24"/>
    </row>
    <row r="30" spans="1:6" x14ac:dyDescent="0.3">
      <c r="B30" s="7" t="s">
        <v>2513</v>
      </c>
      <c r="C30" s="7">
        <v>-7520</v>
      </c>
    </row>
    <row r="31" spans="1:6" x14ac:dyDescent="0.3">
      <c r="B31" s="7" t="s">
        <v>747</v>
      </c>
      <c r="C31" s="396">
        <f>SUM(C28:C30)</f>
        <v>132158.47999999998</v>
      </c>
    </row>
  </sheetData>
  <pageMargins left="0.7" right="0.7" top="0.75" bottom="0.75" header="0.3" footer="0.3"/>
  <pageSetup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15D6-342D-4BDE-B5A8-7AC8B3CC7FA8}">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2055</v>
      </c>
      <c r="B2" s="390">
        <v>1700000</v>
      </c>
      <c r="C2" s="389" t="s">
        <v>2056</v>
      </c>
      <c r="D2" s="391">
        <v>2898442</v>
      </c>
      <c r="E2" s="389" t="s">
        <v>10</v>
      </c>
      <c r="F2" s="392" t="s">
        <v>2057</v>
      </c>
      <c r="G2" s="391">
        <v>0</v>
      </c>
      <c r="H2" s="391">
        <v>0</v>
      </c>
    </row>
    <row r="4" spans="1:8" x14ac:dyDescent="0.3">
      <c r="A4" s="386" t="s">
        <v>11</v>
      </c>
      <c r="G4" s="372" t="s">
        <v>2058</v>
      </c>
    </row>
    <row r="5" spans="1:8" x14ac:dyDescent="0.3">
      <c r="G5" s="372" t="s">
        <v>2059</v>
      </c>
    </row>
    <row r="6" spans="1:8" ht="16.2" thickBot="1" x14ac:dyDescent="0.35">
      <c r="A6" s="381" t="s">
        <v>12</v>
      </c>
      <c r="B6" s="10" t="s">
        <v>9</v>
      </c>
      <c r="G6" s="372" t="s">
        <v>2060</v>
      </c>
    </row>
    <row r="7" spans="1:8" ht="16.2" thickBot="1" x14ac:dyDescent="0.35">
      <c r="A7" s="450" t="s">
        <v>51</v>
      </c>
      <c r="B7" s="374">
        <v>0</v>
      </c>
      <c r="G7" s="372" t="s">
        <v>2061</v>
      </c>
    </row>
    <row r="8" spans="1:8" ht="16.2" thickBot="1" x14ac:dyDescent="0.35">
      <c r="A8" s="450" t="s">
        <v>53</v>
      </c>
      <c r="B8" s="374">
        <v>1700000</v>
      </c>
      <c r="G8" s="372" t="s">
        <v>2062</v>
      </c>
    </row>
    <row r="9" spans="1:8" ht="16.2" thickBot="1" x14ac:dyDescent="0.35">
      <c r="A9" s="450" t="s">
        <v>55</v>
      </c>
      <c r="B9" s="374">
        <v>0</v>
      </c>
    </row>
    <row r="10" spans="1:8" ht="16.2" thickBot="1" x14ac:dyDescent="0.35">
      <c r="A10" s="450" t="s">
        <v>57</v>
      </c>
      <c r="B10" s="374">
        <v>0</v>
      </c>
    </row>
    <row r="11" spans="1:8" ht="16.2" thickBot="1" x14ac:dyDescent="0.35">
      <c r="A11" s="450"/>
      <c r="B11" s="374">
        <v>0</v>
      </c>
    </row>
    <row r="12" spans="1:8" ht="16.2" thickBot="1" x14ac:dyDescent="0.35">
      <c r="A12" s="450"/>
      <c r="B12" s="10"/>
      <c r="C12" s="374">
        <f>SUM(B7:B11)</f>
        <v>1700000</v>
      </c>
    </row>
    <row r="13" spans="1:8" x14ac:dyDescent="0.3">
      <c r="A13" s="449"/>
      <c r="C13" s="10" t="s">
        <v>9</v>
      </c>
    </row>
    <row r="15" spans="1:8" ht="31.2" x14ac:dyDescent="0.3">
      <c r="A15" s="384" t="s">
        <v>17</v>
      </c>
      <c r="B15" s="385" t="s">
        <v>18</v>
      </c>
      <c r="C15" s="384" t="s">
        <v>19</v>
      </c>
      <c r="D15" s="384" t="s">
        <v>20</v>
      </c>
      <c r="E15" s="384" t="s">
        <v>21</v>
      </c>
      <c r="F15" s="384" t="s">
        <v>22</v>
      </c>
    </row>
    <row r="16" spans="1:8" ht="16.2" thickBot="1" x14ac:dyDescent="0.35">
      <c r="A16" s="448" t="s">
        <v>23</v>
      </c>
      <c r="B16" s="382">
        <v>7640</v>
      </c>
      <c r="C16" s="382">
        <v>20071</v>
      </c>
      <c r="D16" s="359" t="s">
        <v>24</v>
      </c>
      <c r="E16" s="359" t="s">
        <v>79</v>
      </c>
      <c r="F16" s="383" t="s">
        <v>2063</v>
      </c>
    </row>
    <row r="17" spans="1:6" ht="16.2" thickBot="1" x14ac:dyDescent="0.35">
      <c r="A17" s="448" t="s">
        <v>25</v>
      </c>
      <c r="B17" s="374">
        <v>10620</v>
      </c>
      <c r="C17" s="374">
        <v>10620</v>
      </c>
      <c r="D17" s="387" t="s">
        <v>2064</v>
      </c>
      <c r="E17" s="387" t="s">
        <v>2065</v>
      </c>
      <c r="F17" s="377" t="s">
        <v>2066</v>
      </c>
    </row>
    <row r="18" spans="1:6" ht="16.2" thickBot="1" x14ac:dyDescent="0.35">
      <c r="A18" s="448" t="s">
        <v>26</v>
      </c>
      <c r="B18" s="374">
        <v>0</v>
      </c>
      <c r="C18" s="374">
        <v>0</v>
      </c>
      <c r="D18" s="387"/>
      <c r="E18" s="387" t="s">
        <v>2067</v>
      </c>
      <c r="F18" s="377"/>
    </row>
    <row r="19" spans="1:6" ht="16.2" thickBot="1" x14ac:dyDescent="0.35">
      <c r="A19" s="448" t="s">
        <v>27</v>
      </c>
      <c r="B19" s="374">
        <v>0</v>
      </c>
      <c r="C19" s="374">
        <v>0</v>
      </c>
      <c r="D19" s="387"/>
      <c r="E19" s="387"/>
      <c r="F19" s="377"/>
    </row>
    <row r="20" spans="1:6" ht="16.2" thickBot="1" x14ac:dyDescent="0.35">
      <c r="A20" s="448" t="s">
        <v>28</v>
      </c>
      <c r="B20" s="374">
        <v>0</v>
      </c>
      <c r="C20" s="374">
        <v>0</v>
      </c>
      <c r="D20" s="387"/>
      <c r="E20" s="387"/>
      <c r="F20" s="377"/>
    </row>
    <row r="21" spans="1:6" ht="16.2" thickBot="1" x14ac:dyDescent="0.35">
      <c r="A21" s="448" t="s">
        <v>29</v>
      </c>
      <c r="B21" s="374">
        <v>47109</v>
      </c>
      <c r="C21" s="374">
        <v>98120</v>
      </c>
      <c r="D21" s="387" t="s">
        <v>24</v>
      </c>
      <c r="E21" s="387" t="s">
        <v>79</v>
      </c>
      <c r="F21" s="377" t="s">
        <v>2068</v>
      </c>
    </row>
    <row r="22" spans="1:6" ht="16.2" thickBot="1" x14ac:dyDescent="0.35">
      <c r="A22" s="448" t="s">
        <v>30</v>
      </c>
      <c r="B22" s="374">
        <v>0</v>
      </c>
      <c r="C22" s="374">
        <v>0</v>
      </c>
      <c r="D22" s="387"/>
      <c r="E22" s="387"/>
      <c r="F22" s="377"/>
    </row>
    <row r="23" spans="1:6" ht="16.2" thickBot="1" x14ac:dyDescent="0.35">
      <c r="A23" s="450"/>
      <c r="B23" s="374">
        <v>0</v>
      </c>
      <c r="C23" s="374">
        <v>0</v>
      </c>
      <c r="D23" s="387"/>
      <c r="E23" s="387"/>
      <c r="F23" s="377"/>
    </row>
    <row r="24" spans="1:6" ht="16.2" thickBot="1" x14ac:dyDescent="0.35">
      <c r="A24" s="450"/>
      <c r="B24" s="374">
        <v>0</v>
      </c>
      <c r="C24" s="374">
        <v>0</v>
      </c>
      <c r="D24" s="387"/>
      <c r="E24" s="387"/>
      <c r="F24" s="377"/>
    </row>
    <row r="25" spans="1:6" ht="16.2" thickBot="1" x14ac:dyDescent="0.35">
      <c r="A25" s="450"/>
      <c r="B25" s="374">
        <v>0</v>
      </c>
      <c r="C25" s="374">
        <v>0</v>
      </c>
      <c r="D25" s="387"/>
      <c r="E25" s="387"/>
      <c r="F25" s="377"/>
    </row>
    <row r="26" spans="1:6" ht="16.2" thickBot="1" x14ac:dyDescent="0.35">
      <c r="A26" s="450"/>
      <c r="B26" s="374">
        <v>0</v>
      </c>
      <c r="C26" s="374">
        <v>0</v>
      </c>
      <c r="D26" s="387"/>
      <c r="E26" s="387"/>
      <c r="F26" s="377"/>
    </row>
    <row r="27" spans="1:6" ht="16.2" thickBot="1" x14ac:dyDescent="0.35">
      <c r="A27" s="450"/>
      <c r="B27" s="374">
        <v>0</v>
      </c>
      <c r="C27" s="374">
        <v>0</v>
      </c>
      <c r="D27" s="387"/>
      <c r="E27" s="387"/>
      <c r="F27" s="377"/>
    </row>
    <row r="28" spans="1:6" ht="16.2" thickBot="1" x14ac:dyDescent="0.35">
      <c r="A28" s="378"/>
      <c r="B28" s="374">
        <v>0</v>
      </c>
      <c r="C28" s="374">
        <v>0</v>
      </c>
      <c r="D28" s="387"/>
      <c r="E28" s="387"/>
      <c r="F28" s="377"/>
    </row>
    <row r="29" spans="1:6" ht="16.2" thickBot="1" x14ac:dyDescent="0.35">
      <c r="A29" s="449" t="s">
        <v>32</v>
      </c>
      <c r="B29" s="379">
        <f>SUM(B16:B28)</f>
        <v>65369</v>
      </c>
      <c r="C29" s="379">
        <f>SUM(C16:C28)</f>
        <v>128811</v>
      </c>
      <c r="D29" s="388"/>
      <c r="E29" s="388"/>
      <c r="F29" s="380"/>
    </row>
  </sheetData>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ED0A2-571C-434F-86F2-AD5817ACE3D6}">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300</v>
      </c>
      <c r="B2" s="4">
        <v>8317</v>
      </c>
      <c r="C2" s="3" t="s">
        <v>1062</v>
      </c>
      <c r="D2" s="198">
        <v>1715100</v>
      </c>
      <c r="E2" s="3" t="s">
        <v>24</v>
      </c>
      <c r="F2" s="6"/>
      <c r="G2" s="5">
        <v>0</v>
      </c>
      <c r="H2" s="5">
        <v>0</v>
      </c>
    </row>
    <row r="4" spans="1:8" x14ac:dyDescent="0.3">
      <c r="A4" s="8" t="s">
        <v>11</v>
      </c>
    </row>
    <row r="6" spans="1:8" ht="16.2" thickBot="1" x14ac:dyDescent="0.35">
      <c r="A6" s="9" t="s">
        <v>12</v>
      </c>
      <c r="B6" s="10" t="s">
        <v>9</v>
      </c>
    </row>
    <row r="7" spans="1:8" ht="16.2" thickBot="1" x14ac:dyDescent="0.35">
      <c r="A7" s="11" t="s">
        <v>13</v>
      </c>
      <c r="B7" s="12">
        <v>0</v>
      </c>
      <c r="C7" s="7" t="s">
        <v>48</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3650</v>
      </c>
      <c r="C15" s="16">
        <v>4750</v>
      </c>
      <c r="D15" s="17" t="s">
        <v>24</v>
      </c>
      <c r="E15" s="17" t="s">
        <v>1063</v>
      </c>
      <c r="F15" s="18" t="s">
        <v>1064</v>
      </c>
    </row>
    <row r="16" spans="1:8" ht="16.2" thickBot="1" x14ac:dyDescent="0.35">
      <c r="A16" s="15" t="s">
        <v>25</v>
      </c>
      <c r="B16" s="12">
        <v>32770</v>
      </c>
      <c r="C16" s="12">
        <v>33750</v>
      </c>
      <c r="D16" s="19" t="s">
        <v>24</v>
      </c>
      <c r="E16" s="19" t="s">
        <v>1063</v>
      </c>
      <c r="F16" s="20" t="s">
        <v>1065</v>
      </c>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1750</v>
      </c>
      <c r="C20" s="12">
        <v>3500</v>
      </c>
      <c r="D20" s="19" t="s">
        <v>24</v>
      </c>
      <c r="E20" s="19" t="s">
        <v>1063</v>
      </c>
      <c r="F20" s="20" t="s">
        <v>1066</v>
      </c>
    </row>
    <row r="21" spans="1:6" ht="16.2" thickBot="1" x14ac:dyDescent="0.35">
      <c r="A21" s="15" t="s">
        <v>30</v>
      </c>
      <c r="B21" s="12">
        <v>250</v>
      </c>
      <c r="C21" s="12">
        <v>400</v>
      </c>
      <c r="D21" s="19" t="s">
        <v>24</v>
      </c>
      <c r="E21" s="19" t="s">
        <v>1063</v>
      </c>
      <c r="F21" s="20" t="s">
        <v>1067</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38420</v>
      </c>
      <c r="C28" s="22">
        <v>42400</v>
      </c>
      <c r="D28" s="23"/>
      <c r="E28" s="23"/>
      <c r="F28" s="24"/>
    </row>
  </sheetData>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3F76-E4C9-4159-A735-33150BC05A55}">
  <dimension ref="A1:H34"/>
  <sheetViews>
    <sheetView topLeftCell="A13" workbookViewId="0">
      <selection activeCell="A34" sqref="A34"/>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1068</v>
      </c>
      <c r="B2" s="4">
        <v>140000</v>
      </c>
      <c r="C2" s="3" t="s">
        <v>1069</v>
      </c>
      <c r="D2" s="5">
        <v>6646502</v>
      </c>
      <c r="E2" s="3" t="s">
        <v>24</v>
      </c>
      <c r="F2" s="6" t="s">
        <v>1070</v>
      </c>
      <c r="G2" s="5" t="s">
        <v>1071</v>
      </c>
      <c r="H2" s="5" t="s">
        <v>1072</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30000</v>
      </c>
    </row>
    <row r="10" spans="1:8" ht="16.2" thickBot="1" x14ac:dyDescent="0.35">
      <c r="A10" s="11" t="s">
        <v>57</v>
      </c>
      <c r="B10" s="12">
        <v>30000</v>
      </c>
    </row>
    <row r="11" spans="1:8" ht="16.2" thickBot="1" x14ac:dyDescent="0.35">
      <c r="A11" s="11"/>
      <c r="B11" s="12">
        <v>0</v>
      </c>
    </row>
    <row r="12" spans="1:8" ht="16.2" thickBot="1" x14ac:dyDescent="0.35">
      <c r="A12" s="11"/>
      <c r="B12" s="10"/>
      <c r="C12" s="12">
        <v>60000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1942</v>
      </c>
      <c r="C16" s="16">
        <v>8500</v>
      </c>
      <c r="D16" s="17" t="s">
        <v>525</v>
      </c>
      <c r="E16" s="17" t="s">
        <v>1073</v>
      </c>
      <c r="F16" s="18" t="s">
        <v>1074</v>
      </c>
    </row>
    <row r="17" spans="1:6" ht="16.2" thickBot="1" x14ac:dyDescent="0.35">
      <c r="A17" s="15" t="s">
        <v>25</v>
      </c>
      <c r="B17" s="12">
        <v>26569</v>
      </c>
      <c r="C17" s="12">
        <v>93853</v>
      </c>
      <c r="D17" s="19" t="s">
        <v>525</v>
      </c>
      <c r="E17" s="19" t="s">
        <v>1075</v>
      </c>
      <c r="F17" s="20" t="s">
        <v>1076</v>
      </c>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952.78500000000008</v>
      </c>
      <c r="C21" s="12">
        <v>952.78500000000008</v>
      </c>
      <c r="D21" s="19" t="s">
        <v>525</v>
      </c>
      <c r="E21" s="19" t="s">
        <v>79</v>
      </c>
      <c r="F21" s="20" t="s">
        <v>1077</v>
      </c>
    </row>
    <row r="22" spans="1:6" ht="16.2" thickBot="1" x14ac:dyDescent="0.35">
      <c r="A22" s="15" t="s">
        <v>30</v>
      </c>
      <c r="B22" s="12">
        <v>6804</v>
      </c>
      <c r="C22" s="12">
        <v>10750</v>
      </c>
      <c r="D22" s="19" t="s">
        <v>525</v>
      </c>
      <c r="E22" s="19" t="s">
        <v>1078</v>
      </c>
      <c r="F22" s="20" t="s">
        <v>1079</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36267.785000000003</v>
      </c>
      <c r="C29" s="22">
        <v>114055.785</v>
      </c>
      <c r="D29" s="23"/>
      <c r="E29" s="23"/>
      <c r="F29" s="24"/>
    </row>
    <row r="31" spans="1:6" x14ac:dyDescent="0.3">
      <c r="A31" s="7" t="s">
        <v>2532</v>
      </c>
      <c r="C31" s="10">
        <v>-93703</v>
      </c>
      <c r="D31" s="7" t="s">
        <v>2533</v>
      </c>
    </row>
    <row r="32" spans="1:6" x14ac:dyDescent="0.3">
      <c r="A32" s="7" t="s">
        <v>2534</v>
      </c>
      <c r="C32" s="10">
        <v>6900</v>
      </c>
      <c r="D32" s="7" t="s">
        <v>2533</v>
      </c>
    </row>
    <row r="34" spans="3:3" x14ac:dyDescent="0.3">
      <c r="C34" s="74">
        <f>SUM(C29:C32)</f>
        <v>27252.785000000003</v>
      </c>
    </row>
  </sheetData>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BDC8C-659B-40D6-A9F7-7237748EE578}">
  <dimension ref="A1:H31"/>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3.5546875" style="7" customWidth="1"/>
    <col min="6" max="6" width="36.5546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78.599999999999994" thickBot="1" x14ac:dyDescent="0.35">
      <c r="A2" s="3" t="s">
        <v>301</v>
      </c>
      <c r="B2" s="4">
        <v>22000</v>
      </c>
      <c r="C2" s="3" t="s">
        <v>1080</v>
      </c>
      <c r="D2" s="198">
        <v>2668813</v>
      </c>
      <c r="E2" s="3" t="s">
        <v>24</v>
      </c>
      <c r="F2" s="6" t="s">
        <v>1081</v>
      </c>
      <c r="G2" s="5">
        <v>0</v>
      </c>
      <c r="H2" s="5">
        <v>0</v>
      </c>
    </row>
    <row r="4" spans="1:8" x14ac:dyDescent="0.3">
      <c r="A4" s="8"/>
    </row>
    <row r="6" spans="1:8" ht="16.2" thickBot="1" x14ac:dyDescent="0.35">
      <c r="A6" s="9" t="s">
        <v>12</v>
      </c>
      <c r="B6" s="10" t="s">
        <v>9</v>
      </c>
    </row>
    <row r="7" spans="1:8" ht="16.2" thickBot="1" x14ac:dyDescent="0.35">
      <c r="A7" s="11" t="s">
        <v>13</v>
      </c>
      <c r="B7" s="264">
        <v>3250</v>
      </c>
    </row>
    <row r="8" spans="1:8" ht="16.2" thickBot="1" x14ac:dyDescent="0.35">
      <c r="A8" s="11" t="s">
        <v>14</v>
      </c>
      <c r="B8" s="12">
        <v>0</v>
      </c>
    </row>
    <row r="9" spans="1:8" ht="16.2" thickBot="1" x14ac:dyDescent="0.35">
      <c r="A9" s="11"/>
      <c r="B9" s="12">
        <v>0</v>
      </c>
    </row>
    <row r="10" spans="1:8" ht="16.2" thickBot="1" x14ac:dyDescent="0.35">
      <c r="A10" s="11"/>
      <c r="B10" s="12">
        <v>25250</v>
      </c>
    </row>
    <row r="11" spans="1:8" ht="16.2" thickBot="1" x14ac:dyDescent="0.35">
      <c r="A11" s="11"/>
      <c r="B11" s="10"/>
      <c r="C11" s="12">
        <v>28500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1872</v>
      </c>
      <c r="C15" s="16">
        <v>2400</v>
      </c>
      <c r="D15" s="29" t="s">
        <v>24</v>
      </c>
      <c r="E15" s="17"/>
      <c r="F15" s="18"/>
    </row>
    <row r="16" spans="1:8" ht="16.2" thickBot="1" x14ac:dyDescent="0.35">
      <c r="A16" s="15" t="s">
        <v>25</v>
      </c>
      <c r="B16" s="12">
        <v>41047</v>
      </c>
      <c r="C16" s="12">
        <v>4750</v>
      </c>
      <c r="D16" s="30" t="s">
        <v>24</v>
      </c>
      <c r="E16" s="19"/>
      <c r="F16" s="20" t="s">
        <v>1082</v>
      </c>
    </row>
    <row r="17" spans="1:6" ht="31.8" thickBot="1" x14ac:dyDescent="0.35">
      <c r="A17" s="15" t="s">
        <v>26</v>
      </c>
      <c r="B17" s="12">
        <v>16163</v>
      </c>
      <c r="C17" s="12">
        <v>19000</v>
      </c>
      <c r="D17" s="30" t="s">
        <v>24</v>
      </c>
      <c r="E17" s="265" t="s">
        <v>1083</v>
      </c>
      <c r="F17" s="20" t="s">
        <v>1084</v>
      </c>
    </row>
    <row r="18" spans="1:6" ht="16.2" thickBot="1" x14ac:dyDescent="0.35">
      <c r="A18" s="15" t="s">
        <v>30</v>
      </c>
      <c r="B18" s="12">
        <v>4691</v>
      </c>
      <c r="C18" s="12">
        <v>4000</v>
      </c>
      <c r="D18" s="30" t="s">
        <v>24</v>
      </c>
      <c r="E18" s="19"/>
      <c r="F18" s="20"/>
    </row>
    <row r="19" spans="1:6" ht="31.8" thickBot="1" x14ac:dyDescent="0.35">
      <c r="A19" s="15" t="s">
        <v>1085</v>
      </c>
      <c r="B19" s="12">
        <v>3530</v>
      </c>
      <c r="C19" s="12">
        <v>3530</v>
      </c>
      <c r="D19" s="30" t="s">
        <v>24</v>
      </c>
      <c r="E19" s="19"/>
      <c r="F19" s="33" t="s">
        <v>1086</v>
      </c>
    </row>
    <row r="20" spans="1:6" ht="16.2" thickBot="1" x14ac:dyDescent="0.35">
      <c r="A20" s="15" t="s">
        <v>553</v>
      </c>
      <c r="B20" s="12">
        <v>11842</v>
      </c>
      <c r="C20" s="12">
        <v>0</v>
      </c>
      <c r="D20" s="30" t="s">
        <v>24</v>
      </c>
      <c r="E20" s="19"/>
      <c r="F20" s="20" t="s">
        <v>1087</v>
      </c>
    </row>
    <row r="21" spans="1:6" ht="16.2" thickBot="1" x14ac:dyDescent="0.35">
      <c r="A21" s="15" t="s">
        <v>1088</v>
      </c>
      <c r="B21" s="12">
        <v>0</v>
      </c>
      <c r="C21" s="12">
        <v>15000</v>
      </c>
      <c r="D21" s="30" t="s">
        <v>24</v>
      </c>
      <c r="E21" s="19"/>
      <c r="F21" s="20" t="s">
        <v>1089</v>
      </c>
    </row>
    <row r="22" spans="1:6" ht="16.2" thickBot="1" x14ac:dyDescent="0.35">
      <c r="A22" s="15" t="s">
        <v>1090</v>
      </c>
      <c r="B22" s="12">
        <v>1049</v>
      </c>
      <c r="C22" s="12">
        <v>0</v>
      </c>
      <c r="D22" s="30" t="s">
        <v>24</v>
      </c>
      <c r="E22" s="19"/>
      <c r="F22" s="20"/>
    </row>
    <row r="23" spans="1:6" ht="16.2" thickBot="1" x14ac:dyDescent="0.35">
      <c r="A23" s="266" t="s">
        <v>1091</v>
      </c>
      <c r="B23" s="12">
        <v>104</v>
      </c>
      <c r="C23" s="12">
        <v>0</v>
      </c>
      <c r="D23" s="30" t="s">
        <v>24</v>
      </c>
      <c r="E23" s="19"/>
      <c r="F23" s="20"/>
    </row>
    <row r="24" spans="1:6" ht="16.2" thickBot="1" x14ac:dyDescent="0.35">
      <c r="A24" s="21"/>
      <c r="B24" s="12">
        <v>0</v>
      </c>
      <c r="C24" s="12">
        <v>0</v>
      </c>
      <c r="D24" s="30"/>
      <c r="E24" s="19"/>
      <c r="F24" s="20"/>
    </row>
    <row r="25" spans="1:6" ht="16.2" thickBot="1" x14ac:dyDescent="0.35">
      <c r="A25" s="13" t="s">
        <v>32</v>
      </c>
      <c r="B25" s="22">
        <v>80298</v>
      </c>
      <c r="C25" s="22">
        <v>48680</v>
      </c>
      <c r="D25" s="23"/>
      <c r="E25" s="23"/>
      <c r="F25" s="24"/>
    </row>
    <row r="27" spans="1:6" x14ac:dyDescent="0.3">
      <c r="C27" s="74">
        <f>SUM(B25:C25)</f>
        <v>128978</v>
      </c>
    </row>
    <row r="28" spans="1:6" x14ac:dyDescent="0.3">
      <c r="C28" s="141" t="s">
        <v>2005</v>
      </c>
    </row>
    <row r="29" spans="1:6" x14ac:dyDescent="0.3">
      <c r="B29" s="286" t="s">
        <v>2506</v>
      </c>
    </row>
    <row r="30" spans="1:6" x14ac:dyDescent="0.3">
      <c r="B30" s="7" t="s">
        <v>2507</v>
      </c>
      <c r="C30" s="7">
        <v>-2547</v>
      </c>
    </row>
    <row r="31" spans="1:6" x14ac:dyDescent="0.3">
      <c r="B31" s="396" t="s">
        <v>9</v>
      </c>
      <c r="C31" s="396">
        <f>SUM(C27+C30)</f>
        <v>126431</v>
      </c>
    </row>
  </sheetData>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E3A6-40AA-4B7D-B194-225D94CEC9F7}">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55.8" thickBot="1" x14ac:dyDescent="0.35">
      <c r="A2" s="389" t="s">
        <v>302</v>
      </c>
      <c r="B2" s="390">
        <v>0</v>
      </c>
      <c r="C2" s="679" t="s">
        <v>2514</v>
      </c>
      <c r="D2" s="198">
        <v>2751966</v>
      </c>
      <c r="E2" s="389" t="s">
        <v>2515</v>
      </c>
      <c r="F2" s="392" t="s">
        <v>2516</v>
      </c>
      <c r="G2" s="391" t="s">
        <v>657</v>
      </c>
      <c r="H2" s="391" t="s">
        <v>212</v>
      </c>
    </row>
    <row r="4" spans="1:8" x14ac:dyDescent="0.3">
      <c r="A4" s="386" t="s">
        <v>11</v>
      </c>
    </row>
    <row r="6" spans="1:8" ht="16.2" thickBot="1" x14ac:dyDescent="0.35">
      <c r="A6" s="674" t="s">
        <v>12</v>
      </c>
      <c r="B6" s="10" t="s">
        <v>9</v>
      </c>
    </row>
    <row r="7" spans="1:8" ht="16.2" thickBot="1" x14ac:dyDescent="0.35">
      <c r="A7" s="673" t="s">
        <v>51</v>
      </c>
      <c r="B7" s="374" t="s">
        <v>212</v>
      </c>
    </row>
    <row r="8" spans="1:8" ht="16.2" thickBot="1" x14ac:dyDescent="0.35">
      <c r="A8" s="673" t="s">
        <v>53</v>
      </c>
      <c r="B8" s="374">
        <v>0</v>
      </c>
    </row>
    <row r="9" spans="1:8" ht="16.2" thickBot="1" x14ac:dyDescent="0.35">
      <c r="A9" s="673" t="s">
        <v>55</v>
      </c>
      <c r="B9" s="374" t="s">
        <v>2517</v>
      </c>
    </row>
    <row r="10" spans="1:8" ht="16.2" thickBot="1" x14ac:dyDescent="0.35">
      <c r="A10" s="673" t="s">
        <v>57</v>
      </c>
      <c r="B10" s="374">
        <v>0</v>
      </c>
    </row>
    <row r="11" spans="1:8" ht="16.2" thickBot="1" x14ac:dyDescent="0.35">
      <c r="A11" s="673"/>
      <c r="B11" s="374">
        <v>0</v>
      </c>
    </row>
    <row r="12" spans="1:8" ht="16.2" thickBot="1" x14ac:dyDescent="0.35">
      <c r="A12" s="673"/>
      <c r="B12" s="10"/>
      <c r="C12" s="374">
        <f>SUM(B7:B11)</f>
        <v>0</v>
      </c>
    </row>
    <row r="13" spans="1:8" x14ac:dyDescent="0.3">
      <c r="A13" s="672"/>
      <c r="C13" s="10" t="s">
        <v>9</v>
      </c>
    </row>
    <row r="15" spans="1:8" ht="31.2" x14ac:dyDescent="0.3">
      <c r="A15" s="384" t="s">
        <v>17</v>
      </c>
      <c r="B15" s="385" t="s">
        <v>18</v>
      </c>
      <c r="C15" s="384" t="s">
        <v>19</v>
      </c>
      <c r="D15" s="384" t="s">
        <v>20</v>
      </c>
      <c r="E15" s="384" t="s">
        <v>21</v>
      </c>
      <c r="F15" s="384" t="s">
        <v>22</v>
      </c>
    </row>
    <row r="16" spans="1:8" ht="16.2" thickBot="1" x14ac:dyDescent="0.35">
      <c r="A16" s="671" t="s">
        <v>23</v>
      </c>
      <c r="B16" s="680">
        <v>10499.79</v>
      </c>
      <c r="C16" s="680">
        <v>17500</v>
      </c>
      <c r="D16" s="397" t="s">
        <v>108</v>
      </c>
      <c r="E16" s="359"/>
      <c r="F16" s="383"/>
    </row>
    <row r="17" spans="1:6" ht="16.2" thickBot="1" x14ac:dyDescent="0.35">
      <c r="A17" s="671" t="s">
        <v>25</v>
      </c>
      <c r="B17" s="106" t="s">
        <v>420</v>
      </c>
      <c r="C17" s="106" t="s">
        <v>420</v>
      </c>
      <c r="D17" s="394" t="s">
        <v>108</v>
      </c>
      <c r="E17" s="387"/>
      <c r="F17" s="377"/>
    </row>
    <row r="18" spans="1:6" ht="16.2" thickBot="1" x14ac:dyDescent="0.35">
      <c r="A18" s="671" t="s">
        <v>26</v>
      </c>
      <c r="B18" s="681">
        <v>12500</v>
      </c>
      <c r="C18" s="682">
        <v>12500</v>
      </c>
      <c r="D18" s="394" t="s">
        <v>108</v>
      </c>
      <c r="E18" s="387"/>
      <c r="F18" s="377"/>
    </row>
    <row r="19" spans="1:6" ht="16.2" thickBot="1" x14ac:dyDescent="0.35">
      <c r="A19" s="671" t="s">
        <v>27</v>
      </c>
      <c r="B19" s="106" t="s">
        <v>2518</v>
      </c>
      <c r="C19" s="106" t="s">
        <v>2519</v>
      </c>
      <c r="D19" s="394" t="s">
        <v>423</v>
      </c>
      <c r="E19" s="387"/>
      <c r="F19" s="377"/>
    </row>
    <row r="20" spans="1:6" ht="16.2" thickBot="1" x14ac:dyDescent="0.35">
      <c r="A20" s="671" t="s">
        <v>28</v>
      </c>
      <c r="B20" s="106" t="s">
        <v>420</v>
      </c>
      <c r="C20" s="106" t="s">
        <v>420</v>
      </c>
      <c r="D20" s="394" t="s">
        <v>420</v>
      </c>
      <c r="E20" s="387"/>
      <c r="F20" s="377"/>
    </row>
    <row r="21" spans="1:6" ht="16.2" thickBot="1" x14ac:dyDescent="0.35">
      <c r="A21" s="671" t="s">
        <v>29</v>
      </c>
      <c r="B21" s="682">
        <v>17450</v>
      </c>
      <c r="C21" s="682">
        <v>17450</v>
      </c>
      <c r="D21" s="394" t="s">
        <v>420</v>
      </c>
      <c r="E21" s="387"/>
      <c r="F21" s="377"/>
    </row>
    <row r="22" spans="1:6" ht="16.2" thickBot="1" x14ac:dyDescent="0.35">
      <c r="A22" s="671" t="s">
        <v>30</v>
      </c>
      <c r="B22" s="682">
        <v>1500</v>
      </c>
      <c r="C22" s="682">
        <v>1500</v>
      </c>
      <c r="D22" s="394" t="s">
        <v>423</v>
      </c>
      <c r="E22" s="387"/>
      <c r="F22" s="377"/>
    </row>
    <row r="23" spans="1:6" ht="16.2" thickBot="1" x14ac:dyDescent="0.35">
      <c r="A23" s="671" t="s">
        <v>2520</v>
      </c>
      <c r="B23" s="374">
        <v>0</v>
      </c>
      <c r="C23" s="374">
        <v>0</v>
      </c>
      <c r="D23" s="394" t="s">
        <v>2521</v>
      </c>
      <c r="E23" s="387"/>
      <c r="F23" s="377"/>
    </row>
    <row r="24" spans="1:6" ht="16.2" thickBot="1" x14ac:dyDescent="0.35">
      <c r="A24" s="671" t="s">
        <v>2522</v>
      </c>
      <c r="B24" s="374">
        <v>0</v>
      </c>
      <c r="C24" s="374">
        <v>0</v>
      </c>
      <c r="D24" s="394" t="s">
        <v>2521</v>
      </c>
      <c r="E24" s="387"/>
      <c r="F24" s="377"/>
    </row>
    <row r="25" spans="1:6" ht="16.2" thickBot="1" x14ac:dyDescent="0.35">
      <c r="A25" s="671" t="s">
        <v>2523</v>
      </c>
      <c r="B25" s="682">
        <v>750</v>
      </c>
      <c r="C25" s="374">
        <v>0</v>
      </c>
      <c r="D25" s="394" t="s">
        <v>108</v>
      </c>
      <c r="E25" s="387"/>
      <c r="F25" s="377"/>
    </row>
    <row r="26" spans="1:6" ht="16.2" thickBot="1" x14ac:dyDescent="0.35">
      <c r="A26" s="673"/>
      <c r="B26" s="374">
        <v>0</v>
      </c>
      <c r="C26" s="374">
        <v>0</v>
      </c>
      <c r="D26" s="387"/>
      <c r="E26" s="387"/>
      <c r="F26" s="377"/>
    </row>
    <row r="27" spans="1:6" ht="16.2" thickBot="1" x14ac:dyDescent="0.35">
      <c r="A27" s="673"/>
      <c r="B27" s="374">
        <v>0</v>
      </c>
      <c r="C27" s="374">
        <v>0</v>
      </c>
      <c r="D27" s="387"/>
      <c r="E27" s="387"/>
      <c r="F27" s="377"/>
    </row>
    <row r="28" spans="1:6" ht="16.2" thickBot="1" x14ac:dyDescent="0.35">
      <c r="A28" s="378"/>
      <c r="B28" s="374">
        <v>0</v>
      </c>
      <c r="C28" s="374">
        <v>0</v>
      </c>
      <c r="D28" s="387"/>
      <c r="E28" s="387"/>
      <c r="F28" s="377"/>
    </row>
    <row r="29" spans="1:6" ht="16.2" thickBot="1" x14ac:dyDescent="0.35">
      <c r="A29" s="672" t="s">
        <v>32</v>
      </c>
      <c r="B29" s="379">
        <f>SUM(B16:B28)</f>
        <v>42699.79</v>
      </c>
      <c r="C29" s="379">
        <f>SUM(C16:C28)</f>
        <v>48950</v>
      </c>
      <c r="D29" s="683" t="s">
        <v>2524</v>
      </c>
      <c r="E29" s="388"/>
      <c r="F29" s="380"/>
    </row>
  </sheetData>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E023-AAE9-4C25-960A-FEC0D8EE9E33}">
  <dimension ref="A1:H32"/>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2383</v>
      </c>
      <c r="B2" s="390">
        <v>10000</v>
      </c>
      <c r="C2" s="389" t="s">
        <v>2384</v>
      </c>
      <c r="D2" s="391" t="s">
        <v>2385</v>
      </c>
      <c r="E2" s="389" t="s">
        <v>24</v>
      </c>
      <c r="F2" s="392" t="s">
        <v>2386</v>
      </c>
      <c r="G2" s="391">
        <v>0</v>
      </c>
      <c r="H2" s="391" t="s">
        <v>615</v>
      </c>
    </row>
    <row r="4" spans="1:8" x14ac:dyDescent="0.3">
      <c r="A4" s="386" t="s">
        <v>11</v>
      </c>
    </row>
    <row r="6" spans="1:8" ht="16.2" thickBot="1" x14ac:dyDescent="0.35">
      <c r="A6" s="585" t="s">
        <v>12</v>
      </c>
      <c r="B6" s="10" t="s">
        <v>9</v>
      </c>
      <c r="F6" s="372" t="s">
        <v>2387</v>
      </c>
    </row>
    <row r="7" spans="1:8" ht="16.2" thickBot="1" x14ac:dyDescent="0.35">
      <c r="A7" s="584" t="s">
        <v>51</v>
      </c>
      <c r="B7" s="374">
        <v>0</v>
      </c>
      <c r="F7" s="372" t="s">
        <v>2388</v>
      </c>
    </row>
    <row r="8" spans="1:8" ht="16.2" thickBot="1" x14ac:dyDescent="0.35">
      <c r="A8" s="584" t="s">
        <v>53</v>
      </c>
      <c r="B8" s="374">
        <v>10000</v>
      </c>
      <c r="F8" s="372" t="s">
        <v>2389</v>
      </c>
    </row>
    <row r="9" spans="1:8" ht="16.2" thickBot="1" x14ac:dyDescent="0.35">
      <c r="A9" s="584" t="s">
        <v>55</v>
      </c>
      <c r="B9" s="374">
        <v>0</v>
      </c>
      <c r="F9" s="372" t="s">
        <v>2390</v>
      </c>
    </row>
    <row r="10" spans="1:8" ht="16.2" thickBot="1" x14ac:dyDescent="0.35">
      <c r="A10" s="584" t="s">
        <v>57</v>
      </c>
      <c r="B10" s="374">
        <v>0</v>
      </c>
      <c r="F10" s="372" t="s">
        <v>2391</v>
      </c>
    </row>
    <row r="11" spans="1:8" ht="16.2" thickBot="1" x14ac:dyDescent="0.35">
      <c r="A11" s="584"/>
      <c r="B11" s="374">
        <v>0</v>
      </c>
    </row>
    <row r="12" spans="1:8" ht="16.2" thickBot="1" x14ac:dyDescent="0.35">
      <c r="A12" s="584"/>
      <c r="B12" s="10"/>
      <c r="C12" s="374">
        <f>SUM(B7:B11)</f>
        <v>10000</v>
      </c>
    </row>
    <row r="13" spans="1:8" x14ac:dyDescent="0.3">
      <c r="A13" s="583"/>
      <c r="C13" s="10" t="s">
        <v>9</v>
      </c>
    </row>
    <row r="15" spans="1:8" ht="31.2" x14ac:dyDescent="0.3">
      <c r="A15" s="384" t="s">
        <v>17</v>
      </c>
      <c r="B15" s="385" t="s">
        <v>18</v>
      </c>
      <c r="C15" s="384" t="s">
        <v>19</v>
      </c>
      <c r="D15" s="384" t="s">
        <v>20</v>
      </c>
      <c r="E15" s="384" t="s">
        <v>21</v>
      </c>
      <c r="F15" s="384" t="s">
        <v>22</v>
      </c>
    </row>
    <row r="16" spans="1:8" ht="16.2" thickBot="1" x14ac:dyDescent="0.35">
      <c r="A16" s="582" t="s">
        <v>23</v>
      </c>
      <c r="B16" s="382">
        <v>4175.13</v>
      </c>
      <c r="C16" s="382">
        <v>5600</v>
      </c>
      <c r="D16" s="359" t="s">
        <v>24</v>
      </c>
      <c r="E16" s="359" t="s">
        <v>2392</v>
      </c>
      <c r="F16" s="383"/>
    </row>
    <row r="17" spans="1:6" ht="16.2" thickBot="1" x14ac:dyDescent="0.35">
      <c r="A17" s="582" t="s">
        <v>25</v>
      </c>
      <c r="B17" s="374">
        <v>5106.28</v>
      </c>
      <c r="C17" s="374">
        <v>5500</v>
      </c>
      <c r="D17" s="387" t="s">
        <v>24</v>
      </c>
      <c r="E17" s="387" t="s">
        <v>2392</v>
      </c>
      <c r="F17" s="377"/>
    </row>
    <row r="18" spans="1:6" ht="16.2" thickBot="1" x14ac:dyDescent="0.35">
      <c r="A18" s="582" t="s">
        <v>26</v>
      </c>
      <c r="B18" s="374">
        <v>0</v>
      </c>
      <c r="C18" s="374">
        <v>0</v>
      </c>
      <c r="D18" s="387"/>
      <c r="E18" s="387"/>
      <c r="F18" s="377"/>
    </row>
    <row r="19" spans="1:6" ht="16.2" thickBot="1" x14ac:dyDescent="0.35">
      <c r="A19" s="582" t="s">
        <v>27</v>
      </c>
      <c r="B19" s="374">
        <v>0</v>
      </c>
      <c r="C19" s="374">
        <v>0</v>
      </c>
      <c r="D19" s="387"/>
      <c r="E19" s="387"/>
      <c r="F19" s="377"/>
    </row>
    <row r="20" spans="1:6" ht="16.2" thickBot="1" x14ac:dyDescent="0.35">
      <c r="A20" s="582" t="s">
        <v>28</v>
      </c>
      <c r="B20" s="374">
        <v>0</v>
      </c>
      <c r="C20" s="374">
        <v>0</v>
      </c>
      <c r="D20" s="387"/>
      <c r="E20" s="387"/>
      <c r="F20" s="377"/>
    </row>
    <row r="21" spans="1:6" ht="16.2" thickBot="1" x14ac:dyDescent="0.35">
      <c r="A21" s="582" t="s">
        <v>29</v>
      </c>
      <c r="B21" s="374">
        <v>0</v>
      </c>
      <c r="C21" s="374">
        <v>0</v>
      </c>
      <c r="D21" s="387"/>
      <c r="E21" s="387"/>
      <c r="F21" s="377"/>
    </row>
    <row r="22" spans="1:6" ht="16.2" thickBot="1" x14ac:dyDescent="0.35">
      <c r="A22" s="582" t="s">
        <v>30</v>
      </c>
      <c r="B22" s="374">
        <v>930.89</v>
      </c>
      <c r="C22" s="374">
        <v>1300</v>
      </c>
      <c r="D22" s="387" t="s">
        <v>24</v>
      </c>
      <c r="E22" s="387" t="s">
        <v>2392</v>
      </c>
      <c r="F22" s="377"/>
    </row>
    <row r="23" spans="1:6" ht="16.2" thickBot="1" x14ac:dyDescent="0.35">
      <c r="A23" s="584"/>
      <c r="B23" s="374">
        <v>0</v>
      </c>
      <c r="C23" s="374">
        <v>0</v>
      </c>
      <c r="D23" s="387"/>
      <c r="E23" s="387"/>
      <c r="F23" s="377"/>
    </row>
    <row r="24" spans="1:6" ht="16.2" thickBot="1" x14ac:dyDescent="0.35">
      <c r="A24" s="584"/>
      <c r="B24" s="374">
        <v>0</v>
      </c>
      <c r="C24" s="374">
        <v>0</v>
      </c>
      <c r="D24" s="387"/>
      <c r="E24" s="387"/>
      <c r="F24" s="377"/>
    </row>
    <row r="25" spans="1:6" ht="16.2" thickBot="1" x14ac:dyDescent="0.35">
      <c r="A25" s="771" t="s">
        <v>2393</v>
      </c>
      <c r="B25" s="374">
        <v>0</v>
      </c>
      <c r="C25" s="374">
        <v>0</v>
      </c>
      <c r="D25" s="387"/>
      <c r="E25" s="387"/>
      <c r="F25" s="377"/>
    </row>
    <row r="26" spans="1:6" ht="16.2" thickBot="1" x14ac:dyDescent="0.35">
      <c r="A26" s="771"/>
      <c r="B26" s="374">
        <v>0</v>
      </c>
      <c r="C26" s="374">
        <v>0</v>
      </c>
      <c r="D26" s="387"/>
      <c r="E26" s="387"/>
      <c r="F26" s="377"/>
    </row>
    <row r="27" spans="1:6" ht="16.2" thickBot="1" x14ac:dyDescent="0.35">
      <c r="A27" s="771"/>
      <c r="B27" s="374">
        <v>26630</v>
      </c>
      <c r="C27" s="374">
        <v>26630</v>
      </c>
      <c r="D27" s="387" t="s">
        <v>24</v>
      </c>
      <c r="E27" s="387" t="s">
        <v>2392</v>
      </c>
      <c r="F27" s="377"/>
    </row>
    <row r="28" spans="1:6" ht="16.2" thickBot="1" x14ac:dyDescent="0.35">
      <c r="A28" s="378"/>
      <c r="B28" s="374">
        <v>0</v>
      </c>
      <c r="C28" s="374">
        <v>0</v>
      </c>
      <c r="D28" s="387"/>
      <c r="E28" s="387"/>
      <c r="F28" s="377"/>
    </row>
    <row r="29" spans="1:6" ht="16.2" thickBot="1" x14ac:dyDescent="0.35">
      <c r="A29" s="583" t="s">
        <v>32</v>
      </c>
      <c r="B29" s="379">
        <f>SUM(B16:B28)</f>
        <v>36842.300000000003</v>
      </c>
      <c r="C29" s="379">
        <f>SUM(C16:C28)</f>
        <v>39030</v>
      </c>
      <c r="D29" s="388"/>
      <c r="E29" s="388"/>
      <c r="F29" s="380"/>
    </row>
    <row r="32" spans="1:6" x14ac:dyDescent="0.3">
      <c r="A32" s="372" t="s">
        <v>2394</v>
      </c>
    </row>
  </sheetData>
  <mergeCells count="1">
    <mergeCell ref="A25:A2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E719-BCAF-454A-A252-518CFF307419}">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99</v>
      </c>
      <c r="B2" s="4">
        <v>1800000</v>
      </c>
      <c r="C2" s="3" t="s">
        <v>100</v>
      </c>
      <c r="D2" s="5">
        <v>17992096</v>
      </c>
      <c r="E2" s="3" t="s">
        <v>24</v>
      </c>
      <c r="F2" s="6"/>
      <c r="G2" s="5">
        <v>2016819.19</v>
      </c>
      <c r="H2" s="5">
        <v>0</v>
      </c>
    </row>
    <row r="4" spans="1:8" x14ac:dyDescent="0.3">
      <c r="A4" s="8" t="s">
        <v>11</v>
      </c>
    </row>
    <row r="6" spans="1:8" ht="16.2" thickBot="1" x14ac:dyDescent="0.35">
      <c r="A6" s="9" t="s">
        <v>12</v>
      </c>
      <c r="B6" s="10" t="s">
        <v>9</v>
      </c>
    </row>
    <row r="7" spans="1:8" ht="16.2" thickBot="1" x14ac:dyDescent="0.35">
      <c r="A7" s="11" t="s">
        <v>13</v>
      </c>
      <c r="B7" s="12">
        <v>85864.77</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85864.77</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16203.62</v>
      </c>
      <c r="C15" s="16">
        <v>24703.62</v>
      </c>
      <c r="D15" s="50" t="s">
        <v>24</v>
      </c>
      <c r="E15" s="17"/>
      <c r="F15" s="18"/>
    </row>
    <row r="16" spans="1:8" ht="16.2" thickBot="1" x14ac:dyDescent="0.35">
      <c r="A16" s="15" t="s">
        <v>25</v>
      </c>
      <c r="B16" s="12">
        <v>27819.85</v>
      </c>
      <c r="C16" s="12">
        <v>29319.85</v>
      </c>
      <c r="D16" s="34" t="s">
        <v>24</v>
      </c>
      <c r="E16" s="19"/>
      <c r="F16" s="20"/>
    </row>
    <row r="17" spans="1:6" ht="16.2" thickBot="1" x14ac:dyDescent="0.35">
      <c r="A17" s="15" t="s">
        <v>26</v>
      </c>
      <c r="B17" s="12">
        <v>0</v>
      </c>
      <c r="C17" s="12">
        <v>0</v>
      </c>
      <c r="D17" s="34" t="s">
        <v>24</v>
      </c>
      <c r="E17" s="19"/>
      <c r="F17" s="20"/>
    </row>
    <row r="18" spans="1:6" ht="16.2" thickBot="1" x14ac:dyDescent="0.35">
      <c r="A18" s="15" t="s">
        <v>27</v>
      </c>
      <c r="B18" s="12">
        <v>12036.25</v>
      </c>
      <c r="C18" s="12">
        <v>39285</v>
      </c>
      <c r="D18" s="34" t="s">
        <v>24</v>
      </c>
      <c r="E18" s="19"/>
      <c r="F18" s="20"/>
    </row>
    <row r="19" spans="1:6" ht="16.2" thickBot="1" x14ac:dyDescent="0.35">
      <c r="A19" s="15" t="s">
        <v>28</v>
      </c>
      <c r="B19" s="12">
        <v>1046.6300000000001</v>
      </c>
      <c r="C19" s="12">
        <v>1046.6300000000001</v>
      </c>
      <c r="D19" s="34" t="s">
        <v>24</v>
      </c>
      <c r="E19" s="19"/>
      <c r="F19" s="20"/>
    </row>
    <row r="20" spans="1:6" ht="16.2" thickBot="1" x14ac:dyDescent="0.35">
      <c r="A20" s="15" t="s">
        <v>29</v>
      </c>
      <c r="B20" s="12">
        <v>3190.71</v>
      </c>
      <c r="C20" s="12">
        <v>29786.91</v>
      </c>
      <c r="D20" s="34" t="s">
        <v>24</v>
      </c>
      <c r="E20" s="19"/>
      <c r="F20" s="20"/>
    </row>
    <row r="21" spans="1:6" ht="16.2" thickBot="1" x14ac:dyDescent="0.35">
      <c r="A21" s="15" t="s">
        <v>30</v>
      </c>
      <c r="B21" s="12">
        <v>3812.41</v>
      </c>
      <c r="C21" s="12">
        <v>6812.41</v>
      </c>
      <c r="D21" s="34" t="s">
        <v>24</v>
      </c>
      <c r="E21" s="19"/>
      <c r="F21" s="20"/>
    </row>
    <row r="22" spans="1:6" ht="16.2" thickBot="1" x14ac:dyDescent="0.35">
      <c r="A22" s="11"/>
      <c r="B22" s="12">
        <v>0</v>
      </c>
      <c r="C22" s="12">
        <v>0</v>
      </c>
      <c r="D22" s="34"/>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64109.47</v>
      </c>
      <c r="C28" s="22">
        <v>130954.42000000001</v>
      </c>
      <c r="D28" s="23"/>
      <c r="E28" s="23"/>
      <c r="F28" s="24"/>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0466-3461-4321-B04B-6FCD663C21CE}">
  <dimension ref="A1:F31"/>
  <sheetViews>
    <sheetView workbookViewId="0">
      <selection activeCell="E11" sqref="E11:J11"/>
    </sheetView>
  </sheetViews>
  <sheetFormatPr defaultRowHeight="14.4" x14ac:dyDescent="0.3"/>
  <cols>
    <col min="1" max="1" width="19" bestFit="1" customWidth="1"/>
    <col min="2" max="2" width="10.6640625" bestFit="1" customWidth="1"/>
    <col min="3" max="3" width="68.5546875" bestFit="1" customWidth="1"/>
    <col min="4" max="4" width="17.88671875" bestFit="1" customWidth="1"/>
    <col min="5" max="5" width="12.44140625" bestFit="1" customWidth="1"/>
    <col min="6" max="6" width="11.5546875" bestFit="1" customWidth="1"/>
  </cols>
  <sheetData>
    <row r="1" spans="1:6" x14ac:dyDescent="0.3">
      <c r="A1" s="601"/>
      <c r="B1" s="601"/>
      <c r="C1" s="602" t="s">
        <v>2395</v>
      </c>
      <c r="D1" s="603"/>
      <c r="E1" s="601"/>
      <c r="F1" s="601"/>
    </row>
    <row r="2" spans="1:6" x14ac:dyDescent="0.3">
      <c r="A2" s="604"/>
      <c r="B2" s="604"/>
      <c r="C2" s="604"/>
      <c r="D2" s="605"/>
      <c r="E2" s="604"/>
      <c r="F2" s="604"/>
    </row>
    <row r="3" spans="1:6" x14ac:dyDescent="0.3">
      <c r="A3" s="604" t="s">
        <v>2396</v>
      </c>
      <c r="B3" s="604" t="s">
        <v>2397</v>
      </c>
      <c r="C3" s="604" t="s">
        <v>22</v>
      </c>
      <c r="D3" s="605" t="s">
        <v>2398</v>
      </c>
      <c r="E3" s="604" t="s">
        <v>2399</v>
      </c>
      <c r="F3" s="604" t="s">
        <v>2400</v>
      </c>
    </row>
    <row r="4" spans="1:6" x14ac:dyDescent="0.3">
      <c r="A4" s="601" t="s">
        <v>2401</v>
      </c>
      <c r="B4" s="606">
        <v>43647</v>
      </c>
      <c r="C4" s="607" t="s">
        <v>2402</v>
      </c>
      <c r="D4" s="603">
        <v>33.94</v>
      </c>
      <c r="E4" s="601">
        <v>80641</v>
      </c>
      <c r="F4" s="606">
        <v>43921</v>
      </c>
    </row>
    <row r="5" spans="1:6" x14ac:dyDescent="0.3">
      <c r="A5" s="601">
        <v>201336</v>
      </c>
      <c r="B5" s="606">
        <v>43882</v>
      </c>
      <c r="C5" s="607" t="s">
        <v>2403</v>
      </c>
      <c r="D5" s="603">
        <v>6001.48</v>
      </c>
      <c r="E5" s="601">
        <v>80584</v>
      </c>
      <c r="F5" s="606">
        <v>43908</v>
      </c>
    </row>
    <row r="6" spans="1:6" x14ac:dyDescent="0.3">
      <c r="A6" s="601">
        <v>201336</v>
      </c>
      <c r="B6" s="606">
        <v>43882</v>
      </c>
      <c r="C6" s="607" t="s">
        <v>552</v>
      </c>
      <c r="D6" s="603">
        <v>51.2</v>
      </c>
      <c r="E6" s="601">
        <v>80621</v>
      </c>
      <c r="F6" s="606">
        <v>43915</v>
      </c>
    </row>
    <row r="7" spans="1:6" x14ac:dyDescent="0.3">
      <c r="A7" s="601">
        <v>201431</v>
      </c>
      <c r="B7" s="606">
        <v>43903</v>
      </c>
      <c r="C7" s="607" t="s">
        <v>2404</v>
      </c>
      <c r="D7" s="603">
        <v>15373.05</v>
      </c>
      <c r="E7" s="601">
        <v>80719</v>
      </c>
      <c r="F7" s="606">
        <v>43950</v>
      </c>
    </row>
    <row r="8" spans="1:6" x14ac:dyDescent="0.3">
      <c r="A8" s="601">
        <v>201431</v>
      </c>
      <c r="B8" s="606">
        <v>43903</v>
      </c>
      <c r="C8" s="607" t="s">
        <v>2404</v>
      </c>
      <c r="D8" s="603">
        <v>3887.18</v>
      </c>
      <c r="E8" s="601" t="s">
        <v>2405</v>
      </c>
      <c r="F8" s="606"/>
    </row>
    <row r="9" spans="1:6" x14ac:dyDescent="0.3">
      <c r="A9" s="601">
        <v>201453</v>
      </c>
      <c r="B9" s="606">
        <v>43907</v>
      </c>
      <c r="C9" s="607" t="s">
        <v>579</v>
      </c>
      <c r="D9" s="603">
        <v>323.39999999999998</v>
      </c>
      <c r="E9" s="601">
        <v>80652</v>
      </c>
      <c r="F9" s="606">
        <v>43921</v>
      </c>
    </row>
    <row r="10" spans="1:6" x14ac:dyDescent="0.3">
      <c r="A10" s="601">
        <v>201456</v>
      </c>
      <c r="B10" s="606">
        <v>43908</v>
      </c>
      <c r="C10" s="607" t="s">
        <v>2406</v>
      </c>
      <c r="D10" s="603">
        <v>1050</v>
      </c>
      <c r="E10" s="601">
        <v>80697</v>
      </c>
      <c r="F10" s="606">
        <v>43943</v>
      </c>
    </row>
    <row r="11" spans="1:6" x14ac:dyDescent="0.3">
      <c r="A11" s="601">
        <v>201369</v>
      </c>
      <c r="B11" s="606">
        <v>43889</v>
      </c>
      <c r="C11" s="607" t="s">
        <v>2407</v>
      </c>
      <c r="D11" s="603">
        <v>94.68</v>
      </c>
      <c r="E11" s="601">
        <v>80538</v>
      </c>
      <c r="F11" s="606">
        <v>43901</v>
      </c>
    </row>
    <row r="12" spans="1:6" x14ac:dyDescent="0.3">
      <c r="A12" s="601">
        <v>201410</v>
      </c>
      <c r="B12" s="606">
        <v>43894</v>
      </c>
      <c r="C12" s="607" t="s">
        <v>2408</v>
      </c>
      <c r="D12" s="603">
        <v>1043.71</v>
      </c>
      <c r="E12" s="601">
        <v>80584</v>
      </c>
      <c r="F12" s="606">
        <v>43908</v>
      </c>
    </row>
    <row r="13" spans="1:6" x14ac:dyDescent="0.3">
      <c r="A13" s="601">
        <v>201493</v>
      </c>
      <c r="B13" s="606">
        <v>43929</v>
      </c>
      <c r="C13" s="607" t="s">
        <v>779</v>
      </c>
      <c r="D13" s="603">
        <v>3960</v>
      </c>
      <c r="E13" s="601">
        <v>80779</v>
      </c>
      <c r="F13" s="606">
        <v>43964</v>
      </c>
    </row>
    <row r="14" spans="1:6" x14ac:dyDescent="0.3">
      <c r="A14" s="601">
        <v>201496</v>
      </c>
      <c r="B14" s="606">
        <v>43930</v>
      </c>
      <c r="C14" s="607" t="s">
        <v>552</v>
      </c>
      <c r="D14" s="603">
        <v>213.6</v>
      </c>
      <c r="E14" s="601">
        <v>80672</v>
      </c>
      <c r="F14" s="606">
        <v>43936</v>
      </c>
    </row>
    <row r="15" spans="1:6" x14ac:dyDescent="0.3">
      <c r="A15" s="601">
        <v>201496</v>
      </c>
      <c r="B15" s="606">
        <v>43930</v>
      </c>
      <c r="C15" s="607" t="s">
        <v>2409</v>
      </c>
      <c r="D15" s="603">
        <v>265.44</v>
      </c>
      <c r="E15" s="601">
        <v>80749</v>
      </c>
      <c r="F15" s="606">
        <v>43957</v>
      </c>
    </row>
    <row r="16" spans="1:6" x14ac:dyDescent="0.3">
      <c r="A16" s="601">
        <v>201536</v>
      </c>
      <c r="B16" s="606">
        <v>43943</v>
      </c>
      <c r="C16" s="607" t="s">
        <v>579</v>
      </c>
      <c r="D16" s="603">
        <v>809.53</v>
      </c>
      <c r="E16" s="601">
        <v>80697</v>
      </c>
      <c r="F16" s="606">
        <v>43943</v>
      </c>
    </row>
    <row r="17" spans="1:6" x14ac:dyDescent="0.3">
      <c r="A17" s="601">
        <v>201603</v>
      </c>
      <c r="B17" s="606">
        <v>43971</v>
      </c>
      <c r="C17" s="607" t="s">
        <v>579</v>
      </c>
      <c r="D17" s="603">
        <v>2239</v>
      </c>
      <c r="E17" s="601" t="s">
        <v>2405</v>
      </c>
      <c r="F17" s="606"/>
    </row>
    <row r="18" spans="1:6" x14ac:dyDescent="0.3">
      <c r="A18" s="601"/>
      <c r="B18" s="608"/>
      <c r="C18" s="607"/>
      <c r="D18" s="609">
        <f>SUM(D4:D17)</f>
        <v>35346.21</v>
      </c>
      <c r="E18" s="601"/>
      <c r="F18" s="606"/>
    </row>
    <row r="19" spans="1:6" x14ac:dyDescent="0.3">
      <c r="A19" s="601"/>
      <c r="B19" s="601"/>
      <c r="C19" s="607"/>
      <c r="D19" s="603"/>
      <c r="E19" s="601"/>
      <c r="F19" s="601"/>
    </row>
    <row r="20" spans="1:6" x14ac:dyDescent="0.3">
      <c r="A20" s="601"/>
      <c r="B20" s="606"/>
      <c r="C20" s="602" t="s">
        <v>2410</v>
      </c>
      <c r="D20" s="603"/>
      <c r="E20" s="601"/>
      <c r="F20" s="606"/>
    </row>
    <row r="21" spans="1:6" x14ac:dyDescent="0.3">
      <c r="A21" s="601"/>
      <c r="B21" s="606"/>
      <c r="C21" s="602"/>
      <c r="D21" s="603"/>
      <c r="E21" s="601"/>
      <c r="F21" s="606"/>
    </row>
    <row r="22" spans="1:6" x14ac:dyDescent="0.3">
      <c r="A22" s="604" t="s">
        <v>2396</v>
      </c>
      <c r="B22" s="604" t="s">
        <v>2397</v>
      </c>
      <c r="C22" s="604" t="s">
        <v>22</v>
      </c>
      <c r="D22" s="605" t="s">
        <v>2398</v>
      </c>
      <c r="E22" s="604" t="s">
        <v>2399</v>
      </c>
      <c r="F22" s="604" t="s">
        <v>2400</v>
      </c>
    </row>
    <row r="23" spans="1:6" x14ac:dyDescent="0.3">
      <c r="A23" s="601">
        <v>201482</v>
      </c>
      <c r="B23" s="606">
        <v>43915</v>
      </c>
      <c r="C23" s="607" t="s">
        <v>2411</v>
      </c>
      <c r="D23" s="603">
        <v>21389</v>
      </c>
      <c r="E23" s="601">
        <v>80628</v>
      </c>
      <c r="F23" s="606">
        <v>43915</v>
      </c>
    </row>
    <row r="24" spans="1:6" x14ac:dyDescent="0.3">
      <c r="A24" s="601">
        <v>201491</v>
      </c>
      <c r="B24" s="606">
        <v>43922</v>
      </c>
      <c r="C24" s="607" t="s">
        <v>2412</v>
      </c>
      <c r="D24" s="603">
        <v>14124.5</v>
      </c>
      <c r="E24" s="601">
        <v>80786</v>
      </c>
      <c r="F24" s="606">
        <v>43964</v>
      </c>
    </row>
    <row r="25" spans="1:6" x14ac:dyDescent="0.3">
      <c r="A25" s="601">
        <v>201599</v>
      </c>
      <c r="B25" s="606">
        <v>43970</v>
      </c>
      <c r="C25" s="607" t="s">
        <v>2413</v>
      </c>
      <c r="D25" s="603">
        <v>56000</v>
      </c>
      <c r="E25" s="601" t="s">
        <v>2405</v>
      </c>
      <c r="F25" s="606"/>
    </row>
    <row r="26" spans="1:6" x14ac:dyDescent="0.3">
      <c r="A26" s="601"/>
      <c r="B26" s="606"/>
      <c r="C26" s="607"/>
      <c r="D26" s="609">
        <f>SUM(D23:D25)</f>
        <v>91513.5</v>
      </c>
      <c r="E26" s="601"/>
      <c r="F26" s="606"/>
    </row>
    <row r="27" spans="1:6" x14ac:dyDescent="0.3">
      <c r="A27" s="601"/>
      <c r="B27" s="606"/>
      <c r="C27" s="607"/>
      <c r="D27" s="603"/>
      <c r="E27" s="601"/>
      <c r="F27" s="606"/>
    </row>
    <row r="28" spans="1:6" x14ac:dyDescent="0.3">
      <c r="A28" s="601"/>
      <c r="B28" s="606"/>
      <c r="C28" s="610" t="s">
        <v>2414</v>
      </c>
      <c r="D28" s="605">
        <f>SUM(D18+D26)</f>
        <v>126859.70999999999</v>
      </c>
      <c r="E28" s="601"/>
      <c r="F28" s="606"/>
    </row>
    <row r="29" spans="1:6" x14ac:dyDescent="0.3">
      <c r="A29" s="601"/>
      <c r="B29" s="606"/>
      <c r="C29" s="607"/>
      <c r="D29" s="603"/>
      <c r="E29" s="601"/>
      <c r="F29" s="606"/>
    </row>
    <row r="30" spans="1:6" x14ac:dyDescent="0.3">
      <c r="A30" s="601"/>
      <c r="B30" s="606"/>
      <c r="C30" s="607"/>
      <c r="D30" s="603"/>
      <c r="E30" s="601"/>
      <c r="F30" s="606"/>
    </row>
    <row r="31" spans="1:6" x14ac:dyDescent="0.3">
      <c r="A31" s="601"/>
      <c r="B31" s="606"/>
      <c r="C31" s="607" t="s">
        <v>2415</v>
      </c>
      <c r="D31" s="603"/>
      <c r="E31" s="601"/>
      <c r="F31" s="606"/>
    </row>
  </sheetData>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C1A5-BD85-4483-9B46-47F2FFBA0F47}">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2147</v>
      </c>
      <c r="B2" s="390">
        <v>600000</v>
      </c>
      <c r="C2" s="389" t="s">
        <v>2148</v>
      </c>
      <c r="D2" s="391">
        <v>9396307</v>
      </c>
      <c r="E2" s="389" t="s">
        <v>24</v>
      </c>
      <c r="F2" s="392" t="s">
        <v>2149</v>
      </c>
      <c r="G2" s="391">
        <v>0</v>
      </c>
      <c r="H2" s="391">
        <v>600000</v>
      </c>
    </row>
    <row r="4" spans="1:8" x14ac:dyDescent="0.3">
      <c r="A4" s="386" t="s">
        <v>11</v>
      </c>
    </row>
    <row r="6" spans="1:8" ht="16.2" thickBot="1" x14ac:dyDescent="0.35">
      <c r="A6" s="503" t="s">
        <v>12</v>
      </c>
      <c r="B6" s="10" t="s">
        <v>9</v>
      </c>
    </row>
    <row r="7" spans="1:8" ht="16.2" thickBot="1" x14ac:dyDescent="0.35">
      <c r="A7" s="502" t="s">
        <v>13</v>
      </c>
      <c r="B7" s="374">
        <v>0</v>
      </c>
    </row>
    <row r="8" spans="1:8" ht="16.2" thickBot="1" x14ac:dyDescent="0.35">
      <c r="A8" s="502" t="s">
        <v>14</v>
      </c>
      <c r="B8" s="374">
        <v>100000</v>
      </c>
    </row>
    <row r="9" spans="1:8" ht="16.2" thickBot="1" x14ac:dyDescent="0.35">
      <c r="A9" s="502" t="s">
        <v>2150</v>
      </c>
      <c r="B9" s="374">
        <v>500000</v>
      </c>
    </row>
    <row r="10" spans="1:8" ht="16.2" thickBot="1" x14ac:dyDescent="0.35">
      <c r="A10" s="502"/>
      <c r="B10" s="374">
        <v>0</v>
      </c>
    </row>
    <row r="11" spans="1:8" ht="16.2" thickBot="1" x14ac:dyDescent="0.35">
      <c r="A11" s="502"/>
      <c r="B11" s="10"/>
      <c r="C11" s="374">
        <f>SUM(B7:B10)</f>
        <v>600000</v>
      </c>
    </row>
    <row r="12" spans="1:8" x14ac:dyDescent="0.3">
      <c r="A12" s="501"/>
      <c r="C12" s="10" t="s">
        <v>9</v>
      </c>
    </row>
    <row r="14" spans="1:8" ht="31.2" x14ac:dyDescent="0.3">
      <c r="A14" s="384" t="s">
        <v>17</v>
      </c>
      <c r="B14" s="385" t="s">
        <v>18</v>
      </c>
      <c r="C14" s="384" t="s">
        <v>19</v>
      </c>
      <c r="D14" s="384" t="s">
        <v>20</v>
      </c>
      <c r="E14" s="384" t="s">
        <v>21</v>
      </c>
      <c r="F14" s="384" t="s">
        <v>22</v>
      </c>
    </row>
    <row r="15" spans="1:8" ht="16.2" thickBot="1" x14ac:dyDescent="0.35">
      <c r="A15" s="500" t="s">
        <v>23</v>
      </c>
      <c r="B15" s="382">
        <v>899.49</v>
      </c>
      <c r="C15" s="382">
        <v>2000</v>
      </c>
      <c r="D15" s="359" t="s">
        <v>24</v>
      </c>
      <c r="E15" s="359"/>
      <c r="F15" s="383" t="s">
        <v>2151</v>
      </c>
    </row>
    <row r="16" spans="1:8" ht="16.2" thickBot="1" x14ac:dyDescent="0.35">
      <c r="A16" s="500" t="s">
        <v>25</v>
      </c>
      <c r="B16" s="374">
        <v>2648.95</v>
      </c>
      <c r="C16" s="374">
        <v>4000</v>
      </c>
      <c r="D16" s="387" t="s">
        <v>24</v>
      </c>
      <c r="E16" s="387"/>
      <c r="F16" s="377" t="s">
        <v>2152</v>
      </c>
    </row>
    <row r="17" spans="1:6" ht="16.2" thickBot="1" x14ac:dyDescent="0.35">
      <c r="A17" s="500" t="s">
        <v>26</v>
      </c>
      <c r="B17" s="374">
        <v>0</v>
      </c>
      <c r="C17" s="374">
        <v>0</v>
      </c>
      <c r="D17" s="387"/>
      <c r="E17" s="387"/>
      <c r="F17" s="377"/>
    </row>
    <row r="18" spans="1:6" ht="16.2" thickBot="1" x14ac:dyDescent="0.35">
      <c r="A18" s="500" t="s">
        <v>27</v>
      </c>
      <c r="B18" s="374">
        <v>0</v>
      </c>
      <c r="C18" s="374">
        <v>0</v>
      </c>
      <c r="D18" s="387"/>
      <c r="E18" s="387"/>
      <c r="F18" s="377"/>
    </row>
    <row r="19" spans="1:6" ht="16.2" thickBot="1" x14ac:dyDescent="0.35">
      <c r="A19" s="500" t="s">
        <v>28</v>
      </c>
      <c r="B19" s="374">
        <v>0</v>
      </c>
      <c r="C19" s="374">
        <v>0</v>
      </c>
      <c r="D19" s="387"/>
      <c r="E19" s="387"/>
      <c r="F19" s="377"/>
    </row>
    <row r="20" spans="1:6" ht="16.2" thickBot="1" x14ac:dyDescent="0.35">
      <c r="A20" s="500" t="s">
        <v>29</v>
      </c>
      <c r="B20" s="374">
        <v>0</v>
      </c>
      <c r="C20" s="374">
        <v>0</v>
      </c>
      <c r="D20" s="387"/>
      <c r="E20" s="387"/>
      <c r="F20" s="377"/>
    </row>
    <row r="21" spans="1:6" ht="16.2" thickBot="1" x14ac:dyDescent="0.35">
      <c r="A21" s="500" t="s">
        <v>30</v>
      </c>
      <c r="B21" s="374">
        <v>347.33</v>
      </c>
      <c r="C21" s="374">
        <v>1000</v>
      </c>
      <c r="D21" s="387" t="s">
        <v>24</v>
      </c>
      <c r="E21" s="387"/>
      <c r="F21" s="377" t="s">
        <v>2153</v>
      </c>
    </row>
    <row r="22" spans="1:6" ht="16.2" thickBot="1" x14ac:dyDescent="0.35">
      <c r="A22" s="502"/>
      <c r="B22" s="374">
        <v>0</v>
      </c>
      <c r="C22" s="374">
        <v>0</v>
      </c>
      <c r="D22" s="387"/>
      <c r="E22" s="387"/>
      <c r="F22" s="377"/>
    </row>
    <row r="23" spans="1:6" ht="16.2" thickBot="1" x14ac:dyDescent="0.35">
      <c r="A23" s="502"/>
      <c r="B23" s="374">
        <v>0</v>
      </c>
      <c r="C23" s="374">
        <v>0</v>
      </c>
      <c r="D23" s="387"/>
      <c r="E23" s="387"/>
      <c r="F23" s="377"/>
    </row>
    <row r="24" spans="1:6" ht="16.2" thickBot="1" x14ac:dyDescent="0.35">
      <c r="A24" s="502"/>
      <c r="B24" s="374">
        <v>0</v>
      </c>
      <c r="C24" s="374">
        <v>0</v>
      </c>
      <c r="D24" s="387"/>
      <c r="E24" s="387"/>
      <c r="F24" s="377"/>
    </row>
    <row r="25" spans="1:6" ht="16.2" thickBot="1" x14ac:dyDescent="0.35">
      <c r="A25" s="502"/>
      <c r="B25" s="374">
        <v>0</v>
      </c>
      <c r="C25" s="374">
        <v>0</v>
      </c>
      <c r="D25" s="387"/>
      <c r="E25" s="387"/>
      <c r="F25" s="377"/>
    </row>
    <row r="26" spans="1:6" ht="16.2" thickBot="1" x14ac:dyDescent="0.35">
      <c r="A26" s="502"/>
      <c r="B26" s="374">
        <v>0</v>
      </c>
      <c r="C26" s="374">
        <v>0</v>
      </c>
      <c r="D26" s="387"/>
      <c r="E26" s="387"/>
      <c r="F26" s="377"/>
    </row>
    <row r="27" spans="1:6" ht="16.2" thickBot="1" x14ac:dyDescent="0.35">
      <c r="A27" s="378"/>
      <c r="B27" s="374">
        <v>0</v>
      </c>
      <c r="C27" s="374">
        <v>0</v>
      </c>
      <c r="D27" s="387"/>
      <c r="E27" s="387"/>
      <c r="F27" s="377"/>
    </row>
    <row r="28" spans="1:6" ht="16.2" thickBot="1" x14ac:dyDescent="0.35">
      <c r="A28" s="501" t="s">
        <v>32</v>
      </c>
      <c r="B28" s="379">
        <f>SUM(B15:B27)</f>
        <v>3895.7699999999995</v>
      </c>
      <c r="C28" s="379">
        <f>SUM(C15:C27)</f>
        <v>7000</v>
      </c>
      <c r="D28" s="388"/>
      <c r="E28" s="388"/>
      <c r="F28" s="380"/>
    </row>
  </sheetData>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1D89-8BA4-4409-B1D5-6CD66A5956AD}">
  <dimension ref="A1:H31"/>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51.1093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1092</v>
      </c>
      <c r="B2" s="4">
        <v>5175000</v>
      </c>
      <c r="C2" s="3" t="s">
        <v>1093</v>
      </c>
      <c r="D2" s="198">
        <v>15350654</v>
      </c>
      <c r="E2" s="3" t="s">
        <v>108</v>
      </c>
      <c r="F2" s="6" t="s">
        <v>1094</v>
      </c>
      <c r="G2" s="198">
        <v>0</v>
      </c>
      <c r="H2" s="198">
        <v>0</v>
      </c>
    </row>
    <row r="4" spans="1:8" x14ac:dyDescent="0.3">
      <c r="A4" s="8" t="s">
        <v>11</v>
      </c>
    </row>
    <row r="6" spans="1:8" ht="16.2" thickBot="1" x14ac:dyDescent="0.35">
      <c r="A6" s="9" t="s">
        <v>12</v>
      </c>
      <c r="B6" s="10" t="s">
        <v>9</v>
      </c>
    </row>
    <row r="7" spans="1:8" ht="16.2" thickBot="1" x14ac:dyDescent="0.35">
      <c r="A7" s="11" t="s">
        <v>51</v>
      </c>
      <c r="B7" s="12">
        <v>140000</v>
      </c>
    </row>
    <row r="8" spans="1:8" ht="16.2" thickBot="1" x14ac:dyDescent="0.35">
      <c r="A8" s="11" t="s">
        <v>53</v>
      </c>
      <c r="B8" s="12">
        <v>5000000</v>
      </c>
    </row>
    <row r="9" spans="1:8" ht="16.2" thickBot="1" x14ac:dyDescent="0.35">
      <c r="A9" s="11" t="s">
        <v>55</v>
      </c>
      <c r="B9" s="12">
        <v>0</v>
      </c>
    </row>
    <row r="10" spans="1:8" ht="16.2" thickBot="1" x14ac:dyDescent="0.35">
      <c r="A10" s="11" t="s">
        <v>57</v>
      </c>
      <c r="B10" s="12">
        <v>35000</v>
      </c>
    </row>
    <row r="11" spans="1:8" ht="16.2" thickBot="1" x14ac:dyDescent="0.35">
      <c r="A11" s="11"/>
      <c r="B11" s="12">
        <v>0</v>
      </c>
    </row>
    <row r="12" spans="1:8" ht="16.2" thickBot="1" x14ac:dyDescent="0.35">
      <c r="A12" s="11"/>
      <c r="B12" s="10"/>
      <c r="C12" s="12">
        <v>5175000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1095</v>
      </c>
      <c r="B16" s="16">
        <v>38141.440000000002</v>
      </c>
      <c r="C16" s="16">
        <v>3289</v>
      </c>
      <c r="D16" s="17" t="s">
        <v>24</v>
      </c>
      <c r="E16" s="17"/>
      <c r="F16" s="18" t="s">
        <v>1096</v>
      </c>
    </row>
    <row r="17" spans="1:6" ht="47.4" thickBot="1" x14ac:dyDescent="0.35">
      <c r="A17" s="15" t="s">
        <v>25</v>
      </c>
      <c r="B17" s="12">
        <v>41049.14</v>
      </c>
      <c r="C17" s="12">
        <v>379</v>
      </c>
      <c r="D17" s="19" t="s">
        <v>24</v>
      </c>
      <c r="E17" s="19"/>
      <c r="F17" s="33" t="s">
        <v>1097</v>
      </c>
    </row>
    <row r="18" spans="1:6" ht="16.2" thickBot="1" x14ac:dyDescent="0.35">
      <c r="A18" s="15" t="s">
        <v>26</v>
      </c>
      <c r="B18" s="12">
        <v>1739.15</v>
      </c>
      <c r="C18" s="12">
        <v>0</v>
      </c>
      <c r="D18" s="19" t="s">
        <v>24</v>
      </c>
      <c r="E18" s="19"/>
      <c r="F18" s="20" t="s">
        <v>1098</v>
      </c>
    </row>
    <row r="19" spans="1:6" ht="16.2" thickBot="1" x14ac:dyDescent="0.35">
      <c r="A19" s="15" t="s">
        <v>27</v>
      </c>
      <c r="B19" s="12">
        <v>0</v>
      </c>
      <c r="C19" s="12">
        <v>0</v>
      </c>
      <c r="D19" s="19" t="s">
        <v>9</v>
      </c>
      <c r="E19" s="19"/>
      <c r="F19" s="20"/>
    </row>
    <row r="20" spans="1:6" ht="16.2" thickBot="1" x14ac:dyDescent="0.35">
      <c r="A20" s="15" t="s">
        <v>28</v>
      </c>
      <c r="B20" s="12">
        <v>5048.8900000000003</v>
      </c>
      <c r="C20" s="12">
        <v>0</v>
      </c>
      <c r="D20" s="19" t="s">
        <v>24</v>
      </c>
      <c r="E20" s="19"/>
      <c r="F20" s="20" t="s">
        <v>1099</v>
      </c>
    </row>
    <row r="21" spans="1:6" ht="31.8" thickBot="1" x14ac:dyDescent="0.35">
      <c r="A21" s="15" t="s">
        <v>29</v>
      </c>
      <c r="B21" s="12">
        <v>9190.8499999999985</v>
      </c>
      <c r="C21" s="12">
        <v>0</v>
      </c>
      <c r="D21" s="19" t="s">
        <v>24</v>
      </c>
      <c r="E21" s="19"/>
      <c r="F21" s="33" t="s">
        <v>1100</v>
      </c>
    </row>
    <row r="22" spans="1:6" ht="31.8" thickBot="1" x14ac:dyDescent="0.35">
      <c r="A22" s="15" t="s">
        <v>30</v>
      </c>
      <c r="B22" s="12">
        <v>281967.96999999997</v>
      </c>
      <c r="C22" s="12">
        <v>9520</v>
      </c>
      <c r="D22" s="19" t="s">
        <v>24</v>
      </c>
      <c r="E22" s="19"/>
      <c r="F22" s="33" t="s">
        <v>1101</v>
      </c>
    </row>
    <row r="23" spans="1:6" ht="16.2" thickBot="1" x14ac:dyDescent="0.35">
      <c r="A23" s="11" t="s">
        <v>1102</v>
      </c>
      <c r="B23" s="12">
        <v>1235.9000000000001</v>
      </c>
      <c r="C23" s="12">
        <v>4100</v>
      </c>
      <c r="D23" s="19" t="s">
        <v>24</v>
      </c>
      <c r="E23" s="19"/>
      <c r="F23" s="20" t="s">
        <v>1103</v>
      </c>
    </row>
    <row r="24" spans="1:6" ht="16.2" thickBot="1" x14ac:dyDescent="0.35">
      <c r="A24" s="11" t="s">
        <v>1104</v>
      </c>
      <c r="B24" s="12">
        <v>2317</v>
      </c>
      <c r="C24" s="12">
        <v>5793</v>
      </c>
      <c r="D24" s="19" t="s">
        <v>24</v>
      </c>
      <c r="E24" s="19"/>
      <c r="F24" s="20" t="s">
        <v>1105</v>
      </c>
    </row>
    <row r="25" spans="1:6" ht="16.2" thickBot="1" x14ac:dyDescent="0.35">
      <c r="A25" s="11" t="s">
        <v>1106</v>
      </c>
      <c r="B25" s="12">
        <v>205.2</v>
      </c>
      <c r="C25" s="12">
        <v>387.6</v>
      </c>
      <c r="D25" s="19" t="s">
        <v>24</v>
      </c>
      <c r="E25" s="19"/>
      <c r="F25" s="20" t="s">
        <v>1107</v>
      </c>
    </row>
    <row r="26" spans="1:6" ht="16.2" thickBot="1" x14ac:dyDescent="0.35">
      <c r="A26" s="11" t="s">
        <v>1108</v>
      </c>
      <c r="B26" s="12">
        <v>34.47</v>
      </c>
      <c r="C26" s="12">
        <v>0</v>
      </c>
      <c r="D26" s="19" t="s">
        <v>24</v>
      </c>
      <c r="E26" s="19"/>
      <c r="F26" s="20" t="s">
        <v>1109</v>
      </c>
    </row>
    <row r="27" spans="1:6" ht="16.2" thickBot="1" x14ac:dyDescent="0.35">
      <c r="A27" s="11" t="s">
        <v>1110</v>
      </c>
      <c r="B27" s="12">
        <v>0</v>
      </c>
      <c r="C27" s="12">
        <v>1015</v>
      </c>
      <c r="D27" s="19" t="s">
        <v>24</v>
      </c>
      <c r="E27" s="19"/>
      <c r="F27" s="20" t="s">
        <v>1111</v>
      </c>
    </row>
    <row r="28" spans="1:6" ht="16.2" thickBot="1" x14ac:dyDescent="0.35">
      <c r="A28" s="21"/>
      <c r="B28" s="12">
        <v>0</v>
      </c>
      <c r="C28" s="12">
        <v>0</v>
      </c>
      <c r="D28" s="19" t="s">
        <v>9</v>
      </c>
      <c r="E28" s="19"/>
      <c r="F28" s="20"/>
    </row>
    <row r="29" spans="1:6" ht="16.2" thickBot="1" x14ac:dyDescent="0.35">
      <c r="A29" s="13" t="s">
        <v>32</v>
      </c>
      <c r="B29" s="22">
        <v>380930.00999999995</v>
      </c>
      <c r="C29" s="22">
        <v>24483.599999999999</v>
      </c>
      <c r="D29" s="23"/>
      <c r="E29" s="23"/>
      <c r="F29" s="24"/>
    </row>
    <row r="31" spans="1:6" x14ac:dyDescent="0.3">
      <c r="C31" s="396">
        <f>SUM(B29:C29)</f>
        <v>405413.60999999993</v>
      </c>
    </row>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F784-C557-4040-A4DC-9D528F3C585B}">
  <dimension ref="A1:H29"/>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1112</v>
      </c>
      <c r="B2" s="4">
        <v>1502975</v>
      </c>
      <c r="C2" s="3" t="s">
        <v>1113</v>
      </c>
      <c r="D2" s="5">
        <v>5786109</v>
      </c>
      <c r="E2" s="3" t="s">
        <v>24</v>
      </c>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1502975</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1502975</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6538</v>
      </c>
      <c r="C16" s="16">
        <v>15500</v>
      </c>
      <c r="D16" s="17" t="s">
        <v>24</v>
      </c>
      <c r="E16" s="17" t="s">
        <v>79</v>
      </c>
      <c r="F16" s="18"/>
    </row>
    <row r="17" spans="1:6" ht="16.2" thickBot="1" x14ac:dyDescent="0.35">
      <c r="A17" s="15" t="s">
        <v>25</v>
      </c>
      <c r="B17" s="12">
        <v>5203</v>
      </c>
      <c r="C17" s="12">
        <v>9540</v>
      </c>
      <c r="D17" s="19" t="s">
        <v>24</v>
      </c>
      <c r="E17" s="19" t="s">
        <v>79</v>
      </c>
      <c r="F17" s="20"/>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286</v>
      </c>
      <c r="C21" s="12">
        <v>1500</v>
      </c>
      <c r="D21" s="19" t="s">
        <v>24</v>
      </c>
      <c r="E21" s="19" t="s">
        <v>79</v>
      </c>
      <c r="F21" s="20"/>
    </row>
    <row r="22" spans="1:6" ht="16.2" thickBot="1" x14ac:dyDescent="0.35">
      <c r="A22" s="15" t="s">
        <v>30</v>
      </c>
      <c r="B22" s="12">
        <v>22040</v>
      </c>
      <c r="C22" s="12">
        <v>46162</v>
      </c>
      <c r="D22" s="19" t="s">
        <v>24</v>
      </c>
      <c r="E22" s="19"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34067</v>
      </c>
      <c r="C29" s="22">
        <v>72702</v>
      </c>
      <c r="D29" s="23" t="s">
        <v>24</v>
      </c>
      <c r="E29" s="23"/>
      <c r="F29" s="24"/>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E73B-448F-4708-A198-B5D098755110}">
  <dimension ref="A1:H29"/>
  <sheetViews>
    <sheetView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1114</v>
      </c>
      <c r="B2" s="4">
        <v>80000</v>
      </c>
      <c r="C2" s="3" t="s">
        <v>1115</v>
      </c>
      <c r="D2" s="5" t="s">
        <v>63</v>
      </c>
      <c r="E2" s="3" t="s">
        <v>10</v>
      </c>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3500</v>
      </c>
      <c r="C16" s="16">
        <v>7000</v>
      </c>
      <c r="D16" s="17" t="s">
        <v>24</v>
      </c>
      <c r="E16" s="17" t="s">
        <v>79</v>
      </c>
      <c r="F16" s="18"/>
    </row>
    <row r="17" spans="1:6" ht="16.2" thickBot="1" x14ac:dyDescent="0.35">
      <c r="A17" s="15" t="s">
        <v>25</v>
      </c>
      <c r="B17" s="12">
        <v>61000</v>
      </c>
      <c r="C17" s="12">
        <v>73000</v>
      </c>
      <c r="D17" s="19" t="s">
        <v>24</v>
      </c>
      <c r="E17" s="19" t="s">
        <v>79</v>
      </c>
      <c r="F17" s="20"/>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t="s">
        <v>9</v>
      </c>
      <c r="E21" s="19" t="s">
        <v>9</v>
      </c>
      <c r="F21" s="20"/>
    </row>
    <row r="22" spans="1:6" ht="16.2" thickBot="1" x14ac:dyDescent="0.35">
      <c r="A22" s="15" t="s">
        <v>30</v>
      </c>
      <c r="B22" s="12">
        <v>6000</v>
      </c>
      <c r="C22" s="12">
        <v>13000</v>
      </c>
      <c r="D22" s="19" t="s">
        <v>24</v>
      </c>
      <c r="E22" s="19"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70500</v>
      </c>
      <c r="C29" s="22">
        <v>93000</v>
      </c>
      <c r="D29" s="23" t="s">
        <v>24</v>
      </c>
      <c r="E29" s="23"/>
      <c r="F29" s="24"/>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0E6A-14EA-4212-8836-66BE82DF8B1D}">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307</v>
      </c>
      <c r="B2" s="4">
        <v>512000</v>
      </c>
      <c r="C2" s="3" t="s">
        <v>1116</v>
      </c>
      <c r="D2" s="5">
        <v>3189000</v>
      </c>
      <c r="E2" s="3" t="s">
        <v>1117</v>
      </c>
      <c r="F2" s="6" t="s">
        <v>1118</v>
      </c>
      <c r="G2" s="5">
        <v>0</v>
      </c>
      <c r="H2" s="5">
        <v>0</v>
      </c>
    </row>
    <row r="4" spans="1:8" x14ac:dyDescent="0.3">
      <c r="A4" s="8" t="s">
        <v>11</v>
      </c>
    </row>
    <row r="6" spans="1:8" ht="16.2" thickBot="1" x14ac:dyDescent="0.35">
      <c r="A6" s="9" t="s">
        <v>12</v>
      </c>
      <c r="B6" s="10" t="s">
        <v>9</v>
      </c>
    </row>
    <row r="7" spans="1:8" ht="16.2" thickBot="1" x14ac:dyDescent="0.35">
      <c r="A7" s="11" t="s">
        <v>13</v>
      </c>
      <c r="B7" s="12">
        <v>512000</v>
      </c>
      <c r="C7" s="7" t="s">
        <v>1119</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512000</v>
      </c>
    </row>
    <row r="12" spans="1:8" x14ac:dyDescent="0.3">
      <c r="A12" s="13"/>
      <c r="C12" s="10" t="s">
        <v>9</v>
      </c>
    </row>
    <row r="14" spans="1:8" ht="31.2" x14ac:dyDescent="0.3">
      <c r="A14" s="1" t="s">
        <v>17</v>
      </c>
      <c r="B14" s="14" t="s">
        <v>18</v>
      </c>
      <c r="C14" s="1" t="s">
        <v>19</v>
      </c>
      <c r="D14" s="1" t="s">
        <v>20</v>
      </c>
      <c r="E14" s="1" t="s">
        <v>21</v>
      </c>
      <c r="F14" s="1" t="s">
        <v>22</v>
      </c>
    </row>
    <row r="15" spans="1:8" ht="31.8" thickBot="1" x14ac:dyDescent="0.35">
      <c r="A15" s="15" t="s">
        <v>1120</v>
      </c>
      <c r="B15" s="16">
        <v>100</v>
      </c>
      <c r="C15" s="16">
        <v>40000</v>
      </c>
      <c r="D15" s="17" t="s">
        <v>525</v>
      </c>
      <c r="E15" s="17" t="s">
        <v>79</v>
      </c>
      <c r="F15" s="32" t="s">
        <v>1121</v>
      </c>
    </row>
    <row r="16" spans="1:8" ht="16.2" thickBot="1" x14ac:dyDescent="0.35">
      <c r="A16" s="15" t="s">
        <v>25</v>
      </c>
      <c r="B16" s="12">
        <v>258</v>
      </c>
      <c r="C16" s="12">
        <v>500</v>
      </c>
      <c r="D16" s="19" t="s">
        <v>1122</v>
      </c>
      <c r="E16" s="19" t="s">
        <v>180</v>
      </c>
      <c r="F16" s="140" t="s">
        <v>1123</v>
      </c>
    </row>
    <row r="17" spans="1:7" ht="16.2" thickBot="1" x14ac:dyDescent="0.35">
      <c r="A17" s="15" t="s">
        <v>26</v>
      </c>
      <c r="B17" s="12">
        <v>5000</v>
      </c>
      <c r="C17" s="12">
        <v>7000</v>
      </c>
      <c r="D17" s="19" t="s">
        <v>525</v>
      </c>
      <c r="E17" s="19" t="s">
        <v>1124</v>
      </c>
      <c r="F17" s="20" t="s">
        <v>1125</v>
      </c>
    </row>
    <row r="18" spans="1:7" ht="31.8" thickBot="1" x14ac:dyDescent="0.35">
      <c r="A18" s="267" t="s">
        <v>1126</v>
      </c>
      <c r="B18" s="12">
        <v>31287</v>
      </c>
      <c r="C18" s="12">
        <v>31287</v>
      </c>
      <c r="D18" s="19" t="s">
        <v>1122</v>
      </c>
      <c r="E18" s="19" t="s">
        <v>63</v>
      </c>
      <c r="F18" s="33" t="s">
        <v>1127</v>
      </c>
    </row>
    <row r="19" spans="1:7" ht="16.2" thickBot="1" x14ac:dyDescent="0.35">
      <c r="A19" s="15" t="s">
        <v>28</v>
      </c>
      <c r="B19" s="268" t="s">
        <v>63</v>
      </c>
      <c r="C19" s="12" t="s">
        <v>63</v>
      </c>
      <c r="D19" s="19" t="s">
        <v>1122</v>
      </c>
      <c r="E19" s="19" t="s">
        <v>63</v>
      </c>
      <c r="F19" s="20" t="s">
        <v>63</v>
      </c>
    </row>
    <row r="20" spans="1:7" ht="47.4" thickBot="1" x14ac:dyDescent="0.35">
      <c r="A20" s="15" t="s">
        <v>29</v>
      </c>
      <c r="B20" s="12"/>
      <c r="C20" s="12">
        <v>20000</v>
      </c>
      <c r="D20" s="19" t="s">
        <v>525</v>
      </c>
      <c r="E20" s="19" t="s">
        <v>180</v>
      </c>
      <c r="F20" s="33" t="s">
        <v>1128</v>
      </c>
    </row>
    <row r="21" spans="1:7" ht="16.2" thickBot="1" x14ac:dyDescent="0.35">
      <c r="A21" s="15" t="s">
        <v>1129</v>
      </c>
      <c r="B21" s="12">
        <v>5000</v>
      </c>
      <c r="C21" s="12">
        <v>5000</v>
      </c>
      <c r="D21" s="19" t="s">
        <v>525</v>
      </c>
      <c r="E21" s="19" t="s">
        <v>1130</v>
      </c>
      <c r="F21" s="20" t="s">
        <v>1131</v>
      </c>
      <c r="G21" s="7" t="s">
        <v>1132</v>
      </c>
    </row>
    <row r="22" spans="1:7" ht="16.2" thickBot="1" x14ac:dyDescent="0.35">
      <c r="A22" s="11"/>
      <c r="B22" s="12">
        <v>0</v>
      </c>
      <c r="C22" s="12">
        <v>0</v>
      </c>
      <c r="D22" s="19"/>
      <c r="E22" s="19"/>
      <c r="F22" s="20"/>
    </row>
    <row r="23" spans="1:7" ht="63" thickBot="1" x14ac:dyDescent="0.35">
      <c r="A23" s="11" t="s">
        <v>553</v>
      </c>
      <c r="B23" s="12">
        <v>1000</v>
      </c>
      <c r="C23" s="12">
        <v>2000</v>
      </c>
      <c r="D23" s="19" t="s">
        <v>1122</v>
      </c>
      <c r="E23" s="19" t="s">
        <v>1124</v>
      </c>
      <c r="F23" s="33" t="s">
        <v>1133</v>
      </c>
    </row>
    <row r="24" spans="1:7" ht="16.2" thickBot="1" x14ac:dyDescent="0.35">
      <c r="A24" s="11"/>
      <c r="B24" s="12">
        <v>0</v>
      </c>
      <c r="C24" s="12">
        <v>0</v>
      </c>
      <c r="D24" s="19"/>
      <c r="E24" s="19"/>
      <c r="F24" s="20"/>
    </row>
    <row r="25" spans="1:7" ht="16.2" thickBot="1" x14ac:dyDescent="0.35">
      <c r="A25" s="11"/>
      <c r="B25" s="12">
        <v>0</v>
      </c>
      <c r="C25" s="12">
        <v>0</v>
      </c>
      <c r="D25" s="19"/>
      <c r="E25" s="19"/>
      <c r="F25" s="20"/>
    </row>
    <row r="26" spans="1:7" ht="16.2" thickBot="1" x14ac:dyDescent="0.35">
      <c r="A26" s="11"/>
      <c r="B26" s="12">
        <v>0</v>
      </c>
      <c r="C26" s="12">
        <v>0</v>
      </c>
      <c r="D26" s="19"/>
      <c r="E26" s="19"/>
      <c r="F26" s="20"/>
    </row>
    <row r="27" spans="1:7" ht="16.2" thickBot="1" x14ac:dyDescent="0.35">
      <c r="A27" s="21"/>
      <c r="B27" s="12">
        <v>0</v>
      </c>
      <c r="C27" s="12">
        <v>0</v>
      </c>
      <c r="D27" s="19"/>
      <c r="E27" s="19"/>
      <c r="F27" s="20"/>
    </row>
    <row r="28" spans="1:7" ht="16.2" thickBot="1" x14ac:dyDescent="0.35">
      <c r="A28" s="13" t="s">
        <v>32</v>
      </c>
      <c r="B28" s="22">
        <v>42645</v>
      </c>
      <c r="C28" s="22">
        <v>105787</v>
      </c>
      <c r="D28" s="23"/>
      <c r="E28" s="23"/>
      <c r="F28" s="24"/>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906F-EC01-4ED3-A154-705AA73B1B18}">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2451</v>
      </c>
      <c r="B2" s="390">
        <f>61380+18000</f>
        <v>79380</v>
      </c>
      <c r="C2" s="389" t="s">
        <v>2452</v>
      </c>
      <c r="D2" s="391">
        <v>3050000</v>
      </c>
      <c r="E2" s="389"/>
      <c r="F2" s="392"/>
      <c r="G2" s="391">
        <v>1400000</v>
      </c>
      <c r="H2" s="391">
        <f>781785+18000+61380</f>
        <v>861165</v>
      </c>
    </row>
    <row r="3" spans="1:8" ht="78" x14ac:dyDescent="0.3">
      <c r="H3" s="31" t="s">
        <v>2453</v>
      </c>
    </row>
    <row r="4" spans="1:8" x14ac:dyDescent="0.3">
      <c r="A4" s="386" t="s">
        <v>11</v>
      </c>
    </row>
    <row r="6" spans="1:8" ht="16.2" thickBot="1" x14ac:dyDescent="0.35">
      <c r="A6" s="624" t="s">
        <v>12</v>
      </c>
      <c r="B6" s="10" t="s">
        <v>9</v>
      </c>
    </row>
    <row r="7" spans="1:8" ht="16.2" thickBot="1" x14ac:dyDescent="0.35">
      <c r="A7" s="623" t="s">
        <v>51</v>
      </c>
      <c r="B7" s="374">
        <v>0</v>
      </c>
    </row>
    <row r="8" spans="1:8" ht="16.2" thickBot="1" x14ac:dyDescent="0.35">
      <c r="A8" s="623" t="s">
        <v>53</v>
      </c>
      <c r="B8" s="374">
        <v>0</v>
      </c>
    </row>
    <row r="9" spans="1:8" ht="16.2" thickBot="1" x14ac:dyDescent="0.35">
      <c r="A9" s="623" t="s">
        <v>55</v>
      </c>
      <c r="B9" s="374">
        <v>3000</v>
      </c>
    </row>
    <row r="10" spans="1:8" ht="16.2" thickBot="1" x14ac:dyDescent="0.35">
      <c r="A10" s="623" t="s">
        <v>57</v>
      </c>
      <c r="B10" s="374">
        <v>0</v>
      </c>
    </row>
    <row r="11" spans="1:8" ht="16.2" thickBot="1" x14ac:dyDescent="0.35">
      <c r="A11" s="623"/>
      <c r="B11" s="374">
        <v>0</v>
      </c>
    </row>
    <row r="12" spans="1:8" ht="16.2" thickBot="1" x14ac:dyDescent="0.35">
      <c r="A12" s="623"/>
      <c r="B12" s="10"/>
      <c r="C12" s="374">
        <f>SUM(B7:B11)</f>
        <v>3000</v>
      </c>
    </row>
    <row r="13" spans="1:8" x14ac:dyDescent="0.3">
      <c r="A13" s="622"/>
      <c r="C13" s="10" t="s">
        <v>9</v>
      </c>
    </row>
    <row r="15" spans="1:8" ht="31.2" x14ac:dyDescent="0.3">
      <c r="A15" s="384" t="s">
        <v>17</v>
      </c>
      <c r="B15" s="385" t="s">
        <v>18</v>
      </c>
      <c r="C15" s="384" t="s">
        <v>19</v>
      </c>
      <c r="D15" s="384" t="s">
        <v>20</v>
      </c>
      <c r="E15" s="384" t="s">
        <v>21</v>
      </c>
      <c r="F15" s="384" t="s">
        <v>22</v>
      </c>
    </row>
    <row r="16" spans="1:8" ht="16.2" thickBot="1" x14ac:dyDescent="0.35">
      <c r="A16" s="621" t="s">
        <v>23</v>
      </c>
      <c r="B16" s="382">
        <v>1424</v>
      </c>
      <c r="C16" s="382">
        <v>2424</v>
      </c>
      <c r="D16" s="359"/>
      <c r="E16" s="359"/>
      <c r="F16" s="383"/>
    </row>
    <row r="17" spans="1:6" ht="16.2" thickBot="1" x14ac:dyDescent="0.35">
      <c r="A17" s="621" t="s">
        <v>25</v>
      </c>
      <c r="B17" s="374">
        <v>1706</v>
      </c>
      <c r="C17" s="374">
        <v>2706</v>
      </c>
      <c r="D17" s="387"/>
      <c r="E17" s="387"/>
      <c r="F17" s="377"/>
    </row>
    <row r="18" spans="1:6" ht="16.2" thickBot="1" x14ac:dyDescent="0.35">
      <c r="A18" s="621" t="s">
        <v>26</v>
      </c>
      <c r="B18" s="374">
        <v>2000</v>
      </c>
      <c r="C18" s="374">
        <v>3000</v>
      </c>
      <c r="D18" s="387"/>
      <c r="E18" s="387"/>
      <c r="F18" s="377"/>
    </row>
    <row r="19" spans="1:6" ht="16.2" thickBot="1" x14ac:dyDescent="0.35">
      <c r="A19" s="621" t="s">
        <v>27</v>
      </c>
      <c r="B19" s="374">
        <v>0</v>
      </c>
      <c r="C19" s="374">
        <v>0</v>
      </c>
      <c r="D19" s="387"/>
      <c r="E19" s="387"/>
      <c r="F19" s="377"/>
    </row>
    <row r="20" spans="1:6" ht="16.2" thickBot="1" x14ac:dyDescent="0.35">
      <c r="A20" s="621" t="s">
        <v>28</v>
      </c>
      <c r="B20" s="374">
        <v>0</v>
      </c>
      <c r="C20" s="374">
        <v>0</v>
      </c>
      <c r="D20" s="387"/>
      <c r="E20" s="387"/>
      <c r="F20" s="377"/>
    </row>
    <row r="21" spans="1:6" ht="16.2" thickBot="1" x14ac:dyDescent="0.35">
      <c r="A21" s="621" t="s">
        <v>29</v>
      </c>
      <c r="B21" s="374">
        <v>4500</v>
      </c>
      <c r="C21" s="374">
        <v>9000</v>
      </c>
      <c r="D21" s="387"/>
      <c r="E21" s="387"/>
      <c r="F21" s="377"/>
    </row>
    <row r="22" spans="1:6" ht="16.2" thickBot="1" x14ac:dyDescent="0.35">
      <c r="A22" s="621" t="s">
        <v>30</v>
      </c>
      <c r="B22" s="374">
        <v>1117</v>
      </c>
      <c r="C22" s="374">
        <v>2000</v>
      </c>
      <c r="D22" s="387"/>
      <c r="E22" s="387"/>
      <c r="F22" s="377"/>
    </row>
    <row r="23" spans="1:6" ht="16.2" thickBot="1" x14ac:dyDescent="0.35">
      <c r="A23" s="621" t="s">
        <v>2454</v>
      </c>
      <c r="B23" s="374">
        <v>2505</v>
      </c>
      <c r="C23" s="374">
        <v>2505</v>
      </c>
      <c r="D23" s="387"/>
      <c r="E23" s="387"/>
      <c r="F23" s="377"/>
    </row>
    <row r="24" spans="1:6" ht="16.2" thickBot="1" x14ac:dyDescent="0.35">
      <c r="A24" s="623"/>
      <c r="B24" s="374">
        <v>0</v>
      </c>
      <c r="C24" s="374">
        <v>0</v>
      </c>
      <c r="D24" s="387"/>
      <c r="E24" s="387"/>
      <c r="F24" s="377"/>
    </row>
    <row r="25" spans="1:6" ht="16.2" thickBot="1" x14ac:dyDescent="0.35">
      <c r="A25" s="623"/>
      <c r="B25" s="374">
        <v>0</v>
      </c>
      <c r="C25" s="374">
        <v>0</v>
      </c>
      <c r="D25" s="387"/>
      <c r="E25" s="387"/>
      <c r="F25" s="377"/>
    </row>
    <row r="26" spans="1:6" ht="16.2" thickBot="1" x14ac:dyDescent="0.35">
      <c r="A26" s="623"/>
      <c r="B26" s="374">
        <v>0</v>
      </c>
      <c r="C26" s="374">
        <v>0</v>
      </c>
      <c r="D26" s="387"/>
      <c r="E26" s="387"/>
      <c r="F26" s="377"/>
    </row>
    <row r="27" spans="1:6" ht="16.2" thickBot="1" x14ac:dyDescent="0.35">
      <c r="A27" s="623"/>
      <c r="B27" s="374">
        <v>0</v>
      </c>
      <c r="C27" s="374">
        <v>0</v>
      </c>
      <c r="D27" s="387"/>
      <c r="E27" s="387"/>
      <c r="F27" s="377"/>
    </row>
    <row r="28" spans="1:6" ht="16.2" thickBot="1" x14ac:dyDescent="0.35">
      <c r="A28" s="378"/>
      <c r="B28" s="374">
        <v>0</v>
      </c>
      <c r="C28" s="374">
        <v>0</v>
      </c>
      <c r="D28" s="387"/>
      <c r="E28" s="387"/>
      <c r="F28" s="377"/>
    </row>
    <row r="29" spans="1:6" ht="16.2" thickBot="1" x14ac:dyDescent="0.35">
      <c r="A29" s="622" t="s">
        <v>32</v>
      </c>
      <c r="B29" s="379">
        <f>SUM(B16:B28)</f>
        <v>13252</v>
      </c>
      <c r="C29" s="379">
        <f>SUM(C16:C28)</f>
        <v>21635</v>
      </c>
      <c r="D29" s="388"/>
      <c r="E29" s="388"/>
      <c r="F29" s="380"/>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54BC-6055-422E-9E6B-65B30AFF5816}">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2186</v>
      </c>
      <c r="B2" s="390">
        <v>0</v>
      </c>
      <c r="C2" s="389" t="s">
        <v>9</v>
      </c>
      <c r="D2" s="391">
        <v>0</v>
      </c>
      <c r="E2" s="389"/>
      <c r="F2" s="392"/>
      <c r="G2" s="391">
        <v>0</v>
      </c>
      <c r="H2" s="391">
        <v>0</v>
      </c>
    </row>
    <row r="4" spans="1:8" x14ac:dyDescent="0.3">
      <c r="A4" s="386" t="s">
        <v>11</v>
      </c>
    </row>
    <row r="6" spans="1:8" ht="16.2" thickBot="1" x14ac:dyDescent="0.35">
      <c r="A6" s="515" t="s">
        <v>12</v>
      </c>
      <c r="B6" s="10" t="s">
        <v>9</v>
      </c>
    </row>
    <row r="7" spans="1:8" ht="16.2" thickBot="1" x14ac:dyDescent="0.35">
      <c r="A7" s="514" t="s">
        <v>51</v>
      </c>
      <c r="B7" s="374">
        <v>36627</v>
      </c>
    </row>
    <row r="8" spans="1:8" ht="16.2" thickBot="1" x14ac:dyDescent="0.35">
      <c r="A8" s="514" t="s">
        <v>53</v>
      </c>
      <c r="B8" s="374">
        <v>0</v>
      </c>
    </row>
    <row r="9" spans="1:8" ht="16.2" thickBot="1" x14ac:dyDescent="0.35">
      <c r="A9" s="514" t="s">
        <v>55</v>
      </c>
      <c r="B9" s="374">
        <v>0</v>
      </c>
    </row>
    <row r="10" spans="1:8" ht="16.2" thickBot="1" x14ac:dyDescent="0.35">
      <c r="A10" s="514" t="s">
        <v>57</v>
      </c>
      <c r="B10" s="374">
        <v>0</v>
      </c>
    </row>
    <row r="11" spans="1:8" ht="16.2" thickBot="1" x14ac:dyDescent="0.35">
      <c r="A11" s="514"/>
      <c r="B11" s="374">
        <v>0</v>
      </c>
    </row>
    <row r="12" spans="1:8" ht="16.2" thickBot="1" x14ac:dyDescent="0.35">
      <c r="A12" s="514"/>
      <c r="B12" s="10"/>
      <c r="C12" s="374">
        <f>SUM(B7:B11)</f>
        <v>36627</v>
      </c>
    </row>
    <row r="13" spans="1:8" x14ac:dyDescent="0.3">
      <c r="A13" s="513"/>
      <c r="C13" s="10" t="s">
        <v>9</v>
      </c>
    </row>
    <row r="15" spans="1:8" ht="31.2" x14ac:dyDescent="0.3">
      <c r="A15" s="384" t="s">
        <v>17</v>
      </c>
      <c r="B15" s="385" t="s">
        <v>18</v>
      </c>
      <c r="C15" s="384" t="s">
        <v>19</v>
      </c>
      <c r="D15" s="384" t="s">
        <v>20</v>
      </c>
      <c r="E15" s="384" t="s">
        <v>21</v>
      </c>
      <c r="F15" s="384" t="s">
        <v>22</v>
      </c>
    </row>
    <row r="16" spans="1:8" ht="16.2" thickBot="1" x14ac:dyDescent="0.35">
      <c r="A16" s="512" t="s">
        <v>23</v>
      </c>
      <c r="B16" s="382">
        <v>0</v>
      </c>
      <c r="C16" s="382">
        <v>5000</v>
      </c>
      <c r="D16" s="359"/>
      <c r="E16" s="359"/>
      <c r="F16" s="383" t="s">
        <v>2187</v>
      </c>
    </row>
    <row r="17" spans="1:6" ht="31.8" thickBot="1" x14ac:dyDescent="0.35">
      <c r="A17" s="512" t="s">
        <v>25</v>
      </c>
      <c r="B17" s="374">
        <v>0</v>
      </c>
      <c r="C17" s="374">
        <v>15000</v>
      </c>
      <c r="D17" s="387"/>
      <c r="E17" s="387"/>
      <c r="F17" s="516" t="s">
        <v>2188</v>
      </c>
    </row>
    <row r="18" spans="1:6" ht="16.2" thickBot="1" x14ac:dyDescent="0.35">
      <c r="A18" s="512" t="s">
        <v>26</v>
      </c>
      <c r="B18" s="374">
        <v>0</v>
      </c>
      <c r="C18" s="374">
        <v>0</v>
      </c>
      <c r="D18" s="387"/>
      <c r="E18" s="387"/>
      <c r="F18" s="377"/>
    </row>
    <row r="19" spans="1:6" ht="16.2" thickBot="1" x14ac:dyDescent="0.35">
      <c r="A19" s="512" t="s">
        <v>27</v>
      </c>
      <c r="B19" s="374">
        <v>0</v>
      </c>
      <c r="C19" s="374">
        <v>0</v>
      </c>
      <c r="D19" s="387"/>
      <c r="E19" s="387"/>
      <c r="F19" s="377"/>
    </row>
    <row r="20" spans="1:6" ht="16.2" thickBot="1" x14ac:dyDescent="0.35">
      <c r="A20" s="512" t="s">
        <v>28</v>
      </c>
      <c r="B20" s="374">
        <v>0</v>
      </c>
      <c r="C20" s="374">
        <v>0</v>
      </c>
      <c r="D20" s="387"/>
      <c r="E20" s="387"/>
      <c r="F20" s="377"/>
    </row>
    <row r="21" spans="1:6" ht="16.2" thickBot="1" x14ac:dyDescent="0.35">
      <c r="A21" s="512" t="s">
        <v>29</v>
      </c>
      <c r="B21" s="374">
        <v>0</v>
      </c>
      <c r="C21" s="374">
        <v>3000</v>
      </c>
      <c r="D21" s="387"/>
      <c r="E21" s="387"/>
      <c r="F21" s="377" t="s">
        <v>867</v>
      </c>
    </row>
    <row r="22" spans="1:6" ht="16.2" thickBot="1" x14ac:dyDescent="0.35">
      <c r="A22" s="512" t="s">
        <v>30</v>
      </c>
      <c r="B22" s="374">
        <v>0</v>
      </c>
      <c r="C22" s="374">
        <v>0</v>
      </c>
      <c r="D22" s="387"/>
      <c r="E22" s="387"/>
      <c r="F22" s="377"/>
    </row>
    <row r="23" spans="1:6" ht="16.2" thickBot="1" x14ac:dyDescent="0.35">
      <c r="A23" s="514"/>
      <c r="B23" s="374">
        <v>0</v>
      </c>
      <c r="C23" s="374">
        <v>0</v>
      </c>
      <c r="D23" s="387"/>
      <c r="E23" s="387"/>
      <c r="F23" s="377"/>
    </row>
    <row r="24" spans="1:6" ht="16.2" thickBot="1" x14ac:dyDescent="0.35">
      <c r="A24" s="514"/>
      <c r="B24" s="374">
        <v>0</v>
      </c>
      <c r="C24" s="374">
        <v>0</v>
      </c>
      <c r="D24" s="387"/>
      <c r="E24" s="387"/>
      <c r="F24" s="377"/>
    </row>
    <row r="25" spans="1:6" ht="16.2" thickBot="1" x14ac:dyDescent="0.35">
      <c r="A25" s="514"/>
      <c r="B25" s="374">
        <v>0</v>
      </c>
      <c r="C25" s="374">
        <v>0</v>
      </c>
      <c r="D25" s="387"/>
      <c r="E25" s="387"/>
      <c r="F25" s="377"/>
    </row>
    <row r="26" spans="1:6" ht="16.2" thickBot="1" x14ac:dyDescent="0.35">
      <c r="A26" s="514"/>
      <c r="B26" s="374">
        <v>0</v>
      </c>
      <c r="C26" s="374">
        <v>0</v>
      </c>
      <c r="D26" s="387"/>
      <c r="E26" s="387"/>
      <c r="F26" s="377"/>
    </row>
    <row r="27" spans="1:6" ht="16.2" thickBot="1" x14ac:dyDescent="0.35">
      <c r="A27" s="514"/>
      <c r="B27" s="374">
        <v>0</v>
      </c>
      <c r="C27" s="374">
        <v>0</v>
      </c>
      <c r="D27" s="387"/>
      <c r="E27" s="387"/>
      <c r="F27" s="377"/>
    </row>
    <row r="28" spans="1:6" ht="16.2" thickBot="1" x14ac:dyDescent="0.35">
      <c r="A28" s="378"/>
      <c r="B28" s="374">
        <v>0</v>
      </c>
      <c r="C28" s="374">
        <v>0</v>
      </c>
      <c r="D28" s="387"/>
      <c r="E28" s="387"/>
      <c r="F28" s="377"/>
    </row>
    <row r="29" spans="1:6" ht="16.2" thickBot="1" x14ac:dyDescent="0.35">
      <c r="A29" s="513" t="s">
        <v>32</v>
      </c>
      <c r="B29" s="379">
        <f>SUM(B16:B28)</f>
        <v>0</v>
      </c>
      <c r="C29" s="379">
        <f>SUM(C16:C28)</f>
        <v>23000</v>
      </c>
      <c r="D29" s="388"/>
      <c r="E29" s="388"/>
      <c r="F29" s="380"/>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87F0C-CF5F-450E-93F5-6CA91C4318AE}">
  <dimension ref="A1:H29"/>
  <sheetViews>
    <sheetView topLeftCell="A22"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1134</v>
      </c>
      <c r="B2" s="4">
        <v>3500</v>
      </c>
      <c r="C2" s="3" t="s">
        <v>1135</v>
      </c>
      <c r="D2" s="5">
        <v>645906</v>
      </c>
      <c r="E2" s="3" t="s">
        <v>1136</v>
      </c>
      <c r="F2" s="6" t="s">
        <v>657</v>
      </c>
      <c r="G2" s="5">
        <v>227000</v>
      </c>
      <c r="H2" s="5">
        <v>253000</v>
      </c>
    </row>
    <row r="3" spans="1:8" x14ac:dyDescent="0.3">
      <c r="D3" s="9" t="s">
        <v>1137</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3500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3500</v>
      </c>
    </row>
    <row r="13" spans="1:8" x14ac:dyDescent="0.3">
      <c r="A13" s="13"/>
      <c r="C13" s="10" t="s">
        <v>9</v>
      </c>
    </row>
    <row r="15" spans="1:8" ht="31.8" thickBot="1" x14ac:dyDescent="0.35">
      <c r="A15" s="1" t="s">
        <v>17</v>
      </c>
      <c r="B15" s="14" t="s">
        <v>18</v>
      </c>
      <c r="C15" s="1" t="s">
        <v>19</v>
      </c>
      <c r="D15" s="1" t="s">
        <v>20</v>
      </c>
      <c r="E15" s="1" t="s">
        <v>21</v>
      </c>
      <c r="F15" s="1" t="s">
        <v>22</v>
      </c>
    </row>
    <row r="16" spans="1:8" ht="47.4" thickBot="1" x14ac:dyDescent="0.35">
      <c r="A16" s="15" t="s">
        <v>23</v>
      </c>
      <c r="B16" s="16">
        <v>822.66</v>
      </c>
      <c r="C16" s="16">
        <v>5000</v>
      </c>
      <c r="D16" s="17" t="s">
        <v>24</v>
      </c>
      <c r="E16" s="265" t="s">
        <v>1138</v>
      </c>
      <c r="F16" s="32" t="s">
        <v>1139</v>
      </c>
    </row>
    <row r="17" spans="1:6" ht="63" thickBot="1" x14ac:dyDescent="0.35">
      <c r="A17" s="15" t="s">
        <v>25</v>
      </c>
      <c r="B17" s="12">
        <v>839.91</v>
      </c>
      <c r="C17" s="12">
        <v>4000</v>
      </c>
      <c r="D17" s="19" t="s">
        <v>24</v>
      </c>
      <c r="E17" s="265" t="s">
        <v>1138</v>
      </c>
      <c r="F17" s="33" t="s">
        <v>1140</v>
      </c>
    </row>
    <row r="18" spans="1:6" ht="16.2" thickBot="1" x14ac:dyDescent="0.35">
      <c r="A18" s="15" t="s">
        <v>26</v>
      </c>
      <c r="B18" s="12">
        <v>0</v>
      </c>
      <c r="C18" s="12">
        <v>0</v>
      </c>
      <c r="D18" s="19"/>
      <c r="E18" s="265"/>
      <c r="F18" s="33"/>
    </row>
    <row r="19" spans="1:6" ht="16.2" thickBot="1" x14ac:dyDescent="0.35">
      <c r="A19" s="15" t="s">
        <v>27</v>
      </c>
      <c r="B19" s="12">
        <v>0</v>
      </c>
      <c r="C19" s="12">
        <v>0</v>
      </c>
      <c r="D19" s="19"/>
      <c r="E19" s="265"/>
      <c r="F19" s="33"/>
    </row>
    <row r="20" spans="1:6" ht="16.2" thickBot="1" x14ac:dyDescent="0.35">
      <c r="A20" s="15" t="s">
        <v>28</v>
      </c>
      <c r="B20" s="12">
        <v>0</v>
      </c>
      <c r="C20" s="12">
        <v>0</v>
      </c>
      <c r="D20" s="19"/>
      <c r="E20" s="265"/>
      <c r="F20" s="33"/>
    </row>
    <row r="21" spans="1:6" ht="16.2" thickBot="1" x14ac:dyDescent="0.35">
      <c r="A21" s="15" t="s">
        <v>29</v>
      </c>
      <c r="B21" s="12">
        <v>0</v>
      </c>
      <c r="C21" s="12">
        <v>0</v>
      </c>
      <c r="D21" s="19"/>
      <c r="E21" s="265"/>
      <c r="F21" s="33"/>
    </row>
    <row r="22" spans="1:6" ht="16.2" thickBot="1" x14ac:dyDescent="0.35">
      <c r="A22" s="15" t="s">
        <v>30</v>
      </c>
      <c r="B22" s="12">
        <v>0</v>
      </c>
      <c r="C22" s="12">
        <v>0</v>
      </c>
      <c r="D22" s="19"/>
      <c r="E22" s="265"/>
      <c r="F22" s="33"/>
    </row>
    <row r="23" spans="1:6" ht="78.599999999999994" thickBot="1" x14ac:dyDescent="0.35">
      <c r="A23" s="15" t="s">
        <v>1141</v>
      </c>
      <c r="B23" s="12">
        <v>3000</v>
      </c>
      <c r="C23" s="12">
        <v>7000</v>
      </c>
      <c r="D23" s="19" t="s">
        <v>24</v>
      </c>
      <c r="E23" s="265" t="s">
        <v>1142</v>
      </c>
      <c r="F23" s="33" t="s">
        <v>1143</v>
      </c>
    </row>
    <row r="24" spans="1:6" ht="63" thickBot="1" x14ac:dyDescent="0.35">
      <c r="A24" s="15" t="s">
        <v>1144</v>
      </c>
      <c r="B24" s="12"/>
      <c r="C24" s="12">
        <v>5000</v>
      </c>
      <c r="D24" s="19" t="s">
        <v>24</v>
      </c>
      <c r="E24" s="265" t="s">
        <v>1145</v>
      </c>
      <c r="F24" s="33" t="s">
        <v>1146</v>
      </c>
    </row>
    <row r="25" spans="1:6" ht="47.4" thickBot="1" x14ac:dyDescent="0.35">
      <c r="A25" s="15" t="s">
        <v>1147</v>
      </c>
      <c r="B25" s="12">
        <v>0</v>
      </c>
      <c r="C25" s="12">
        <v>1500</v>
      </c>
      <c r="D25" s="19" t="s">
        <v>24</v>
      </c>
      <c r="E25" s="265" t="s">
        <v>1142</v>
      </c>
      <c r="F25" s="33" t="s">
        <v>1148</v>
      </c>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4662.57</v>
      </c>
      <c r="C29" s="22">
        <v>22500</v>
      </c>
      <c r="D29" s="23"/>
      <c r="E29" s="23"/>
      <c r="F29" s="24"/>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59FBD-A930-41C5-97F2-183E388B98B8}">
  <dimension ref="A1:H29"/>
  <sheetViews>
    <sheetView topLeftCell="A10" workbookViewId="0">
      <selection activeCell="E11" sqref="E11:J11"/>
    </sheetView>
  </sheetViews>
  <sheetFormatPr defaultColWidth="9.109375" defaultRowHeight="15.6" x14ac:dyDescent="0.3"/>
  <cols>
    <col min="1" max="1" width="45" style="311" bestFit="1" customWidth="1"/>
    <col min="2" max="2" width="20.44140625" style="311" customWidth="1"/>
    <col min="3" max="3" width="26.88671875" style="311" customWidth="1"/>
    <col min="4" max="4" width="25.33203125" style="311" customWidth="1"/>
    <col min="5" max="5" width="30.6640625" style="311" customWidth="1"/>
    <col min="6" max="6" width="28.33203125" style="311" customWidth="1"/>
    <col min="7" max="7" width="21.33203125" style="311" customWidth="1"/>
    <col min="8" max="8" width="20.6640625" style="311" customWidth="1"/>
    <col min="9" max="16384" width="9.109375" style="311"/>
  </cols>
  <sheetData>
    <row r="1" spans="1:8" s="314" customFormat="1" ht="60.75" customHeight="1" thickBot="1" x14ac:dyDescent="0.35">
      <c r="A1" s="323" t="s">
        <v>0</v>
      </c>
      <c r="B1" s="323" t="s">
        <v>1</v>
      </c>
      <c r="C1" s="323" t="s">
        <v>2</v>
      </c>
      <c r="D1" s="323" t="s">
        <v>3</v>
      </c>
      <c r="E1" s="323" t="s">
        <v>4</v>
      </c>
      <c r="F1" s="323" t="s">
        <v>5</v>
      </c>
      <c r="G1" s="323" t="s">
        <v>6</v>
      </c>
      <c r="H1" s="323" t="s">
        <v>7</v>
      </c>
    </row>
    <row r="2" spans="1:8" ht="78.599999999999994" thickBot="1" x14ac:dyDescent="0.35">
      <c r="A2" s="328" t="s">
        <v>1526</v>
      </c>
      <c r="B2" s="329">
        <f>43125104*0.0015+16931.5+21415.5+63949+18492+13416</f>
        <v>198891.65600000002</v>
      </c>
      <c r="C2" s="328" t="s">
        <v>1527</v>
      </c>
      <c r="D2" s="330">
        <v>2598909</v>
      </c>
      <c r="E2" s="328" t="s">
        <v>1528</v>
      </c>
      <c r="F2" s="331" t="s">
        <v>1529</v>
      </c>
      <c r="G2" s="330">
        <v>173975</v>
      </c>
      <c r="H2" s="330">
        <v>521925</v>
      </c>
    </row>
    <row r="4" spans="1:8" x14ac:dyDescent="0.3">
      <c r="A4" s="325" t="s">
        <v>11</v>
      </c>
    </row>
    <row r="6" spans="1:8" ht="16.2" thickBot="1" x14ac:dyDescent="0.35">
      <c r="A6" s="320" t="s">
        <v>12</v>
      </c>
      <c r="B6" s="10" t="s">
        <v>9</v>
      </c>
    </row>
    <row r="7" spans="1:8" ht="16.2" thickBot="1" x14ac:dyDescent="0.35">
      <c r="A7" s="312" t="s">
        <v>51</v>
      </c>
      <c r="B7" s="313">
        <f>43125104*0.0015</f>
        <v>64687.656000000003</v>
      </c>
    </row>
    <row r="8" spans="1:8" ht="16.2" thickBot="1" x14ac:dyDescent="0.35">
      <c r="A8" s="312" t="s">
        <v>53</v>
      </c>
      <c r="B8" s="313">
        <f>43358647*0.00125</f>
        <v>54198.308750000004</v>
      </c>
    </row>
    <row r="9" spans="1:8" ht="16.2" thickBot="1" x14ac:dyDescent="0.35">
      <c r="A9" s="312" t="s">
        <v>55</v>
      </c>
      <c r="B9" s="313">
        <v>0</v>
      </c>
    </row>
    <row r="10" spans="1:8" ht="16.2" thickBot="1" x14ac:dyDescent="0.35">
      <c r="A10" s="312" t="s">
        <v>57</v>
      </c>
      <c r="B10" s="313">
        <v>0</v>
      </c>
    </row>
    <row r="11" spans="1:8" ht="16.2" thickBot="1" x14ac:dyDescent="0.35">
      <c r="A11" s="312"/>
      <c r="B11" s="313">
        <v>0</v>
      </c>
    </row>
    <row r="12" spans="1:8" ht="16.2" thickBot="1" x14ac:dyDescent="0.35">
      <c r="A12" s="312"/>
      <c r="B12" s="10"/>
      <c r="C12" s="313">
        <f>SUM(B7:B11)</f>
        <v>118885.96475000001</v>
      </c>
    </row>
    <row r="13" spans="1:8" x14ac:dyDescent="0.3">
      <c r="A13" s="310"/>
      <c r="C13" s="10" t="s">
        <v>9</v>
      </c>
    </row>
    <row r="15" spans="1:8" ht="31.2" x14ac:dyDescent="0.3">
      <c r="A15" s="323" t="s">
        <v>17</v>
      </c>
      <c r="B15" s="324" t="s">
        <v>18</v>
      </c>
      <c r="C15" s="323" t="s">
        <v>19</v>
      </c>
      <c r="D15" s="323" t="s">
        <v>20</v>
      </c>
      <c r="E15" s="323" t="s">
        <v>21</v>
      </c>
      <c r="F15" s="323" t="s">
        <v>22</v>
      </c>
    </row>
    <row r="16" spans="1:8" ht="16.2" thickBot="1" x14ac:dyDescent="0.35">
      <c r="A16" s="315" t="s">
        <v>23</v>
      </c>
      <c r="B16" s="321">
        <f>9927.75-4274.95</f>
        <v>5652.8</v>
      </c>
      <c r="C16" s="321">
        <v>5800</v>
      </c>
      <c r="D16" s="332" t="s">
        <v>423</v>
      </c>
      <c r="E16" s="332" t="s">
        <v>423</v>
      </c>
      <c r="F16" s="322" t="s">
        <v>1530</v>
      </c>
    </row>
    <row r="17" spans="1:6" ht="16.2" thickBot="1" x14ac:dyDescent="0.35">
      <c r="A17" s="315" t="s">
        <v>25</v>
      </c>
      <c r="B17" s="313">
        <v>0</v>
      </c>
      <c r="C17" s="313">
        <v>24000</v>
      </c>
      <c r="D17" s="332" t="s">
        <v>423</v>
      </c>
      <c r="E17" s="332" t="s">
        <v>423</v>
      </c>
      <c r="F17" s="316" t="s">
        <v>1531</v>
      </c>
    </row>
    <row r="18" spans="1:6" ht="16.2" thickBot="1" x14ac:dyDescent="0.35">
      <c r="A18" s="315" t="s">
        <v>26</v>
      </c>
      <c r="B18" s="313">
        <v>0</v>
      </c>
      <c r="C18" s="313">
        <v>0</v>
      </c>
      <c r="D18" s="326"/>
      <c r="E18" s="326"/>
      <c r="F18" s="316"/>
    </row>
    <row r="19" spans="1:6" ht="16.2" thickBot="1" x14ac:dyDescent="0.35">
      <c r="A19" s="315" t="s">
        <v>27</v>
      </c>
      <c r="B19" s="313">
        <v>0</v>
      </c>
      <c r="C19" s="313">
        <v>0</v>
      </c>
      <c r="D19" s="326"/>
      <c r="E19" s="326"/>
      <c r="F19" s="316"/>
    </row>
    <row r="20" spans="1:6" ht="16.2" thickBot="1" x14ac:dyDescent="0.35">
      <c r="A20" s="315" t="s">
        <v>28</v>
      </c>
      <c r="B20" s="313">
        <v>0</v>
      </c>
      <c r="C20" s="313">
        <v>0</v>
      </c>
      <c r="D20" s="326"/>
      <c r="E20" s="326"/>
      <c r="F20" s="316"/>
    </row>
    <row r="21" spans="1:6" ht="16.2" thickBot="1" x14ac:dyDescent="0.35">
      <c r="A21" s="315" t="s">
        <v>29</v>
      </c>
      <c r="B21" s="313">
        <v>8615</v>
      </c>
      <c r="C21" s="313">
        <v>12042</v>
      </c>
      <c r="D21" s="332" t="s">
        <v>423</v>
      </c>
      <c r="E21" s="332" t="s">
        <v>423</v>
      </c>
      <c r="F21" s="316" t="s">
        <v>1532</v>
      </c>
    </row>
    <row r="22" spans="1:6" ht="16.2" thickBot="1" x14ac:dyDescent="0.35">
      <c r="A22" s="315" t="s">
        <v>30</v>
      </c>
      <c r="B22" s="313">
        <f>2078+1175.96+1020.99</f>
        <v>4274.95</v>
      </c>
      <c r="C22" s="313">
        <v>5700</v>
      </c>
      <c r="D22" s="326"/>
      <c r="E22" s="326"/>
      <c r="F22" s="316" t="s">
        <v>552</v>
      </c>
    </row>
    <row r="23" spans="1:6" ht="16.2" thickBot="1" x14ac:dyDescent="0.35">
      <c r="A23" s="312"/>
      <c r="B23" s="313">
        <v>0</v>
      </c>
      <c r="C23" s="313">
        <v>0</v>
      </c>
      <c r="D23" s="326"/>
      <c r="E23" s="326"/>
      <c r="F23" s="316"/>
    </row>
    <row r="24" spans="1:6" ht="16.2" thickBot="1" x14ac:dyDescent="0.35">
      <c r="A24" s="312"/>
      <c r="B24" s="313">
        <v>0</v>
      </c>
      <c r="C24" s="313">
        <v>0</v>
      </c>
      <c r="D24" s="326"/>
      <c r="E24" s="326"/>
      <c r="F24" s="316"/>
    </row>
    <row r="25" spans="1:6" ht="16.2" thickBot="1" x14ac:dyDescent="0.35">
      <c r="A25" s="312"/>
      <c r="B25" s="313">
        <v>0</v>
      </c>
      <c r="C25" s="313">
        <v>0</v>
      </c>
      <c r="D25" s="326"/>
      <c r="E25" s="326"/>
      <c r="F25" s="316"/>
    </row>
    <row r="26" spans="1:6" ht="16.2" thickBot="1" x14ac:dyDescent="0.35">
      <c r="A26" s="312"/>
      <c r="B26" s="313">
        <v>0</v>
      </c>
      <c r="C26" s="313">
        <v>0</v>
      </c>
      <c r="D26" s="326"/>
      <c r="E26" s="326"/>
      <c r="F26" s="316"/>
    </row>
    <row r="27" spans="1:6" ht="16.2" thickBot="1" x14ac:dyDescent="0.35">
      <c r="A27" s="312"/>
      <c r="B27" s="313">
        <v>0</v>
      </c>
      <c r="C27" s="313">
        <v>0</v>
      </c>
      <c r="D27" s="326"/>
      <c r="E27" s="326"/>
      <c r="F27" s="316"/>
    </row>
    <row r="28" spans="1:6" ht="16.2" thickBot="1" x14ac:dyDescent="0.35">
      <c r="A28" s="317"/>
      <c r="B28" s="313">
        <v>0</v>
      </c>
      <c r="C28" s="313">
        <v>0</v>
      </c>
      <c r="D28" s="326"/>
      <c r="E28" s="326"/>
      <c r="F28" s="316"/>
    </row>
    <row r="29" spans="1:6" ht="16.2" thickBot="1" x14ac:dyDescent="0.35">
      <c r="A29" s="310" t="s">
        <v>32</v>
      </c>
      <c r="B29" s="318">
        <f>SUM(B16:B28)</f>
        <v>18542.75</v>
      </c>
      <c r="C29" s="318">
        <f>SUM(C16:C28)</f>
        <v>47542</v>
      </c>
      <c r="D29" s="327"/>
      <c r="E29" s="327"/>
      <c r="F29" s="31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9033-A7D8-4F45-8DBE-A37DAE4E49B2}">
  <dimension ref="A1:H30"/>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55.8" thickBot="1" x14ac:dyDescent="0.35">
      <c r="A2" s="3" t="s">
        <v>101</v>
      </c>
      <c r="B2" s="4">
        <v>525000</v>
      </c>
      <c r="C2" s="51" t="s">
        <v>102</v>
      </c>
      <c r="D2" s="5">
        <v>1433590</v>
      </c>
      <c r="E2" s="3" t="s">
        <v>103</v>
      </c>
      <c r="F2" s="52" t="s">
        <v>104</v>
      </c>
      <c r="G2" s="5" t="s">
        <v>105</v>
      </c>
      <c r="H2" s="5" t="s">
        <v>106</v>
      </c>
    </row>
    <row r="4" spans="1:8" x14ac:dyDescent="0.3">
      <c r="A4" s="8" t="s">
        <v>11</v>
      </c>
    </row>
    <row r="6" spans="1:8" ht="16.2" thickBot="1" x14ac:dyDescent="0.35">
      <c r="A6" s="9" t="s">
        <v>12</v>
      </c>
      <c r="B6" s="10" t="s">
        <v>9</v>
      </c>
    </row>
    <row r="7" spans="1:8" ht="16.2" thickBot="1" x14ac:dyDescent="0.35">
      <c r="A7" s="11" t="s">
        <v>13</v>
      </c>
      <c r="B7" s="12">
        <v>500000</v>
      </c>
    </row>
    <row r="8" spans="1:8" ht="16.2" thickBot="1" x14ac:dyDescent="0.35">
      <c r="A8" s="11" t="s">
        <v>14</v>
      </c>
      <c r="B8" s="12" t="s">
        <v>105</v>
      </c>
    </row>
    <row r="9" spans="1:8" ht="16.2" thickBot="1" x14ac:dyDescent="0.35">
      <c r="A9" s="11" t="s">
        <v>107</v>
      </c>
      <c r="B9" s="12">
        <v>25000</v>
      </c>
    </row>
    <row r="10" spans="1:8" ht="16.2" thickBot="1" x14ac:dyDescent="0.35">
      <c r="A10" s="11"/>
      <c r="B10" s="12">
        <v>0</v>
      </c>
    </row>
    <row r="11" spans="1:8" ht="16.2" thickBot="1" x14ac:dyDescent="0.35">
      <c r="A11" s="11"/>
      <c r="B11" s="10"/>
      <c r="C11" s="12">
        <v>525000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50</v>
      </c>
      <c r="C15" s="16">
        <v>100</v>
      </c>
      <c r="D15" s="17" t="s">
        <v>108</v>
      </c>
      <c r="E15" s="17" t="s">
        <v>79</v>
      </c>
      <c r="F15" s="18"/>
    </row>
    <row r="16" spans="1:8" ht="16.2" thickBot="1" x14ac:dyDescent="0.35">
      <c r="A16" s="15" t="s">
        <v>25</v>
      </c>
      <c r="B16" s="12">
        <v>3066.01</v>
      </c>
      <c r="C16" s="12">
        <v>850</v>
      </c>
      <c r="D16" s="19" t="s">
        <v>108</v>
      </c>
      <c r="E16" s="19" t="s">
        <v>79</v>
      </c>
      <c r="F16" s="20"/>
    </row>
    <row r="17" spans="1:6" ht="16.2" thickBot="1" x14ac:dyDescent="0.35">
      <c r="A17" s="15" t="s">
        <v>26</v>
      </c>
      <c r="B17" s="12" t="s">
        <v>105</v>
      </c>
      <c r="C17" s="12">
        <v>0</v>
      </c>
      <c r="D17" s="19" t="s">
        <v>105</v>
      </c>
      <c r="E17" s="19"/>
      <c r="F17" s="20"/>
    </row>
    <row r="18" spans="1:6" ht="16.2" thickBot="1" x14ac:dyDescent="0.35">
      <c r="A18" s="15" t="s">
        <v>27</v>
      </c>
      <c r="B18" s="12" t="s">
        <v>105</v>
      </c>
      <c r="C18" s="12">
        <v>0</v>
      </c>
      <c r="D18" s="19" t="s">
        <v>105</v>
      </c>
      <c r="E18" s="19"/>
      <c r="F18" s="20"/>
    </row>
    <row r="19" spans="1:6" ht="16.2" thickBot="1" x14ac:dyDescent="0.35">
      <c r="A19" s="15" t="s">
        <v>28</v>
      </c>
      <c r="B19" s="12" t="s">
        <v>105</v>
      </c>
      <c r="C19" s="12">
        <v>0</v>
      </c>
      <c r="D19" s="19" t="s">
        <v>105</v>
      </c>
      <c r="E19" s="19"/>
      <c r="F19" s="20"/>
    </row>
    <row r="20" spans="1:6" ht="16.2" thickBot="1" x14ac:dyDescent="0.35">
      <c r="A20" s="15" t="s">
        <v>29</v>
      </c>
      <c r="B20" s="12">
        <v>3158.57</v>
      </c>
      <c r="C20" s="12">
        <v>1719.66</v>
      </c>
      <c r="D20" s="19" t="s">
        <v>108</v>
      </c>
      <c r="E20" s="19" t="s">
        <v>79</v>
      </c>
      <c r="F20" s="20"/>
    </row>
    <row r="21" spans="1:6" ht="16.2" thickBot="1" x14ac:dyDescent="0.35">
      <c r="A21" s="15" t="s">
        <v>30</v>
      </c>
      <c r="B21" s="12">
        <v>719.46</v>
      </c>
      <c r="C21" s="12">
        <v>1964</v>
      </c>
      <c r="D21" s="19" t="s">
        <v>108</v>
      </c>
      <c r="E21" s="19" t="s">
        <v>79</v>
      </c>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6994.04</v>
      </c>
      <c r="C28" s="22">
        <v>4633.66</v>
      </c>
      <c r="D28" s="23"/>
      <c r="E28" s="23"/>
      <c r="F28" s="24"/>
    </row>
    <row r="30" spans="1:6" x14ac:dyDescent="0.3">
      <c r="C30" s="396">
        <f>SUM(B28:C28)</f>
        <v>11627.7</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DF9B-B5F2-433E-80EC-EDA9B1E60E56}">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312</v>
      </c>
      <c r="B2" s="4">
        <v>0</v>
      </c>
      <c r="C2" s="3" t="s">
        <v>9</v>
      </c>
      <c r="D2" s="5" t="s">
        <v>1149</v>
      </c>
      <c r="E2" s="3" t="s">
        <v>10</v>
      </c>
      <c r="F2" s="6"/>
      <c r="G2" s="5">
        <v>0</v>
      </c>
      <c r="H2" s="5">
        <v>0</v>
      </c>
    </row>
    <row r="4" spans="1:8" x14ac:dyDescent="0.3">
      <c r="A4" s="8" t="s">
        <v>11</v>
      </c>
    </row>
    <row r="6" spans="1:8" ht="16.2" thickBot="1" x14ac:dyDescent="0.35">
      <c r="A6" s="9" t="s">
        <v>12</v>
      </c>
      <c r="B6" s="10" t="s">
        <v>9</v>
      </c>
    </row>
    <row r="7" spans="1:8" ht="16.2" thickBot="1" x14ac:dyDescent="0.35">
      <c r="A7" s="11" t="s">
        <v>13</v>
      </c>
      <c r="B7" s="12">
        <v>5000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0</v>
      </c>
      <c r="D15" s="17"/>
      <c r="E15" s="17"/>
      <c r="F15" s="18"/>
    </row>
    <row r="16" spans="1:8" ht="16.2" thickBot="1" x14ac:dyDescent="0.35">
      <c r="A16" s="15" t="s">
        <v>25</v>
      </c>
      <c r="B16" s="12">
        <v>394.98</v>
      </c>
      <c r="C16" s="12">
        <v>0</v>
      </c>
      <c r="D16" s="30" t="s">
        <v>24</v>
      </c>
      <c r="E16" s="19"/>
      <c r="F16" s="20" t="s">
        <v>1150</v>
      </c>
    </row>
    <row r="17" spans="1:7" ht="16.2" thickBot="1" x14ac:dyDescent="0.35">
      <c r="A17" s="15" t="s">
        <v>26</v>
      </c>
      <c r="B17" s="12">
        <v>0</v>
      </c>
      <c r="C17" s="12">
        <v>0</v>
      </c>
      <c r="D17" s="30"/>
      <c r="E17" s="19"/>
      <c r="F17" s="20"/>
      <c r="G17" s="269"/>
    </row>
    <row r="18" spans="1:7" ht="16.2" thickBot="1" x14ac:dyDescent="0.35">
      <c r="A18" s="15" t="s">
        <v>27</v>
      </c>
      <c r="B18" s="12">
        <v>0</v>
      </c>
      <c r="C18" s="12">
        <v>0</v>
      </c>
      <c r="D18" s="30"/>
      <c r="E18" s="19"/>
      <c r="F18" s="20"/>
    </row>
    <row r="19" spans="1:7" ht="16.2" thickBot="1" x14ac:dyDescent="0.35">
      <c r="A19" s="15" t="s">
        <v>28</v>
      </c>
      <c r="B19" s="12">
        <v>0</v>
      </c>
      <c r="C19" s="12">
        <v>0</v>
      </c>
      <c r="D19" s="30"/>
      <c r="E19" s="19"/>
      <c r="F19" s="20"/>
    </row>
    <row r="20" spans="1:7" ht="16.2" thickBot="1" x14ac:dyDescent="0.35">
      <c r="A20" s="15" t="s">
        <v>29</v>
      </c>
      <c r="B20" s="12">
        <v>1200</v>
      </c>
      <c r="C20" s="12">
        <v>4180</v>
      </c>
      <c r="D20" s="30" t="s">
        <v>24</v>
      </c>
      <c r="E20" s="19"/>
      <c r="F20" s="20" t="s">
        <v>1151</v>
      </c>
    </row>
    <row r="21" spans="1:7" ht="16.2" thickBot="1" x14ac:dyDescent="0.35">
      <c r="A21" s="15" t="s">
        <v>30</v>
      </c>
      <c r="B21" s="12">
        <v>214.82</v>
      </c>
      <c r="C21" s="12">
        <v>0</v>
      </c>
      <c r="D21" s="30"/>
      <c r="E21" s="19"/>
      <c r="F21" s="20" t="s">
        <v>1152</v>
      </c>
    </row>
    <row r="22" spans="1:7" ht="16.2" thickBot="1" x14ac:dyDescent="0.35">
      <c r="A22" s="11"/>
      <c r="B22" s="12">
        <v>0</v>
      </c>
      <c r="C22" s="12">
        <v>0</v>
      </c>
      <c r="D22" s="19"/>
      <c r="E22" s="19"/>
      <c r="F22" s="20"/>
    </row>
    <row r="23" spans="1:7" ht="16.2" thickBot="1" x14ac:dyDescent="0.35">
      <c r="A23" s="11"/>
      <c r="B23" s="12">
        <v>0</v>
      </c>
      <c r="C23" s="12">
        <v>0</v>
      </c>
      <c r="D23" s="19"/>
      <c r="E23" s="19"/>
      <c r="F23" s="20"/>
    </row>
    <row r="24" spans="1:7" ht="16.2" thickBot="1" x14ac:dyDescent="0.35">
      <c r="A24" s="11"/>
      <c r="B24" s="12">
        <v>0</v>
      </c>
      <c r="C24" s="12">
        <v>0</v>
      </c>
      <c r="D24" s="19"/>
      <c r="E24" s="19"/>
      <c r="F24" s="20"/>
    </row>
    <row r="25" spans="1:7" ht="16.2" thickBot="1" x14ac:dyDescent="0.35">
      <c r="A25" s="11"/>
      <c r="B25" s="12">
        <v>0</v>
      </c>
      <c r="C25" s="12">
        <v>0</v>
      </c>
      <c r="D25" s="19"/>
      <c r="E25" s="19"/>
      <c r="F25" s="20"/>
    </row>
    <row r="26" spans="1:7" ht="16.2" thickBot="1" x14ac:dyDescent="0.35">
      <c r="A26" s="11"/>
      <c r="B26" s="12">
        <v>0</v>
      </c>
      <c r="C26" s="12">
        <v>0</v>
      </c>
      <c r="D26" s="19"/>
      <c r="E26" s="19"/>
      <c r="F26" s="20"/>
    </row>
    <row r="27" spans="1:7" ht="16.2" thickBot="1" x14ac:dyDescent="0.35">
      <c r="A27" s="21"/>
      <c r="B27" s="12">
        <v>0</v>
      </c>
      <c r="C27" s="12">
        <v>0</v>
      </c>
      <c r="D27" s="19"/>
      <c r="E27" s="19"/>
      <c r="F27" s="20"/>
    </row>
    <row r="28" spans="1:7" ht="16.2" thickBot="1" x14ac:dyDescent="0.35">
      <c r="A28" s="13" t="s">
        <v>32</v>
      </c>
      <c r="B28" s="22">
        <v>1809.8</v>
      </c>
      <c r="C28" s="22">
        <v>4180</v>
      </c>
      <c r="D28" s="23"/>
      <c r="E28" s="23"/>
      <c r="F28" s="24"/>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8DAD-09E6-4320-B1E1-93687645402E}">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1153</v>
      </c>
      <c r="B2" s="4">
        <v>215238</v>
      </c>
      <c r="C2" s="3" t="s">
        <v>1154</v>
      </c>
      <c r="D2" s="5">
        <v>84068</v>
      </c>
      <c r="E2" s="3" t="s">
        <v>543</v>
      </c>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215238</v>
      </c>
    </row>
    <row r="9" spans="1:8" ht="16.2" thickBot="1" x14ac:dyDescent="0.35">
      <c r="A9" s="11"/>
      <c r="B9" s="12">
        <v>0</v>
      </c>
    </row>
    <row r="10" spans="1:8" ht="16.2" thickBot="1" x14ac:dyDescent="0.35">
      <c r="A10" s="11"/>
      <c r="B10" s="12">
        <v>0</v>
      </c>
    </row>
    <row r="11" spans="1:8" ht="16.2" thickBot="1" x14ac:dyDescent="0.35">
      <c r="A11" s="11"/>
      <c r="B11" s="10"/>
      <c r="C11" s="12">
        <v>215238</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12836.87</v>
      </c>
      <c r="C15" s="16">
        <v>0</v>
      </c>
      <c r="D15" s="17"/>
      <c r="E15" s="17"/>
      <c r="F15" s="18"/>
    </row>
    <row r="16" spans="1:8" ht="16.2" thickBot="1" x14ac:dyDescent="0.35">
      <c r="A16" s="15" t="s">
        <v>25</v>
      </c>
      <c r="B16" s="12">
        <v>22267.94</v>
      </c>
      <c r="C16" s="12">
        <v>0</v>
      </c>
      <c r="D16" s="19"/>
      <c r="E16" s="19"/>
      <c r="F16" s="20"/>
    </row>
    <row r="17" spans="1:6" ht="16.2" thickBot="1" x14ac:dyDescent="0.35">
      <c r="A17" s="15" t="s">
        <v>26</v>
      </c>
      <c r="B17" s="12">
        <v>23750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3275</v>
      </c>
      <c r="C20" s="12">
        <v>0</v>
      </c>
      <c r="D20" s="19"/>
      <c r="E20" s="19"/>
      <c r="F20" s="20"/>
    </row>
    <row r="21" spans="1:6" ht="16.2" thickBot="1" x14ac:dyDescent="0.35">
      <c r="A21" s="15" t="s">
        <v>30</v>
      </c>
      <c r="B21" s="12">
        <v>6765.05</v>
      </c>
      <c r="C21" s="12">
        <v>0</v>
      </c>
      <c r="D21" s="19"/>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68894.86</v>
      </c>
      <c r="C28" s="22">
        <v>0</v>
      </c>
      <c r="D28" s="23"/>
      <c r="E28" s="23"/>
      <c r="F28" s="24"/>
    </row>
  </sheetData>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CEC1-3860-4E07-871E-2D7FAB331EC4}">
  <dimension ref="A1:H32"/>
  <sheetViews>
    <sheetView topLeftCell="A19" workbookViewId="0">
      <selection activeCell="E11" sqref="E11:J11"/>
    </sheetView>
  </sheetViews>
  <sheetFormatPr defaultRowHeight="15.6" x14ac:dyDescent="0.3"/>
  <cols>
    <col min="1" max="1" width="45" style="7" bestFit="1" customWidth="1"/>
    <col min="2" max="2" width="20.44140625" style="7" customWidth="1"/>
    <col min="3" max="3" width="26.664062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256" width="9.109375" style="7"/>
    <col min="257" max="257" width="45" style="7" bestFit="1" customWidth="1"/>
    <col min="258" max="258" width="20.44140625" style="7" customWidth="1"/>
    <col min="259" max="259" width="26.6640625" style="7" customWidth="1"/>
    <col min="260" max="260" width="25.33203125" style="7" customWidth="1"/>
    <col min="261" max="261" width="30.6640625" style="7" customWidth="1"/>
    <col min="262" max="262" width="28.33203125" style="7" customWidth="1"/>
    <col min="263" max="263" width="21.33203125" style="7" customWidth="1"/>
    <col min="264" max="264" width="20.6640625" style="7" customWidth="1"/>
    <col min="265" max="512" width="9.109375" style="7"/>
    <col min="513" max="513" width="45" style="7" bestFit="1" customWidth="1"/>
    <col min="514" max="514" width="20.44140625" style="7" customWidth="1"/>
    <col min="515" max="515" width="26.6640625" style="7" customWidth="1"/>
    <col min="516" max="516" width="25.33203125" style="7" customWidth="1"/>
    <col min="517" max="517" width="30.6640625" style="7" customWidth="1"/>
    <col min="518" max="518" width="28.33203125" style="7" customWidth="1"/>
    <col min="519" max="519" width="21.33203125" style="7" customWidth="1"/>
    <col min="520" max="520" width="20.6640625" style="7" customWidth="1"/>
    <col min="521" max="768" width="9.109375" style="7"/>
    <col min="769" max="769" width="45" style="7" bestFit="1" customWidth="1"/>
    <col min="770" max="770" width="20.44140625" style="7" customWidth="1"/>
    <col min="771" max="771" width="26.6640625" style="7" customWidth="1"/>
    <col min="772" max="772" width="25.33203125" style="7" customWidth="1"/>
    <col min="773" max="773" width="30.6640625" style="7" customWidth="1"/>
    <col min="774" max="774" width="28.33203125" style="7" customWidth="1"/>
    <col min="775" max="775" width="21.33203125" style="7" customWidth="1"/>
    <col min="776" max="776" width="20.6640625" style="7" customWidth="1"/>
    <col min="777" max="1024" width="9.109375" style="7"/>
    <col min="1025" max="1025" width="45" style="7" bestFit="1" customWidth="1"/>
    <col min="1026" max="1026" width="20.44140625" style="7" customWidth="1"/>
    <col min="1027" max="1027" width="26.6640625" style="7" customWidth="1"/>
    <col min="1028" max="1028" width="25.33203125" style="7" customWidth="1"/>
    <col min="1029" max="1029" width="30.6640625" style="7" customWidth="1"/>
    <col min="1030" max="1030" width="28.33203125" style="7" customWidth="1"/>
    <col min="1031" max="1031" width="21.33203125" style="7" customWidth="1"/>
    <col min="1032" max="1032" width="20.6640625" style="7" customWidth="1"/>
    <col min="1033" max="1280" width="9.109375" style="7"/>
    <col min="1281" max="1281" width="45" style="7" bestFit="1" customWidth="1"/>
    <col min="1282" max="1282" width="20.44140625" style="7" customWidth="1"/>
    <col min="1283" max="1283" width="26.6640625" style="7" customWidth="1"/>
    <col min="1284" max="1284" width="25.33203125" style="7" customWidth="1"/>
    <col min="1285" max="1285" width="30.6640625" style="7" customWidth="1"/>
    <col min="1286" max="1286" width="28.33203125" style="7" customWidth="1"/>
    <col min="1287" max="1287" width="21.33203125" style="7" customWidth="1"/>
    <col min="1288" max="1288" width="20.6640625" style="7" customWidth="1"/>
    <col min="1289" max="1536" width="9.109375" style="7"/>
    <col min="1537" max="1537" width="45" style="7" bestFit="1" customWidth="1"/>
    <col min="1538" max="1538" width="20.44140625" style="7" customWidth="1"/>
    <col min="1539" max="1539" width="26.6640625" style="7" customWidth="1"/>
    <col min="1540" max="1540" width="25.33203125" style="7" customWidth="1"/>
    <col min="1541" max="1541" width="30.6640625" style="7" customWidth="1"/>
    <col min="1542" max="1542" width="28.33203125" style="7" customWidth="1"/>
    <col min="1543" max="1543" width="21.33203125" style="7" customWidth="1"/>
    <col min="1544" max="1544" width="20.6640625" style="7" customWidth="1"/>
    <col min="1545" max="1792" width="9.109375" style="7"/>
    <col min="1793" max="1793" width="45" style="7" bestFit="1" customWidth="1"/>
    <col min="1794" max="1794" width="20.44140625" style="7" customWidth="1"/>
    <col min="1795" max="1795" width="26.6640625" style="7" customWidth="1"/>
    <col min="1796" max="1796" width="25.33203125" style="7" customWidth="1"/>
    <col min="1797" max="1797" width="30.6640625" style="7" customWidth="1"/>
    <col min="1798" max="1798" width="28.33203125" style="7" customWidth="1"/>
    <col min="1799" max="1799" width="21.33203125" style="7" customWidth="1"/>
    <col min="1800" max="1800" width="20.6640625" style="7" customWidth="1"/>
    <col min="1801" max="2048" width="9.109375" style="7"/>
    <col min="2049" max="2049" width="45" style="7" bestFit="1" customWidth="1"/>
    <col min="2050" max="2050" width="20.44140625" style="7" customWidth="1"/>
    <col min="2051" max="2051" width="26.6640625" style="7" customWidth="1"/>
    <col min="2052" max="2052" width="25.33203125" style="7" customWidth="1"/>
    <col min="2053" max="2053" width="30.6640625" style="7" customWidth="1"/>
    <col min="2054" max="2054" width="28.33203125" style="7" customWidth="1"/>
    <col min="2055" max="2055" width="21.33203125" style="7" customWidth="1"/>
    <col min="2056" max="2056" width="20.6640625" style="7" customWidth="1"/>
    <col min="2057" max="2304" width="9.109375" style="7"/>
    <col min="2305" max="2305" width="45" style="7" bestFit="1" customWidth="1"/>
    <col min="2306" max="2306" width="20.44140625" style="7" customWidth="1"/>
    <col min="2307" max="2307" width="26.6640625" style="7" customWidth="1"/>
    <col min="2308" max="2308" width="25.33203125" style="7" customWidth="1"/>
    <col min="2309" max="2309" width="30.6640625" style="7" customWidth="1"/>
    <col min="2310" max="2310" width="28.33203125" style="7" customWidth="1"/>
    <col min="2311" max="2311" width="21.33203125" style="7" customWidth="1"/>
    <col min="2312" max="2312" width="20.6640625" style="7" customWidth="1"/>
    <col min="2313" max="2560" width="9.109375" style="7"/>
    <col min="2561" max="2561" width="45" style="7" bestFit="1" customWidth="1"/>
    <col min="2562" max="2562" width="20.44140625" style="7" customWidth="1"/>
    <col min="2563" max="2563" width="26.6640625" style="7" customWidth="1"/>
    <col min="2564" max="2564" width="25.33203125" style="7" customWidth="1"/>
    <col min="2565" max="2565" width="30.6640625" style="7" customWidth="1"/>
    <col min="2566" max="2566" width="28.33203125" style="7" customWidth="1"/>
    <col min="2567" max="2567" width="21.33203125" style="7" customWidth="1"/>
    <col min="2568" max="2568" width="20.6640625" style="7" customWidth="1"/>
    <col min="2569" max="2816" width="9.109375" style="7"/>
    <col min="2817" max="2817" width="45" style="7" bestFit="1" customWidth="1"/>
    <col min="2818" max="2818" width="20.44140625" style="7" customWidth="1"/>
    <col min="2819" max="2819" width="26.6640625" style="7" customWidth="1"/>
    <col min="2820" max="2820" width="25.33203125" style="7" customWidth="1"/>
    <col min="2821" max="2821" width="30.6640625" style="7" customWidth="1"/>
    <col min="2822" max="2822" width="28.33203125" style="7" customWidth="1"/>
    <col min="2823" max="2823" width="21.33203125" style="7" customWidth="1"/>
    <col min="2824" max="2824" width="20.6640625" style="7" customWidth="1"/>
    <col min="2825" max="3072" width="9.109375" style="7"/>
    <col min="3073" max="3073" width="45" style="7" bestFit="1" customWidth="1"/>
    <col min="3074" max="3074" width="20.44140625" style="7" customWidth="1"/>
    <col min="3075" max="3075" width="26.6640625" style="7" customWidth="1"/>
    <col min="3076" max="3076" width="25.33203125" style="7" customWidth="1"/>
    <col min="3077" max="3077" width="30.6640625" style="7" customWidth="1"/>
    <col min="3078" max="3078" width="28.33203125" style="7" customWidth="1"/>
    <col min="3079" max="3079" width="21.33203125" style="7" customWidth="1"/>
    <col min="3080" max="3080" width="20.6640625" style="7" customWidth="1"/>
    <col min="3081" max="3328" width="9.109375" style="7"/>
    <col min="3329" max="3329" width="45" style="7" bestFit="1" customWidth="1"/>
    <col min="3330" max="3330" width="20.44140625" style="7" customWidth="1"/>
    <col min="3331" max="3331" width="26.6640625" style="7" customWidth="1"/>
    <col min="3332" max="3332" width="25.33203125" style="7" customWidth="1"/>
    <col min="3333" max="3333" width="30.6640625" style="7" customWidth="1"/>
    <col min="3334" max="3334" width="28.33203125" style="7" customWidth="1"/>
    <col min="3335" max="3335" width="21.33203125" style="7" customWidth="1"/>
    <col min="3336" max="3336" width="20.6640625" style="7" customWidth="1"/>
    <col min="3337" max="3584" width="9.109375" style="7"/>
    <col min="3585" max="3585" width="45" style="7" bestFit="1" customWidth="1"/>
    <col min="3586" max="3586" width="20.44140625" style="7" customWidth="1"/>
    <col min="3587" max="3587" width="26.6640625" style="7" customWidth="1"/>
    <col min="3588" max="3588" width="25.33203125" style="7" customWidth="1"/>
    <col min="3589" max="3589" width="30.6640625" style="7" customWidth="1"/>
    <col min="3590" max="3590" width="28.33203125" style="7" customWidth="1"/>
    <col min="3591" max="3591" width="21.33203125" style="7" customWidth="1"/>
    <col min="3592" max="3592" width="20.6640625" style="7" customWidth="1"/>
    <col min="3593" max="3840" width="9.109375" style="7"/>
    <col min="3841" max="3841" width="45" style="7" bestFit="1" customWidth="1"/>
    <col min="3842" max="3842" width="20.44140625" style="7" customWidth="1"/>
    <col min="3843" max="3843" width="26.6640625" style="7" customWidth="1"/>
    <col min="3844" max="3844" width="25.33203125" style="7" customWidth="1"/>
    <col min="3845" max="3845" width="30.6640625" style="7" customWidth="1"/>
    <col min="3846" max="3846" width="28.33203125" style="7" customWidth="1"/>
    <col min="3847" max="3847" width="21.33203125" style="7" customWidth="1"/>
    <col min="3848" max="3848" width="20.6640625" style="7" customWidth="1"/>
    <col min="3849" max="4096" width="9.109375" style="7"/>
    <col min="4097" max="4097" width="45" style="7" bestFit="1" customWidth="1"/>
    <col min="4098" max="4098" width="20.44140625" style="7" customWidth="1"/>
    <col min="4099" max="4099" width="26.6640625" style="7" customWidth="1"/>
    <col min="4100" max="4100" width="25.33203125" style="7" customWidth="1"/>
    <col min="4101" max="4101" width="30.6640625" style="7" customWidth="1"/>
    <col min="4102" max="4102" width="28.33203125" style="7" customWidth="1"/>
    <col min="4103" max="4103" width="21.33203125" style="7" customWidth="1"/>
    <col min="4104" max="4104" width="20.6640625" style="7" customWidth="1"/>
    <col min="4105" max="4352" width="9.109375" style="7"/>
    <col min="4353" max="4353" width="45" style="7" bestFit="1" customWidth="1"/>
    <col min="4354" max="4354" width="20.44140625" style="7" customWidth="1"/>
    <col min="4355" max="4355" width="26.6640625" style="7" customWidth="1"/>
    <col min="4356" max="4356" width="25.33203125" style="7" customWidth="1"/>
    <col min="4357" max="4357" width="30.6640625" style="7" customWidth="1"/>
    <col min="4358" max="4358" width="28.33203125" style="7" customWidth="1"/>
    <col min="4359" max="4359" width="21.33203125" style="7" customWidth="1"/>
    <col min="4360" max="4360" width="20.6640625" style="7" customWidth="1"/>
    <col min="4361" max="4608" width="9.109375" style="7"/>
    <col min="4609" max="4609" width="45" style="7" bestFit="1" customWidth="1"/>
    <col min="4610" max="4610" width="20.44140625" style="7" customWidth="1"/>
    <col min="4611" max="4611" width="26.6640625" style="7" customWidth="1"/>
    <col min="4612" max="4612" width="25.33203125" style="7" customWidth="1"/>
    <col min="4613" max="4613" width="30.6640625" style="7" customWidth="1"/>
    <col min="4614" max="4614" width="28.33203125" style="7" customWidth="1"/>
    <col min="4615" max="4615" width="21.33203125" style="7" customWidth="1"/>
    <col min="4616" max="4616" width="20.6640625" style="7" customWidth="1"/>
    <col min="4617" max="4864" width="9.109375" style="7"/>
    <col min="4865" max="4865" width="45" style="7" bestFit="1" customWidth="1"/>
    <col min="4866" max="4866" width="20.44140625" style="7" customWidth="1"/>
    <col min="4867" max="4867" width="26.6640625" style="7" customWidth="1"/>
    <col min="4868" max="4868" width="25.33203125" style="7" customWidth="1"/>
    <col min="4869" max="4869" width="30.6640625" style="7" customWidth="1"/>
    <col min="4870" max="4870" width="28.33203125" style="7" customWidth="1"/>
    <col min="4871" max="4871" width="21.33203125" style="7" customWidth="1"/>
    <col min="4872" max="4872" width="20.6640625" style="7" customWidth="1"/>
    <col min="4873" max="5120" width="9.109375" style="7"/>
    <col min="5121" max="5121" width="45" style="7" bestFit="1" customWidth="1"/>
    <col min="5122" max="5122" width="20.44140625" style="7" customWidth="1"/>
    <col min="5123" max="5123" width="26.6640625" style="7" customWidth="1"/>
    <col min="5124" max="5124" width="25.33203125" style="7" customWidth="1"/>
    <col min="5125" max="5125" width="30.6640625" style="7" customWidth="1"/>
    <col min="5126" max="5126" width="28.33203125" style="7" customWidth="1"/>
    <col min="5127" max="5127" width="21.33203125" style="7" customWidth="1"/>
    <col min="5128" max="5128" width="20.6640625" style="7" customWidth="1"/>
    <col min="5129" max="5376" width="9.109375" style="7"/>
    <col min="5377" max="5377" width="45" style="7" bestFit="1" customWidth="1"/>
    <col min="5378" max="5378" width="20.44140625" style="7" customWidth="1"/>
    <col min="5379" max="5379" width="26.6640625" style="7" customWidth="1"/>
    <col min="5380" max="5380" width="25.33203125" style="7" customWidth="1"/>
    <col min="5381" max="5381" width="30.6640625" style="7" customWidth="1"/>
    <col min="5382" max="5382" width="28.33203125" style="7" customWidth="1"/>
    <col min="5383" max="5383" width="21.33203125" style="7" customWidth="1"/>
    <col min="5384" max="5384" width="20.6640625" style="7" customWidth="1"/>
    <col min="5385" max="5632" width="9.109375" style="7"/>
    <col min="5633" max="5633" width="45" style="7" bestFit="1" customWidth="1"/>
    <col min="5634" max="5634" width="20.44140625" style="7" customWidth="1"/>
    <col min="5635" max="5635" width="26.6640625" style="7" customWidth="1"/>
    <col min="5636" max="5636" width="25.33203125" style="7" customWidth="1"/>
    <col min="5637" max="5637" width="30.6640625" style="7" customWidth="1"/>
    <col min="5638" max="5638" width="28.33203125" style="7" customWidth="1"/>
    <col min="5639" max="5639" width="21.33203125" style="7" customWidth="1"/>
    <col min="5640" max="5640" width="20.6640625" style="7" customWidth="1"/>
    <col min="5641" max="5888" width="9.109375" style="7"/>
    <col min="5889" max="5889" width="45" style="7" bestFit="1" customWidth="1"/>
    <col min="5890" max="5890" width="20.44140625" style="7" customWidth="1"/>
    <col min="5891" max="5891" width="26.6640625" style="7" customWidth="1"/>
    <col min="5892" max="5892" width="25.33203125" style="7" customWidth="1"/>
    <col min="5893" max="5893" width="30.6640625" style="7" customWidth="1"/>
    <col min="5894" max="5894" width="28.33203125" style="7" customWidth="1"/>
    <col min="5895" max="5895" width="21.33203125" style="7" customWidth="1"/>
    <col min="5896" max="5896" width="20.6640625" style="7" customWidth="1"/>
    <col min="5897" max="6144" width="9.109375" style="7"/>
    <col min="6145" max="6145" width="45" style="7" bestFit="1" customWidth="1"/>
    <col min="6146" max="6146" width="20.44140625" style="7" customWidth="1"/>
    <col min="6147" max="6147" width="26.6640625" style="7" customWidth="1"/>
    <col min="6148" max="6148" width="25.33203125" style="7" customWidth="1"/>
    <col min="6149" max="6149" width="30.6640625" style="7" customWidth="1"/>
    <col min="6150" max="6150" width="28.33203125" style="7" customWidth="1"/>
    <col min="6151" max="6151" width="21.33203125" style="7" customWidth="1"/>
    <col min="6152" max="6152" width="20.6640625" style="7" customWidth="1"/>
    <col min="6153" max="6400" width="9.109375" style="7"/>
    <col min="6401" max="6401" width="45" style="7" bestFit="1" customWidth="1"/>
    <col min="6402" max="6402" width="20.44140625" style="7" customWidth="1"/>
    <col min="6403" max="6403" width="26.6640625" style="7" customWidth="1"/>
    <col min="6404" max="6404" width="25.33203125" style="7" customWidth="1"/>
    <col min="6405" max="6405" width="30.6640625" style="7" customWidth="1"/>
    <col min="6406" max="6406" width="28.33203125" style="7" customWidth="1"/>
    <col min="6407" max="6407" width="21.33203125" style="7" customWidth="1"/>
    <col min="6408" max="6408" width="20.6640625" style="7" customWidth="1"/>
    <col min="6409" max="6656" width="9.109375" style="7"/>
    <col min="6657" max="6657" width="45" style="7" bestFit="1" customWidth="1"/>
    <col min="6658" max="6658" width="20.44140625" style="7" customWidth="1"/>
    <col min="6659" max="6659" width="26.6640625" style="7" customWidth="1"/>
    <col min="6660" max="6660" width="25.33203125" style="7" customWidth="1"/>
    <col min="6661" max="6661" width="30.6640625" style="7" customWidth="1"/>
    <col min="6662" max="6662" width="28.33203125" style="7" customWidth="1"/>
    <col min="6663" max="6663" width="21.33203125" style="7" customWidth="1"/>
    <col min="6664" max="6664" width="20.6640625" style="7" customWidth="1"/>
    <col min="6665" max="6912" width="9.109375" style="7"/>
    <col min="6913" max="6913" width="45" style="7" bestFit="1" customWidth="1"/>
    <col min="6914" max="6914" width="20.44140625" style="7" customWidth="1"/>
    <col min="6915" max="6915" width="26.6640625" style="7" customWidth="1"/>
    <col min="6916" max="6916" width="25.33203125" style="7" customWidth="1"/>
    <col min="6917" max="6917" width="30.6640625" style="7" customWidth="1"/>
    <col min="6918" max="6918" width="28.33203125" style="7" customWidth="1"/>
    <col min="6919" max="6919" width="21.33203125" style="7" customWidth="1"/>
    <col min="6920" max="6920" width="20.6640625" style="7" customWidth="1"/>
    <col min="6921" max="7168" width="9.109375" style="7"/>
    <col min="7169" max="7169" width="45" style="7" bestFit="1" customWidth="1"/>
    <col min="7170" max="7170" width="20.44140625" style="7" customWidth="1"/>
    <col min="7171" max="7171" width="26.6640625" style="7" customWidth="1"/>
    <col min="7172" max="7172" width="25.33203125" style="7" customWidth="1"/>
    <col min="7173" max="7173" width="30.6640625" style="7" customWidth="1"/>
    <col min="7174" max="7174" width="28.33203125" style="7" customWidth="1"/>
    <col min="7175" max="7175" width="21.33203125" style="7" customWidth="1"/>
    <col min="7176" max="7176" width="20.6640625" style="7" customWidth="1"/>
    <col min="7177" max="7424" width="9.109375" style="7"/>
    <col min="7425" max="7425" width="45" style="7" bestFit="1" customWidth="1"/>
    <col min="7426" max="7426" width="20.44140625" style="7" customWidth="1"/>
    <col min="7427" max="7427" width="26.6640625" style="7" customWidth="1"/>
    <col min="7428" max="7428" width="25.33203125" style="7" customWidth="1"/>
    <col min="7429" max="7429" width="30.6640625" style="7" customWidth="1"/>
    <col min="7430" max="7430" width="28.33203125" style="7" customWidth="1"/>
    <col min="7431" max="7431" width="21.33203125" style="7" customWidth="1"/>
    <col min="7432" max="7432" width="20.6640625" style="7" customWidth="1"/>
    <col min="7433" max="7680" width="9.109375" style="7"/>
    <col min="7681" max="7681" width="45" style="7" bestFit="1" customWidth="1"/>
    <col min="7682" max="7682" width="20.44140625" style="7" customWidth="1"/>
    <col min="7683" max="7683" width="26.6640625" style="7" customWidth="1"/>
    <col min="7684" max="7684" width="25.33203125" style="7" customWidth="1"/>
    <col min="7685" max="7685" width="30.6640625" style="7" customWidth="1"/>
    <col min="7686" max="7686" width="28.33203125" style="7" customWidth="1"/>
    <col min="7687" max="7687" width="21.33203125" style="7" customWidth="1"/>
    <col min="7688" max="7688" width="20.6640625" style="7" customWidth="1"/>
    <col min="7689" max="7936" width="9.109375" style="7"/>
    <col min="7937" max="7937" width="45" style="7" bestFit="1" customWidth="1"/>
    <col min="7938" max="7938" width="20.44140625" style="7" customWidth="1"/>
    <col min="7939" max="7939" width="26.6640625" style="7" customWidth="1"/>
    <col min="7940" max="7940" width="25.33203125" style="7" customWidth="1"/>
    <col min="7941" max="7941" width="30.6640625" style="7" customWidth="1"/>
    <col min="7942" max="7942" width="28.33203125" style="7" customWidth="1"/>
    <col min="7943" max="7943" width="21.33203125" style="7" customWidth="1"/>
    <col min="7944" max="7944" width="20.6640625" style="7" customWidth="1"/>
    <col min="7945" max="8192" width="9.109375" style="7"/>
    <col min="8193" max="8193" width="45" style="7" bestFit="1" customWidth="1"/>
    <col min="8194" max="8194" width="20.44140625" style="7" customWidth="1"/>
    <col min="8195" max="8195" width="26.6640625" style="7" customWidth="1"/>
    <col min="8196" max="8196" width="25.33203125" style="7" customWidth="1"/>
    <col min="8197" max="8197" width="30.6640625" style="7" customWidth="1"/>
    <col min="8198" max="8198" width="28.33203125" style="7" customWidth="1"/>
    <col min="8199" max="8199" width="21.33203125" style="7" customWidth="1"/>
    <col min="8200" max="8200" width="20.6640625" style="7" customWidth="1"/>
    <col min="8201" max="8448" width="9.109375" style="7"/>
    <col min="8449" max="8449" width="45" style="7" bestFit="1" customWidth="1"/>
    <col min="8450" max="8450" width="20.44140625" style="7" customWidth="1"/>
    <col min="8451" max="8451" width="26.6640625" style="7" customWidth="1"/>
    <col min="8452" max="8452" width="25.33203125" style="7" customWidth="1"/>
    <col min="8453" max="8453" width="30.6640625" style="7" customWidth="1"/>
    <col min="8454" max="8454" width="28.33203125" style="7" customWidth="1"/>
    <col min="8455" max="8455" width="21.33203125" style="7" customWidth="1"/>
    <col min="8456" max="8456" width="20.6640625" style="7" customWidth="1"/>
    <col min="8457" max="8704" width="9.109375" style="7"/>
    <col min="8705" max="8705" width="45" style="7" bestFit="1" customWidth="1"/>
    <col min="8706" max="8706" width="20.44140625" style="7" customWidth="1"/>
    <col min="8707" max="8707" width="26.6640625" style="7" customWidth="1"/>
    <col min="8708" max="8708" width="25.33203125" style="7" customWidth="1"/>
    <col min="8709" max="8709" width="30.6640625" style="7" customWidth="1"/>
    <col min="8710" max="8710" width="28.33203125" style="7" customWidth="1"/>
    <col min="8711" max="8711" width="21.33203125" style="7" customWidth="1"/>
    <col min="8712" max="8712" width="20.6640625" style="7" customWidth="1"/>
    <col min="8713" max="8960" width="9.109375" style="7"/>
    <col min="8961" max="8961" width="45" style="7" bestFit="1" customWidth="1"/>
    <col min="8962" max="8962" width="20.44140625" style="7" customWidth="1"/>
    <col min="8963" max="8963" width="26.6640625" style="7" customWidth="1"/>
    <col min="8964" max="8964" width="25.33203125" style="7" customWidth="1"/>
    <col min="8965" max="8965" width="30.6640625" style="7" customWidth="1"/>
    <col min="8966" max="8966" width="28.33203125" style="7" customWidth="1"/>
    <col min="8967" max="8967" width="21.33203125" style="7" customWidth="1"/>
    <col min="8968" max="8968" width="20.6640625" style="7" customWidth="1"/>
    <col min="8969" max="9216" width="9.109375" style="7"/>
    <col min="9217" max="9217" width="45" style="7" bestFit="1" customWidth="1"/>
    <col min="9218" max="9218" width="20.44140625" style="7" customWidth="1"/>
    <col min="9219" max="9219" width="26.6640625" style="7" customWidth="1"/>
    <col min="9220" max="9220" width="25.33203125" style="7" customWidth="1"/>
    <col min="9221" max="9221" width="30.6640625" style="7" customWidth="1"/>
    <col min="9222" max="9222" width="28.33203125" style="7" customWidth="1"/>
    <col min="9223" max="9223" width="21.33203125" style="7" customWidth="1"/>
    <col min="9224" max="9224" width="20.6640625" style="7" customWidth="1"/>
    <col min="9225" max="9472" width="9.109375" style="7"/>
    <col min="9473" max="9473" width="45" style="7" bestFit="1" customWidth="1"/>
    <col min="9474" max="9474" width="20.44140625" style="7" customWidth="1"/>
    <col min="9475" max="9475" width="26.6640625" style="7" customWidth="1"/>
    <col min="9476" max="9476" width="25.33203125" style="7" customWidth="1"/>
    <col min="9477" max="9477" width="30.6640625" style="7" customWidth="1"/>
    <col min="9478" max="9478" width="28.33203125" style="7" customWidth="1"/>
    <col min="9479" max="9479" width="21.33203125" style="7" customWidth="1"/>
    <col min="9480" max="9480" width="20.6640625" style="7" customWidth="1"/>
    <col min="9481" max="9728" width="9.109375" style="7"/>
    <col min="9729" max="9729" width="45" style="7" bestFit="1" customWidth="1"/>
    <col min="9730" max="9730" width="20.44140625" style="7" customWidth="1"/>
    <col min="9731" max="9731" width="26.6640625" style="7" customWidth="1"/>
    <col min="9732" max="9732" width="25.33203125" style="7" customWidth="1"/>
    <col min="9733" max="9733" width="30.6640625" style="7" customWidth="1"/>
    <col min="9734" max="9734" width="28.33203125" style="7" customWidth="1"/>
    <col min="9735" max="9735" width="21.33203125" style="7" customWidth="1"/>
    <col min="9736" max="9736" width="20.6640625" style="7" customWidth="1"/>
    <col min="9737" max="9984" width="9.109375" style="7"/>
    <col min="9985" max="9985" width="45" style="7" bestFit="1" customWidth="1"/>
    <col min="9986" max="9986" width="20.44140625" style="7" customWidth="1"/>
    <col min="9987" max="9987" width="26.6640625" style="7" customWidth="1"/>
    <col min="9988" max="9988" width="25.33203125" style="7" customWidth="1"/>
    <col min="9989" max="9989" width="30.6640625" style="7" customWidth="1"/>
    <col min="9990" max="9990" width="28.33203125" style="7" customWidth="1"/>
    <col min="9991" max="9991" width="21.33203125" style="7" customWidth="1"/>
    <col min="9992" max="9992" width="20.6640625" style="7" customWidth="1"/>
    <col min="9993" max="10240" width="9.109375" style="7"/>
    <col min="10241" max="10241" width="45" style="7" bestFit="1" customWidth="1"/>
    <col min="10242" max="10242" width="20.44140625" style="7" customWidth="1"/>
    <col min="10243" max="10243" width="26.6640625" style="7" customWidth="1"/>
    <col min="10244" max="10244" width="25.33203125" style="7" customWidth="1"/>
    <col min="10245" max="10245" width="30.6640625" style="7" customWidth="1"/>
    <col min="10246" max="10246" width="28.33203125" style="7" customWidth="1"/>
    <col min="10247" max="10247" width="21.33203125" style="7" customWidth="1"/>
    <col min="10248" max="10248" width="20.6640625" style="7" customWidth="1"/>
    <col min="10249" max="10496" width="9.109375" style="7"/>
    <col min="10497" max="10497" width="45" style="7" bestFit="1" customWidth="1"/>
    <col min="10498" max="10498" width="20.44140625" style="7" customWidth="1"/>
    <col min="10499" max="10499" width="26.6640625" style="7" customWidth="1"/>
    <col min="10500" max="10500" width="25.33203125" style="7" customWidth="1"/>
    <col min="10501" max="10501" width="30.6640625" style="7" customWidth="1"/>
    <col min="10502" max="10502" width="28.33203125" style="7" customWidth="1"/>
    <col min="10503" max="10503" width="21.33203125" style="7" customWidth="1"/>
    <col min="10504" max="10504" width="20.6640625" style="7" customWidth="1"/>
    <col min="10505" max="10752" width="9.109375" style="7"/>
    <col min="10753" max="10753" width="45" style="7" bestFit="1" customWidth="1"/>
    <col min="10754" max="10754" width="20.44140625" style="7" customWidth="1"/>
    <col min="10755" max="10755" width="26.6640625" style="7" customWidth="1"/>
    <col min="10756" max="10756" width="25.33203125" style="7" customWidth="1"/>
    <col min="10757" max="10757" width="30.6640625" style="7" customWidth="1"/>
    <col min="10758" max="10758" width="28.33203125" style="7" customWidth="1"/>
    <col min="10759" max="10759" width="21.33203125" style="7" customWidth="1"/>
    <col min="10760" max="10760" width="20.6640625" style="7" customWidth="1"/>
    <col min="10761" max="11008" width="9.109375" style="7"/>
    <col min="11009" max="11009" width="45" style="7" bestFit="1" customWidth="1"/>
    <col min="11010" max="11010" width="20.44140625" style="7" customWidth="1"/>
    <col min="11011" max="11011" width="26.6640625" style="7" customWidth="1"/>
    <col min="11012" max="11012" width="25.33203125" style="7" customWidth="1"/>
    <col min="11013" max="11013" width="30.6640625" style="7" customWidth="1"/>
    <col min="11014" max="11014" width="28.33203125" style="7" customWidth="1"/>
    <col min="11015" max="11015" width="21.33203125" style="7" customWidth="1"/>
    <col min="11016" max="11016" width="20.6640625" style="7" customWidth="1"/>
    <col min="11017" max="11264" width="9.109375" style="7"/>
    <col min="11265" max="11265" width="45" style="7" bestFit="1" customWidth="1"/>
    <col min="11266" max="11266" width="20.44140625" style="7" customWidth="1"/>
    <col min="11267" max="11267" width="26.6640625" style="7" customWidth="1"/>
    <col min="11268" max="11268" width="25.33203125" style="7" customWidth="1"/>
    <col min="11269" max="11269" width="30.6640625" style="7" customWidth="1"/>
    <col min="11270" max="11270" width="28.33203125" style="7" customWidth="1"/>
    <col min="11271" max="11271" width="21.33203125" style="7" customWidth="1"/>
    <col min="11272" max="11272" width="20.6640625" style="7" customWidth="1"/>
    <col min="11273" max="11520" width="9.109375" style="7"/>
    <col min="11521" max="11521" width="45" style="7" bestFit="1" customWidth="1"/>
    <col min="11522" max="11522" width="20.44140625" style="7" customWidth="1"/>
    <col min="11523" max="11523" width="26.6640625" style="7" customWidth="1"/>
    <col min="11524" max="11524" width="25.33203125" style="7" customWidth="1"/>
    <col min="11525" max="11525" width="30.6640625" style="7" customWidth="1"/>
    <col min="11526" max="11526" width="28.33203125" style="7" customWidth="1"/>
    <col min="11527" max="11527" width="21.33203125" style="7" customWidth="1"/>
    <col min="11528" max="11528" width="20.6640625" style="7" customWidth="1"/>
    <col min="11529" max="11776" width="9.109375" style="7"/>
    <col min="11777" max="11777" width="45" style="7" bestFit="1" customWidth="1"/>
    <col min="11778" max="11778" width="20.44140625" style="7" customWidth="1"/>
    <col min="11779" max="11779" width="26.6640625" style="7" customWidth="1"/>
    <col min="11780" max="11780" width="25.33203125" style="7" customWidth="1"/>
    <col min="11781" max="11781" width="30.6640625" style="7" customWidth="1"/>
    <col min="11782" max="11782" width="28.33203125" style="7" customWidth="1"/>
    <col min="11783" max="11783" width="21.33203125" style="7" customWidth="1"/>
    <col min="11784" max="11784" width="20.6640625" style="7" customWidth="1"/>
    <col min="11785" max="12032" width="9.109375" style="7"/>
    <col min="12033" max="12033" width="45" style="7" bestFit="1" customWidth="1"/>
    <col min="12034" max="12034" width="20.44140625" style="7" customWidth="1"/>
    <col min="12035" max="12035" width="26.6640625" style="7" customWidth="1"/>
    <col min="12036" max="12036" width="25.33203125" style="7" customWidth="1"/>
    <col min="12037" max="12037" width="30.6640625" style="7" customWidth="1"/>
    <col min="12038" max="12038" width="28.33203125" style="7" customWidth="1"/>
    <col min="12039" max="12039" width="21.33203125" style="7" customWidth="1"/>
    <col min="12040" max="12040" width="20.6640625" style="7" customWidth="1"/>
    <col min="12041" max="12288" width="9.109375" style="7"/>
    <col min="12289" max="12289" width="45" style="7" bestFit="1" customWidth="1"/>
    <col min="12290" max="12290" width="20.44140625" style="7" customWidth="1"/>
    <col min="12291" max="12291" width="26.6640625" style="7" customWidth="1"/>
    <col min="12292" max="12292" width="25.33203125" style="7" customWidth="1"/>
    <col min="12293" max="12293" width="30.6640625" style="7" customWidth="1"/>
    <col min="12294" max="12294" width="28.33203125" style="7" customWidth="1"/>
    <col min="12295" max="12295" width="21.33203125" style="7" customWidth="1"/>
    <col min="12296" max="12296" width="20.6640625" style="7" customWidth="1"/>
    <col min="12297" max="12544" width="9.109375" style="7"/>
    <col min="12545" max="12545" width="45" style="7" bestFit="1" customWidth="1"/>
    <col min="12546" max="12546" width="20.44140625" style="7" customWidth="1"/>
    <col min="12547" max="12547" width="26.6640625" style="7" customWidth="1"/>
    <col min="12548" max="12548" width="25.33203125" style="7" customWidth="1"/>
    <col min="12549" max="12549" width="30.6640625" style="7" customWidth="1"/>
    <col min="12550" max="12550" width="28.33203125" style="7" customWidth="1"/>
    <col min="12551" max="12551" width="21.33203125" style="7" customWidth="1"/>
    <col min="12552" max="12552" width="20.6640625" style="7" customWidth="1"/>
    <col min="12553" max="12800" width="9.109375" style="7"/>
    <col min="12801" max="12801" width="45" style="7" bestFit="1" customWidth="1"/>
    <col min="12802" max="12802" width="20.44140625" style="7" customWidth="1"/>
    <col min="12803" max="12803" width="26.6640625" style="7" customWidth="1"/>
    <col min="12804" max="12804" width="25.33203125" style="7" customWidth="1"/>
    <col min="12805" max="12805" width="30.6640625" style="7" customWidth="1"/>
    <col min="12806" max="12806" width="28.33203125" style="7" customWidth="1"/>
    <col min="12807" max="12807" width="21.33203125" style="7" customWidth="1"/>
    <col min="12808" max="12808" width="20.6640625" style="7" customWidth="1"/>
    <col min="12809" max="13056" width="9.109375" style="7"/>
    <col min="13057" max="13057" width="45" style="7" bestFit="1" customWidth="1"/>
    <col min="13058" max="13058" width="20.44140625" style="7" customWidth="1"/>
    <col min="13059" max="13059" width="26.6640625" style="7" customWidth="1"/>
    <col min="13060" max="13060" width="25.33203125" style="7" customWidth="1"/>
    <col min="13061" max="13061" width="30.6640625" style="7" customWidth="1"/>
    <col min="13062" max="13062" width="28.33203125" style="7" customWidth="1"/>
    <col min="13063" max="13063" width="21.33203125" style="7" customWidth="1"/>
    <col min="13064" max="13064" width="20.6640625" style="7" customWidth="1"/>
    <col min="13065" max="13312" width="9.109375" style="7"/>
    <col min="13313" max="13313" width="45" style="7" bestFit="1" customWidth="1"/>
    <col min="13314" max="13314" width="20.44140625" style="7" customWidth="1"/>
    <col min="13315" max="13315" width="26.6640625" style="7" customWidth="1"/>
    <col min="13316" max="13316" width="25.33203125" style="7" customWidth="1"/>
    <col min="13317" max="13317" width="30.6640625" style="7" customWidth="1"/>
    <col min="13318" max="13318" width="28.33203125" style="7" customWidth="1"/>
    <col min="13319" max="13319" width="21.33203125" style="7" customWidth="1"/>
    <col min="13320" max="13320" width="20.6640625" style="7" customWidth="1"/>
    <col min="13321" max="13568" width="9.109375" style="7"/>
    <col min="13569" max="13569" width="45" style="7" bestFit="1" customWidth="1"/>
    <col min="13570" max="13570" width="20.44140625" style="7" customWidth="1"/>
    <col min="13571" max="13571" width="26.6640625" style="7" customWidth="1"/>
    <col min="13572" max="13572" width="25.33203125" style="7" customWidth="1"/>
    <col min="13573" max="13573" width="30.6640625" style="7" customWidth="1"/>
    <col min="13574" max="13574" width="28.33203125" style="7" customWidth="1"/>
    <col min="13575" max="13575" width="21.33203125" style="7" customWidth="1"/>
    <col min="13576" max="13576" width="20.6640625" style="7" customWidth="1"/>
    <col min="13577" max="13824" width="9.109375" style="7"/>
    <col min="13825" max="13825" width="45" style="7" bestFit="1" customWidth="1"/>
    <col min="13826" max="13826" width="20.44140625" style="7" customWidth="1"/>
    <col min="13827" max="13827" width="26.6640625" style="7" customWidth="1"/>
    <col min="13828" max="13828" width="25.33203125" style="7" customWidth="1"/>
    <col min="13829" max="13829" width="30.6640625" style="7" customWidth="1"/>
    <col min="13830" max="13830" width="28.33203125" style="7" customWidth="1"/>
    <col min="13831" max="13831" width="21.33203125" style="7" customWidth="1"/>
    <col min="13832" max="13832" width="20.6640625" style="7" customWidth="1"/>
    <col min="13833" max="14080" width="9.109375" style="7"/>
    <col min="14081" max="14081" width="45" style="7" bestFit="1" customWidth="1"/>
    <col min="14082" max="14082" width="20.44140625" style="7" customWidth="1"/>
    <col min="14083" max="14083" width="26.6640625" style="7" customWidth="1"/>
    <col min="14084" max="14084" width="25.33203125" style="7" customWidth="1"/>
    <col min="14085" max="14085" width="30.6640625" style="7" customWidth="1"/>
    <col min="14086" max="14086" width="28.33203125" style="7" customWidth="1"/>
    <col min="14087" max="14087" width="21.33203125" style="7" customWidth="1"/>
    <col min="14088" max="14088" width="20.6640625" style="7" customWidth="1"/>
    <col min="14089" max="14336" width="9.109375" style="7"/>
    <col min="14337" max="14337" width="45" style="7" bestFit="1" customWidth="1"/>
    <col min="14338" max="14338" width="20.44140625" style="7" customWidth="1"/>
    <col min="14339" max="14339" width="26.6640625" style="7" customWidth="1"/>
    <col min="14340" max="14340" width="25.33203125" style="7" customWidth="1"/>
    <col min="14341" max="14341" width="30.6640625" style="7" customWidth="1"/>
    <col min="14342" max="14342" width="28.33203125" style="7" customWidth="1"/>
    <col min="14343" max="14343" width="21.33203125" style="7" customWidth="1"/>
    <col min="14344" max="14344" width="20.6640625" style="7" customWidth="1"/>
    <col min="14345" max="14592" width="9.109375" style="7"/>
    <col min="14593" max="14593" width="45" style="7" bestFit="1" customWidth="1"/>
    <col min="14594" max="14594" width="20.44140625" style="7" customWidth="1"/>
    <col min="14595" max="14595" width="26.6640625" style="7" customWidth="1"/>
    <col min="14596" max="14596" width="25.33203125" style="7" customWidth="1"/>
    <col min="14597" max="14597" width="30.6640625" style="7" customWidth="1"/>
    <col min="14598" max="14598" width="28.33203125" style="7" customWidth="1"/>
    <col min="14599" max="14599" width="21.33203125" style="7" customWidth="1"/>
    <col min="14600" max="14600" width="20.6640625" style="7" customWidth="1"/>
    <col min="14601" max="14848" width="9.109375" style="7"/>
    <col min="14849" max="14849" width="45" style="7" bestFit="1" customWidth="1"/>
    <col min="14850" max="14850" width="20.44140625" style="7" customWidth="1"/>
    <col min="14851" max="14851" width="26.6640625" style="7" customWidth="1"/>
    <col min="14852" max="14852" width="25.33203125" style="7" customWidth="1"/>
    <col min="14853" max="14853" width="30.6640625" style="7" customWidth="1"/>
    <col min="14854" max="14854" width="28.33203125" style="7" customWidth="1"/>
    <col min="14855" max="14855" width="21.33203125" style="7" customWidth="1"/>
    <col min="14856" max="14856" width="20.6640625" style="7" customWidth="1"/>
    <col min="14857" max="15104" width="9.109375" style="7"/>
    <col min="15105" max="15105" width="45" style="7" bestFit="1" customWidth="1"/>
    <col min="15106" max="15106" width="20.44140625" style="7" customWidth="1"/>
    <col min="15107" max="15107" width="26.6640625" style="7" customWidth="1"/>
    <col min="15108" max="15108" width="25.33203125" style="7" customWidth="1"/>
    <col min="15109" max="15109" width="30.6640625" style="7" customWidth="1"/>
    <col min="15110" max="15110" width="28.33203125" style="7" customWidth="1"/>
    <col min="15111" max="15111" width="21.33203125" style="7" customWidth="1"/>
    <col min="15112" max="15112" width="20.6640625" style="7" customWidth="1"/>
    <col min="15113" max="15360" width="9.109375" style="7"/>
    <col min="15361" max="15361" width="45" style="7" bestFit="1" customWidth="1"/>
    <col min="15362" max="15362" width="20.44140625" style="7" customWidth="1"/>
    <col min="15363" max="15363" width="26.6640625" style="7" customWidth="1"/>
    <col min="15364" max="15364" width="25.33203125" style="7" customWidth="1"/>
    <col min="15365" max="15365" width="30.6640625" style="7" customWidth="1"/>
    <col min="15366" max="15366" width="28.33203125" style="7" customWidth="1"/>
    <col min="15367" max="15367" width="21.33203125" style="7" customWidth="1"/>
    <col min="15368" max="15368" width="20.6640625" style="7" customWidth="1"/>
    <col min="15369" max="15616" width="9.109375" style="7"/>
    <col min="15617" max="15617" width="45" style="7" bestFit="1" customWidth="1"/>
    <col min="15618" max="15618" width="20.44140625" style="7" customWidth="1"/>
    <col min="15619" max="15619" width="26.6640625" style="7" customWidth="1"/>
    <col min="15620" max="15620" width="25.33203125" style="7" customWidth="1"/>
    <col min="15621" max="15621" width="30.6640625" style="7" customWidth="1"/>
    <col min="15622" max="15622" width="28.33203125" style="7" customWidth="1"/>
    <col min="15623" max="15623" width="21.33203125" style="7" customWidth="1"/>
    <col min="15624" max="15624" width="20.6640625" style="7" customWidth="1"/>
    <col min="15625" max="15872" width="9.109375" style="7"/>
    <col min="15873" max="15873" width="45" style="7" bestFit="1" customWidth="1"/>
    <col min="15874" max="15874" width="20.44140625" style="7" customWidth="1"/>
    <col min="15875" max="15875" width="26.6640625" style="7" customWidth="1"/>
    <col min="15876" max="15876" width="25.33203125" style="7" customWidth="1"/>
    <col min="15877" max="15877" width="30.6640625" style="7" customWidth="1"/>
    <col min="15878" max="15878" width="28.33203125" style="7" customWidth="1"/>
    <col min="15879" max="15879" width="21.33203125" style="7" customWidth="1"/>
    <col min="15880" max="15880" width="20.6640625" style="7" customWidth="1"/>
    <col min="15881" max="16128" width="9.109375" style="7"/>
    <col min="16129" max="16129" width="45" style="7" bestFit="1" customWidth="1"/>
    <col min="16130" max="16130" width="20.44140625" style="7" customWidth="1"/>
    <col min="16131" max="16131" width="26.6640625" style="7" customWidth="1"/>
    <col min="16132" max="16132" width="25.33203125" style="7" customWidth="1"/>
    <col min="16133" max="16133" width="30.6640625" style="7" customWidth="1"/>
    <col min="16134" max="16134" width="28.33203125" style="7" customWidth="1"/>
    <col min="16135" max="16135" width="21.33203125" style="7" customWidth="1"/>
    <col min="16136" max="16136" width="20.6640625" style="7" customWidth="1"/>
    <col min="16137"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314</v>
      </c>
      <c r="B2" s="4">
        <v>57208.2</v>
      </c>
      <c r="C2" s="3" t="s">
        <v>1155</v>
      </c>
      <c r="D2" s="5">
        <v>2952008</v>
      </c>
      <c r="E2" s="3" t="s">
        <v>10</v>
      </c>
      <c r="F2" s="6" t="s">
        <v>1156</v>
      </c>
      <c r="G2" s="5">
        <v>0</v>
      </c>
      <c r="H2" s="5">
        <v>0</v>
      </c>
    </row>
    <row r="4" spans="1:8" x14ac:dyDescent="0.3">
      <c r="A4" s="8" t="s">
        <v>11</v>
      </c>
    </row>
    <row r="6" spans="1:8" ht="16.2" thickBot="1" x14ac:dyDescent="0.35">
      <c r="A6" s="9" t="s">
        <v>12</v>
      </c>
      <c r="B6" s="10" t="s">
        <v>9</v>
      </c>
    </row>
    <row r="7" spans="1:8" ht="16.2" thickBot="1" x14ac:dyDescent="0.35">
      <c r="A7" s="11" t="s">
        <v>51</v>
      </c>
      <c r="B7" s="12">
        <v>0</v>
      </c>
      <c r="C7" s="270" t="s">
        <v>420</v>
      </c>
    </row>
    <row r="8" spans="1:8" ht="16.2" thickBot="1" x14ac:dyDescent="0.35">
      <c r="A8" s="11" t="s">
        <v>53</v>
      </c>
      <c r="B8" s="12">
        <v>0</v>
      </c>
      <c r="C8" s="270" t="s">
        <v>1157</v>
      </c>
    </row>
    <row r="9" spans="1:8" ht="16.2" thickBot="1" x14ac:dyDescent="0.35">
      <c r="A9" s="11" t="s">
        <v>55</v>
      </c>
      <c r="B9" s="12">
        <v>0</v>
      </c>
      <c r="C9" s="270" t="s">
        <v>420</v>
      </c>
    </row>
    <row r="10" spans="1:8" ht="16.2" thickBot="1" x14ac:dyDescent="0.35">
      <c r="A10" s="11" t="s">
        <v>57</v>
      </c>
      <c r="B10" s="12">
        <v>0</v>
      </c>
      <c r="C10" s="270" t="s">
        <v>420</v>
      </c>
    </row>
    <row r="11" spans="1:8" ht="16.2" thickBot="1" x14ac:dyDescent="0.35">
      <c r="A11" s="11" t="s">
        <v>452</v>
      </c>
      <c r="B11" s="12">
        <v>23208.2</v>
      </c>
      <c r="C11" s="270" t="s">
        <v>1158</v>
      </c>
    </row>
    <row r="12" spans="1:8" ht="16.2" thickBot="1" x14ac:dyDescent="0.35">
      <c r="A12" s="11" t="s">
        <v>1159</v>
      </c>
      <c r="B12" s="12">
        <v>34000</v>
      </c>
      <c r="C12" s="270" t="s">
        <v>1160</v>
      </c>
    </row>
    <row r="13" spans="1:8" ht="16.2" thickBot="1" x14ac:dyDescent="0.35">
      <c r="A13" s="11"/>
      <c r="B13" s="10"/>
      <c r="C13" s="12">
        <v>57208.2</v>
      </c>
    </row>
    <row r="14" spans="1:8" x14ac:dyDescent="0.3">
      <c r="A14" s="13"/>
      <c r="C14" s="10" t="s">
        <v>9</v>
      </c>
    </row>
    <row r="16" spans="1:8" ht="31.2" x14ac:dyDescent="0.3">
      <c r="A16" s="1" t="s">
        <v>17</v>
      </c>
      <c r="B16" s="14" t="s">
        <v>18</v>
      </c>
      <c r="C16" s="1" t="s">
        <v>19</v>
      </c>
      <c r="D16" s="1" t="s">
        <v>20</v>
      </c>
      <c r="E16" s="1" t="s">
        <v>21</v>
      </c>
      <c r="F16" s="1" t="s">
        <v>22</v>
      </c>
    </row>
    <row r="17" spans="1:6" ht="16.2" thickBot="1" x14ac:dyDescent="0.35">
      <c r="A17" s="15" t="s">
        <v>23</v>
      </c>
      <c r="B17" s="16">
        <v>200</v>
      </c>
      <c r="C17" s="16">
        <v>500</v>
      </c>
      <c r="D17" s="29" t="s">
        <v>24</v>
      </c>
      <c r="E17" s="17"/>
      <c r="F17" s="18"/>
    </row>
    <row r="18" spans="1:6" ht="16.2" thickBot="1" x14ac:dyDescent="0.35">
      <c r="A18" s="15" t="s">
        <v>25</v>
      </c>
      <c r="B18" s="12">
        <v>693.9</v>
      </c>
      <c r="C18" s="12">
        <v>693.9</v>
      </c>
      <c r="D18" s="29" t="s">
        <v>24</v>
      </c>
      <c r="E18" s="19"/>
      <c r="F18" s="20"/>
    </row>
    <row r="19" spans="1:6" ht="16.2" thickBot="1" x14ac:dyDescent="0.35">
      <c r="A19" s="15" t="s">
        <v>26</v>
      </c>
      <c r="B19" s="12">
        <v>0</v>
      </c>
      <c r="C19" s="12">
        <v>0</v>
      </c>
      <c r="D19" s="30"/>
      <c r="E19" s="19"/>
      <c r="F19" s="20"/>
    </row>
    <row r="20" spans="1:6" ht="16.2" thickBot="1" x14ac:dyDescent="0.35">
      <c r="A20" s="15" t="s">
        <v>27</v>
      </c>
      <c r="B20" s="12" t="s">
        <v>602</v>
      </c>
      <c r="C20" s="12">
        <v>0</v>
      </c>
      <c r="D20" s="29" t="s">
        <v>24</v>
      </c>
      <c r="E20" s="19"/>
      <c r="F20" s="20"/>
    </row>
    <row r="21" spans="1:6" ht="16.2" thickBot="1" x14ac:dyDescent="0.35">
      <c r="A21" s="15" t="s">
        <v>28</v>
      </c>
      <c r="B21" s="12">
        <v>0</v>
      </c>
      <c r="C21" s="12">
        <v>0</v>
      </c>
      <c r="D21" s="30"/>
      <c r="E21" s="19"/>
      <c r="F21" s="20"/>
    </row>
    <row r="22" spans="1:6" ht="16.2" thickBot="1" x14ac:dyDescent="0.35">
      <c r="A22" s="15" t="s">
        <v>29</v>
      </c>
      <c r="B22" s="12">
        <v>1220</v>
      </c>
      <c r="C22" s="12">
        <v>3000</v>
      </c>
      <c r="D22" s="29" t="s">
        <v>24</v>
      </c>
      <c r="E22" s="19"/>
      <c r="F22" s="20"/>
    </row>
    <row r="23" spans="1:6" ht="16.2" thickBot="1" x14ac:dyDescent="0.35">
      <c r="A23" s="15" t="s">
        <v>30</v>
      </c>
      <c r="B23" s="12">
        <v>297.18</v>
      </c>
      <c r="C23" s="12">
        <v>600</v>
      </c>
      <c r="D23" s="29" t="s">
        <v>24</v>
      </c>
      <c r="E23" s="19"/>
      <c r="F23" s="20"/>
    </row>
    <row r="24" spans="1:6" ht="16.2" thickBot="1" x14ac:dyDescent="0.35">
      <c r="A24" s="15" t="s">
        <v>1161</v>
      </c>
      <c r="B24" s="12">
        <v>47.82</v>
      </c>
      <c r="C24" s="12">
        <v>0</v>
      </c>
      <c r="D24" s="30"/>
      <c r="E24" s="19"/>
      <c r="F24" s="20"/>
    </row>
    <row r="25" spans="1:6" ht="16.2" thickBot="1" x14ac:dyDescent="0.35">
      <c r="A25" s="15" t="s">
        <v>70</v>
      </c>
      <c r="B25" s="12">
        <v>180</v>
      </c>
      <c r="C25" s="12">
        <v>700</v>
      </c>
      <c r="D25" s="30"/>
      <c r="E25" s="19"/>
      <c r="F25" s="20"/>
    </row>
    <row r="26" spans="1:6" ht="16.2" thickBot="1" x14ac:dyDescent="0.35">
      <c r="A26" s="202" t="s">
        <v>1162</v>
      </c>
      <c r="B26" s="12">
        <v>1759.73</v>
      </c>
      <c r="C26" s="12">
        <v>3000</v>
      </c>
      <c r="D26" s="30"/>
      <c r="E26" s="19"/>
      <c r="F26" s="20"/>
    </row>
    <row r="27" spans="1:6" ht="16.2" thickBot="1" x14ac:dyDescent="0.35">
      <c r="A27" s="202" t="s">
        <v>1163</v>
      </c>
      <c r="B27" s="12">
        <v>35357</v>
      </c>
      <c r="C27" s="12">
        <v>0</v>
      </c>
      <c r="D27" s="30"/>
      <c r="E27" s="19"/>
      <c r="F27" s="20"/>
    </row>
    <row r="28" spans="1:6" ht="16.2" thickBot="1" x14ac:dyDescent="0.35">
      <c r="A28" s="202" t="s">
        <v>1164</v>
      </c>
      <c r="B28" s="12">
        <v>5638.99</v>
      </c>
      <c r="C28" s="12">
        <v>0</v>
      </c>
      <c r="D28" s="30"/>
      <c r="E28" s="19"/>
      <c r="F28" s="20"/>
    </row>
    <row r="29" spans="1:6" ht="16.2" thickBot="1" x14ac:dyDescent="0.35">
      <c r="A29" s="21"/>
      <c r="B29" s="12">
        <v>0</v>
      </c>
      <c r="C29" s="12">
        <v>0</v>
      </c>
      <c r="D29" s="30"/>
      <c r="E29" s="19"/>
      <c r="F29" s="20"/>
    </row>
    <row r="30" spans="1:6" ht="16.2" thickBot="1" x14ac:dyDescent="0.35">
      <c r="A30" s="13" t="s">
        <v>32</v>
      </c>
      <c r="B30" s="22">
        <v>45394.619999999995</v>
      </c>
      <c r="C30" s="22">
        <v>8493.9</v>
      </c>
      <c r="D30" s="34"/>
      <c r="E30" s="23"/>
      <c r="F30" s="24"/>
    </row>
    <row r="32" spans="1:6" x14ac:dyDescent="0.3">
      <c r="C32" s="396">
        <f>SUM(B30:C30)</f>
        <v>53888.52</v>
      </c>
    </row>
  </sheetData>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6912D-29B7-45A4-80C9-704DC158BF5D}">
  <dimension ref="A1:H31"/>
  <sheetViews>
    <sheetView topLeftCell="A22"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25.4" thickBot="1" x14ac:dyDescent="0.35">
      <c r="A2" s="3" t="s">
        <v>315</v>
      </c>
      <c r="B2" s="4">
        <v>500000</v>
      </c>
      <c r="C2" s="3" t="s">
        <v>1165</v>
      </c>
      <c r="D2" s="5">
        <v>16460519</v>
      </c>
      <c r="E2" s="3" t="s">
        <v>10</v>
      </c>
      <c r="F2" s="6" t="s">
        <v>420</v>
      </c>
      <c r="G2" s="5">
        <v>0</v>
      </c>
      <c r="H2" s="5">
        <v>200000</v>
      </c>
    </row>
    <row r="4" spans="1:8" x14ac:dyDescent="0.3">
      <c r="A4" s="8" t="s">
        <v>11</v>
      </c>
    </row>
    <row r="6" spans="1:8" ht="16.2" thickBot="1" x14ac:dyDescent="0.35">
      <c r="A6" s="9" t="s">
        <v>12</v>
      </c>
      <c r="B6" s="10" t="s">
        <v>9</v>
      </c>
    </row>
    <row r="7" spans="1:8" ht="16.2" thickBot="1" x14ac:dyDescent="0.35">
      <c r="A7" s="11" t="s">
        <v>13</v>
      </c>
      <c r="B7" s="12">
        <v>40000</v>
      </c>
      <c r="C7" s="7" t="s">
        <v>1166</v>
      </c>
    </row>
    <row r="8" spans="1:8" ht="16.2" thickBot="1" x14ac:dyDescent="0.35">
      <c r="A8" s="11" t="s">
        <v>14</v>
      </c>
      <c r="B8" s="12">
        <v>50000</v>
      </c>
      <c r="C8" s="7" t="s">
        <v>1166</v>
      </c>
    </row>
    <row r="9" spans="1:8" ht="16.2" thickBot="1" x14ac:dyDescent="0.35">
      <c r="A9" s="11"/>
      <c r="B9" s="12">
        <v>0</v>
      </c>
    </row>
    <row r="10" spans="1:8" ht="16.2" thickBot="1" x14ac:dyDescent="0.35">
      <c r="A10" s="11"/>
      <c r="B10" s="12">
        <v>0</v>
      </c>
    </row>
    <row r="11" spans="1:8" ht="16.2" thickBot="1" x14ac:dyDescent="0.35">
      <c r="A11" s="11"/>
      <c r="B11" s="10"/>
      <c r="C11" s="12">
        <v>90000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1331.27</v>
      </c>
      <c r="C15" s="16">
        <v>5000</v>
      </c>
      <c r="D15" s="29" t="s">
        <v>24</v>
      </c>
      <c r="E15" s="17"/>
      <c r="F15" s="18" t="s">
        <v>1167</v>
      </c>
    </row>
    <row r="16" spans="1:8" ht="31.8" thickBot="1" x14ac:dyDescent="0.35">
      <c r="A16" s="15" t="s">
        <v>25</v>
      </c>
      <c r="B16" s="12">
        <v>2234.35</v>
      </c>
      <c r="C16" s="12">
        <v>3000</v>
      </c>
      <c r="D16" s="29" t="s">
        <v>24</v>
      </c>
      <c r="E16" s="19"/>
      <c r="F16" s="33" t="s">
        <v>1168</v>
      </c>
    </row>
    <row r="17" spans="1:6" ht="31.8" thickBot="1" x14ac:dyDescent="0.35">
      <c r="A17" s="15" t="s">
        <v>26</v>
      </c>
      <c r="B17" s="12">
        <v>12673.75</v>
      </c>
      <c r="C17" s="12">
        <v>25000</v>
      </c>
      <c r="D17" s="29" t="s">
        <v>24</v>
      </c>
      <c r="E17" s="19"/>
      <c r="F17" s="33" t="s">
        <v>1169</v>
      </c>
    </row>
    <row r="18" spans="1:6" ht="16.2" thickBot="1" x14ac:dyDescent="0.35">
      <c r="A18" s="15" t="s">
        <v>27</v>
      </c>
      <c r="B18" s="12">
        <v>0</v>
      </c>
      <c r="C18" s="12">
        <v>0</v>
      </c>
      <c r="D18" s="29" t="s">
        <v>24</v>
      </c>
      <c r="E18" s="19"/>
      <c r="F18" s="33"/>
    </row>
    <row r="19" spans="1:6" ht="16.2" thickBot="1" x14ac:dyDescent="0.35">
      <c r="A19" s="15" t="s">
        <v>28</v>
      </c>
      <c r="B19" s="12">
        <v>0</v>
      </c>
      <c r="C19" s="12">
        <v>0</v>
      </c>
      <c r="D19" s="29" t="s">
        <v>24</v>
      </c>
      <c r="E19" s="19"/>
      <c r="F19" s="20"/>
    </row>
    <row r="20" spans="1:6" ht="63" thickBot="1" x14ac:dyDescent="0.35">
      <c r="A20" s="15" t="s">
        <v>29</v>
      </c>
      <c r="B20" s="12">
        <v>8370.82</v>
      </c>
      <c r="C20" s="12">
        <v>15000</v>
      </c>
      <c r="D20" s="29" t="s">
        <v>24</v>
      </c>
      <c r="E20" s="19"/>
      <c r="F20" s="33" t="s">
        <v>1170</v>
      </c>
    </row>
    <row r="21" spans="1:6" ht="31.8" thickBot="1" x14ac:dyDescent="0.35">
      <c r="A21" s="15" t="s">
        <v>30</v>
      </c>
      <c r="B21" s="12">
        <v>1270.5</v>
      </c>
      <c r="C21" s="12">
        <v>3000</v>
      </c>
      <c r="D21" s="29" t="s">
        <v>24</v>
      </c>
      <c r="E21" s="19"/>
      <c r="F21" s="33" t="s">
        <v>1171</v>
      </c>
    </row>
    <row r="22" spans="1:6" ht="47.4" thickBot="1" x14ac:dyDescent="0.35">
      <c r="A22" s="15" t="s">
        <v>658</v>
      </c>
      <c r="B22" s="12">
        <v>1347.5</v>
      </c>
      <c r="C22" s="12">
        <v>2000</v>
      </c>
      <c r="D22" s="29" t="s">
        <v>24</v>
      </c>
      <c r="E22" s="19"/>
      <c r="F22" s="33" t="s">
        <v>1172</v>
      </c>
    </row>
    <row r="23" spans="1:6" ht="31.8" thickBot="1" x14ac:dyDescent="0.35">
      <c r="A23" s="15" t="s">
        <v>1173</v>
      </c>
      <c r="B23" s="12">
        <v>949</v>
      </c>
      <c r="C23" s="12">
        <v>2300</v>
      </c>
      <c r="D23" s="29" t="s">
        <v>24</v>
      </c>
      <c r="E23" s="19"/>
      <c r="F23" s="33" t="s">
        <v>1174</v>
      </c>
    </row>
    <row r="24" spans="1:6" ht="31.8" thickBot="1" x14ac:dyDescent="0.35">
      <c r="A24" s="15" t="s">
        <v>1161</v>
      </c>
      <c r="B24" s="12">
        <v>254.52</v>
      </c>
      <c r="C24" s="12">
        <v>500</v>
      </c>
      <c r="D24" s="29" t="s">
        <v>24</v>
      </c>
      <c r="E24" s="19"/>
      <c r="F24" s="33" t="s">
        <v>1175</v>
      </c>
    </row>
    <row r="25" spans="1:6" ht="16.2" thickBot="1" x14ac:dyDescent="0.35">
      <c r="A25" s="11"/>
      <c r="B25" s="12">
        <v>0</v>
      </c>
      <c r="C25" s="12">
        <v>0</v>
      </c>
      <c r="D25" s="19"/>
      <c r="E25" s="19"/>
      <c r="F25" s="33"/>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28431.71</v>
      </c>
      <c r="C28" s="22">
        <v>55800</v>
      </c>
      <c r="D28" s="23"/>
      <c r="E28" s="23"/>
      <c r="F28" s="24"/>
    </row>
    <row r="30" spans="1:6" x14ac:dyDescent="0.3">
      <c r="A30" s="7" t="s">
        <v>1176</v>
      </c>
    </row>
    <row r="31" spans="1:6" x14ac:dyDescent="0.3">
      <c r="A31" s="7" t="s">
        <v>1177</v>
      </c>
    </row>
  </sheetData>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96E7-C45E-4476-B948-62DE92375562}">
  <dimension ref="A1:H30"/>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1178</v>
      </c>
      <c r="B2" s="4">
        <v>4740188</v>
      </c>
      <c r="C2" s="3" t="s">
        <v>1179</v>
      </c>
      <c r="D2" s="5">
        <v>7060613</v>
      </c>
      <c r="E2" s="3" t="s">
        <v>10</v>
      </c>
      <c r="F2" s="6" t="s">
        <v>1180</v>
      </c>
      <c r="G2" s="5">
        <v>0</v>
      </c>
      <c r="H2" s="5">
        <v>0</v>
      </c>
    </row>
    <row r="4" spans="1:8" x14ac:dyDescent="0.3">
      <c r="A4" s="8" t="s">
        <v>11</v>
      </c>
    </row>
    <row r="6" spans="1:8" ht="16.2" thickBot="1" x14ac:dyDescent="0.35">
      <c r="A6" s="9" t="s">
        <v>12</v>
      </c>
      <c r="B6" s="10" t="s">
        <v>9</v>
      </c>
    </row>
    <row r="7" spans="1:8" ht="16.2" thickBot="1" x14ac:dyDescent="0.35">
      <c r="A7" s="11" t="s">
        <v>51</v>
      </c>
      <c r="B7" s="12">
        <v>10000</v>
      </c>
    </row>
    <row r="8" spans="1:8" ht="16.2" thickBot="1" x14ac:dyDescent="0.35">
      <c r="A8" s="11" t="s">
        <v>53</v>
      </c>
      <c r="B8" s="12">
        <v>4580188</v>
      </c>
    </row>
    <row r="9" spans="1:8" ht="16.2" thickBot="1" x14ac:dyDescent="0.35">
      <c r="A9" s="11" t="s">
        <v>55</v>
      </c>
      <c r="B9" s="12">
        <v>0</v>
      </c>
    </row>
    <row r="10" spans="1:8" ht="16.2" thickBot="1" x14ac:dyDescent="0.35">
      <c r="A10" s="11" t="s">
        <v>57</v>
      </c>
      <c r="B10" s="12">
        <v>0</v>
      </c>
    </row>
    <row r="11" spans="1:8" ht="16.2" thickBot="1" x14ac:dyDescent="0.35">
      <c r="A11" s="11" t="s">
        <v>1181</v>
      </c>
      <c r="B11" s="12">
        <v>30000</v>
      </c>
    </row>
    <row r="12" spans="1:8" ht="16.2" thickBot="1" x14ac:dyDescent="0.35">
      <c r="A12" s="11" t="s">
        <v>1182</v>
      </c>
      <c r="B12" s="12">
        <v>120000</v>
      </c>
    </row>
    <row r="13" spans="1:8" ht="16.2" thickBot="1" x14ac:dyDescent="0.35">
      <c r="A13" s="11"/>
      <c r="B13" s="10"/>
      <c r="C13" s="12">
        <v>4740188</v>
      </c>
    </row>
    <row r="14" spans="1:8" x14ac:dyDescent="0.3">
      <c r="A14" s="13"/>
      <c r="C14" s="10" t="s">
        <v>9</v>
      </c>
    </row>
    <row r="16" spans="1:8" ht="31.2" x14ac:dyDescent="0.3">
      <c r="A16" s="1" t="s">
        <v>17</v>
      </c>
      <c r="B16" s="14" t="s">
        <v>18</v>
      </c>
      <c r="C16" s="1" t="s">
        <v>19</v>
      </c>
      <c r="D16" s="1" t="s">
        <v>20</v>
      </c>
      <c r="E16" s="1" t="s">
        <v>21</v>
      </c>
      <c r="F16" s="1" t="s">
        <v>22</v>
      </c>
    </row>
    <row r="17" spans="1:6" ht="16.2" thickBot="1" x14ac:dyDescent="0.35">
      <c r="A17" s="15" t="s">
        <v>23</v>
      </c>
      <c r="B17" s="16">
        <v>8600</v>
      </c>
      <c r="C17" s="16">
        <v>12800</v>
      </c>
      <c r="D17" s="29" t="s">
        <v>24</v>
      </c>
      <c r="E17" s="17" t="s">
        <v>79</v>
      </c>
      <c r="F17" s="18"/>
    </row>
    <row r="18" spans="1:6" ht="16.2" thickBot="1" x14ac:dyDescent="0.35">
      <c r="A18" s="15" t="s">
        <v>25</v>
      </c>
      <c r="B18" s="12">
        <v>6000</v>
      </c>
      <c r="C18" s="12">
        <v>7000</v>
      </c>
      <c r="D18" s="30" t="s">
        <v>24</v>
      </c>
      <c r="E18" s="17" t="s">
        <v>79</v>
      </c>
      <c r="F18" s="20"/>
    </row>
    <row r="19" spans="1:6" ht="16.2" thickBot="1" x14ac:dyDescent="0.35">
      <c r="A19" s="15" t="s">
        <v>26</v>
      </c>
      <c r="B19" s="12">
        <v>18800</v>
      </c>
      <c r="C19" s="12">
        <v>35000</v>
      </c>
      <c r="D19" s="30" t="s">
        <v>24</v>
      </c>
      <c r="E19" s="17"/>
      <c r="F19" s="20"/>
    </row>
    <row r="20" spans="1:6" ht="16.2" thickBot="1" x14ac:dyDescent="0.35">
      <c r="A20" s="15" t="s">
        <v>27</v>
      </c>
      <c r="B20" s="12">
        <v>0</v>
      </c>
      <c r="C20" s="12">
        <v>0</v>
      </c>
      <c r="D20" s="30"/>
      <c r="E20" s="19"/>
      <c r="F20" s="20"/>
    </row>
    <row r="21" spans="1:6" ht="16.2" thickBot="1" x14ac:dyDescent="0.35">
      <c r="A21" s="15" t="s">
        <v>28</v>
      </c>
      <c r="B21" s="12">
        <v>0</v>
      </c>
      <c r="C21" s="12">
        <v>0</v>
      </c>
      <c r="D21" s="30"/>
      <c r="E21" s="19"/>
      <c r="F21" s="20"/>
    </row>
    <row r="22" spans="1:6" ht="16.2" thickBot="1" x14ac:dyDescent="0.35">
      <c r="A22" s="15" t="s">
        <v>29</v>
      </c>
      <c r="B22" s="12">
        <v>4600</v>
      </c>
      <c r="C22" s="12">
        <v>18500</v>
      </c>
      <c r="D22" s="30" t="s">
        <v>24</v>
      </c>
      <c r="E22" s="17" t="s">
        <v>79</v>
      </c>
      <c r="F22" s="20"/>
    </row>
    <row r="23" spans="1:6" ht="16.2" thickBot="1" x14ac:dyDescent="0.35">
      <c r="A23" s="15" t="s">
        <v>30</v>
      </c>
      <c r="B23" s="12">
        <v>8600</v>
      </c>
      <c r="C23" s="12">
        <v>10000</v>
      </c>
      <c r="D23" s="30" t="s">
        <v>24</v>
      </c>
      <c r="E23" s="17" t="s">
        <v>79</v>
      </c>
      <c r="F23" s="20"/>
    </row>
    <row r="24" spans="1:6" ht="16.2" thickBot="1" x14ac:dyDescent="0.35">
      <c r="A24" s="15" t="s">
        <v>1183</v>
      </c>
      <c r="B24" s="12">
        <v>1700</v>
      </c>
      <c r="C24" s="12">
        <v>2700</v>
      </c>
      <c r="D24" s="30" t="s">
        <v>24</v>
      </c>
      <c r="E24" s="19"/>
      <c r="F24" s="20"/>
    </row>
    <row r="25" spans="1:6" ht="16.2" thickBot="1" x14ac:dyDescent="0.35">
      <c r="A25" s="15" t="s">
        <v>929</v>
      </c>
      <c r="B25" s="12">
        <v>700</v>
      </c>
      <c r="C25" s="12">
        <v>1000</v>
      </c>
      <c r="D25" s="30" t="s">
        <v>24</v>
      </c>
      <c r="E25" s="19"/>
      <c r="F25" s="20"/>
    </row>
    <row r="26" spans="1:6" ht="16.2" thickBot="1" x14ac:dyDescent="0.35">
      <c r="A26" s="11"/>
      <c r="B26" s="12">
        <v>0</v>
      </c>
      <c r="C26" s="12">
        <v>0</v>
      </c>
      <c r="D26" s="30"/>
      <c r="E26" s="19"/>
      <c r="F26" s="20"/>
    </row>
    <row r="27" spans="1:6" ht="16.2" thickBot="1" x14ac:dyDescent="0.35">
      <c r="A27" s="11"/>
      <c r="B27" s="12">
        <v>0</v>
      </c>
      <c r="C27" s="12">
        <v>0</v>
      </c>
      <c r="D27" s="30"/>
      <c r="E27" s="19"/>
      <c r="F27" s="20"/>
    </row>
    <row r="28" spans="1:6" ht="16.2" thickBot="1" x14ac:dyDescent="0.35">
      <c r="A28" s="11"/>
      <c r="B28" s="12">
        <v>0</v>
      </c>
      <c r="C28" s="12">
        <v>0</v>
      </c>
      <c r="D28" s="30"/>
      <c r="E28" s="19"/>
      <c r="F28" s="20"/>
    </row>
    <row r="29" spans="1:6" ht="16.2" thickBot="1" x14ac:dyDescent="0.35">
      <c r="A29" s="21"/>
      <c r="B29" s="12">
        <v>0</v>
      </c>
      <c r="C29" s="12">
        <v>0</v>
      </c>
      <c r="D29" s="30"/>
      <c r="E29" s="19"/>
      <c r="F29" s="20"/>
    </row>
    <row r="30" spans="1:6" ht="16.2" thickBot="1" x14ac:dyDescent="0.35">
      <c r="A30" s="13" t="s">
        <v>32</v>
      </c>
      <c r="B30" s="22">
        <v>49000</v>
      </c>
      <c r="C30" s="22">
        <v>87000</v>
      </c>
      <c r="D30" s="34"/>
      <c r="E30" s="23"/>
      <c r="F30" s="24"/>
    </row>
  </sheetData>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1F74-2479-4F89-B50A-00E6E362B882}">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2078</v>
      </c>
      <c r="B2" s="390">
        <v>1000000</v>
      </c>
      <c r="C2" s="389" t="s">
        <v>2079</v>
      </c>
      <c r="D2" s="391">
        <v>26383742</v>
      </c>
      <c r="E2" s="389" t="s">
        <v>24</v>
      </c>
      <c r="F2" s="392"/>
      <c r="G2" s="391">
        <v>0</v>
      </c>
      <c r="H2" s="391">
        <v>0</v>
      </c>
    </row>
    <row r="4" spans="1:8" x14ac:dyDescent="0.3">
      <c r="A4" s="386" t="s">
        <v>11</v>
      </c>
    </row>
    <row r="6" spans="1:8" ht="16.2" thickBot="1" x14ac:dyDescent="0.35">
      <c r="A6" s="381" t="s">
        <v>12</v>
      </c>
      <c r="B6" s="10" t="s">
        <v>9</v>
      </c>
      <c r="D6" s="372" t="s">
        <v>9</v>
      </c>
    </row>
    <row r="7" spans="1:8" ht="16.2" thickBot="1" x14ac:dyDescent="0.35">
      <c r="A7" s="453" t="s">
        <v>51</v>
      </c>
      <c r="B7" s="374">
        <v>0</v>
      </c>
    </row>
    <row r="8" spans="1:8" ht="16.2" thickBot="1" x14ac:dyDescent="0.35">
      <c r="A8" s="453" t="s">
        <v>53</v>
      </c>
      <c r="B8" s="374">
        <v>0</v>
      </c>
    </row>
    <row r="9" spans="1:8" ht="16.2" thickBot="1" x14ac:dyDescent="0.35">
      <c r="A9" s="453" t="s">
        <v>55</v>
      </c>
      <c r="B9" s="374">
        <v>7500</v>
      </c>
    </row>
    <row r="10" spans="1:8" ht="16.2" thickBot="1" x14ac:dyDescent="0.35">
      <c r="A10" s="453" t="s">
        <v>57</v>
      </c>
      <c r="B10" s="374">
        <v>40000</v>
      </c>
    </row>
    <row r="11" spans="1:8" ht="16.2" thickBot="1" x14ac:dyDescent="0.35">
      <c r="A11" s="453"/>
      <c r="B11" s="374">
        <v>0</v>
      </c>
    </row>
    <row r="12" spans="1:8" ht="16.2" thickBot="1" x14ac:dyDescent="0.35">
      <c r="A12" s="453"/>
      <c r="B12" s="10"/>
      <c r="C12" s="374">
        <f>SUM(B7:B11)</f>
        <v>47500</v>
      </c>
    </row>
    <row r="13" spans="1:8" x14ac:dyDescent="0.3">
      <c r="A13" s="452"/>
      <c r="C13" s="10" t="s">
        <v>9</v>
      </c>
    </row>
    <row r="15" spans="1:8" ht="31.2" x14ac:dyDescent="0.3">
      <c r="A15" s="384" t="s">
        <v>17</v>
      </c>
      <c r="B15" s="385" t="s">
        <v>18</v>
      </c>
      <c r="C15" s="384" t="s">
        <v>19</v>
      </c>
      <c r="D15" s="384" t="s">
        <v>20</v>
      </c>
      <c r="E15" s="384" t="s">
        <v>21</v>
      </c>
      <c r="F15" s="384" t="s">
        <v>22</v>
      </c>
    </row>
    <row r="16" spans="1:8" ht="16.2" thickBot="1" x14ac:dyDescent="0.35">
      <c r="A16" s="451" t="s">
        <v>23</v>
      </c>
      <c r="B16" s="382">
        <v>6043.28</v>
      </c>
      <c r="C16" s="382">
        <v>9000</v>
      </c>
      <c r="D16" s="359"/>
      <c r="E16" s="359"/>
      <c r="F16" s="383"/>
    </row>
    <row r="17" spans="1:6" ht="16.2" thickBot="1" x14ac:dyDescent="0.35">
      <c r="A17" s="451" t="s">
        <v>25</v>
      </c>
      <c r="B17" s="374">
        <v>3864</v>
      </c>
      <c r="C17" s="374">
        <v>5000</v>
      </c>
      <c r="D17" s="387" t="s">
        <v>24</v>
      </c>
      <c r="E17" s="387"/>
      <c r="F17" s="377"/>
    </row>
    <row r="18" spans="1:6" ht="16.2" thickBot="1" x14ac:dyDescent="0.35">
      <c r="A18" s="451" t="s">
        <v>26</v>
      </c>
      <c r="B18" s="374">
        <v>48000</v>
      </c>
      <c r="C18" s="374">
        <v>55000</v>
      </c>
      <c r="D18" s="387" t="s">
        <v>24</v>
      </c>
      <c r="E18" s="387"/>
      <c r="F18" s="377"/>
    </row>
    <row r="19" spans="1:6" ht="16.2" thickBot="1" x14ac:dyDescent="0.35">
      <c r="A19" s="451" t="s">
        <v>27</v>
      </c>
      <c r="B19" s="374">
        <v>0</v>
      </c>
      <c r="C19" s="374">
        <v>0</v>
      </c>
      <c r="D19" s="387"/>
      <c r="E19" s="387"/>
      <c r="F19" s="377"/>
    </row>
    <row r="20" spans="1:6" ht="16.2" thickBot="1" x14ac:dyDescent="0.35">
      <c r="A20" s="451" t="s">
        <v>28</v>
      </c>
      <c r="B20" s="374">
        <v>0</v>
      </c>
      <c r="C20" s="374">
        <v>0</v>
      </c>
      <c r="D20" s="387"/>
      <c r="E20" s="387"/>
      <c r="F20" s="377"/>
    </row>
    <row r="21" spans="1:6" ht="16.2" thickBot="1" x14ac:dyDescent="0.35">
      <c r="A21" s="451" t="s">
        <v>29</v>
      </c>
      <c r="B21" s="374">
        <v>15939.32</v>
      </c>
      <c r="C21" s="374">
        <v>25000</v>
      </c>
      <c r="D21" s="387" t="s">
        <v>24</v>
      </c>
      <c r="E21" s="387"/>
      <c r="F21" s="377"/>
    </row>
    <row r="22" spans="1:6" ht="16.2" thickBot="1" x14ac:dyDescent="0.35">
      <c r="A22" s="451" t="s">
        <v>30</v>
      </c>
      <c r="B22" s="374">
        <v>3500</v>
      </c>
      <c r="C22" s="374">
        <v>7000</v>
      </c>
      <c r="D22" s="387"/>
      <c r="E22" s="387"/>
      <c r="F22" s="377"/>
    </row>
    <row r="23" spans="1:6" ht="16.2" thickBot="1" x14ac:dyDescent="0.35">
      <c r="A23" s="451" t="s">
        <v>2080</v>
      </c>
      <c r="B23" s="374">
        <v>16002</v>
      </c>
      <c r="C23" s="374">
        <v>25000</v>
      </c>
      <c r="D23" s="387"/>
      <c r="E23" s="387"/>
      <c r="F23" s="377"/>
    </row>
    <row r="24" spans="1:6" ht="16.2" thickBot="1" x14ac:dyDescent="0.35">
      <c r="A24" s="451" t="s">
        <v>2081</v>
      </c>
      <c r="B24" s="374">
        <v>36000</v>
      </c>
      <c r="C24" s="374">
        <v>37000</v>
      </c>
      <c r="D24" s="387"/>
      <c r="E24" s="387"/>
      <c r="F24" s="377"/>
    </row>
    <row r="25" spans="1:6" ht="16.2" thickBot="1" x14ac:dyDescent="0.35">
      <c r="A25" s="453"/>
      <c r="B25" s="374">
        <v>0</v>
      </c>
      <c r="C25" s="374">
        <v>0</v>
      </c>
      <c r="D25" s="387"/>
      <c r="E25" s="387"/>
      <c r="F25" s="377"/>
    </row>
    <row r="26" spans="1:6" ht="16.2" thickBot="1" x14ac:dyDescent="0.35">
      <c r="A26" s="453"/>
      <c r="B26" s="374">
        <v>0</v>
      </c>
      <c r="C26" s="374">
        <v>0</v>
      </c>
      <c r="D26" s="387"/>
      <c r="E26" s="387"/>
      <c r="F26" s="377"/>
    </row>
    <row r="27" spans="1:6" ht="16.2" thickBot="1" x14ac:dyDescent="0.35">
      <c r="A27" s="453"/>
      <c r="B27" s="374">
        <v>0</v>
      </c>
      <c r="C27" s="374">
        <v>0</v>
      </c>
      <c r="D27" s="387"/>
      <c r="E27" s="387"/>
      <c r="F27" s="377"/>
    </row>
    <row r="28" spans="1:6" ht="16.2" thickBot="1" x14ac:dyDescent="0.35">
      <c r="A28" s="378"/>
      <c r="B28" s="374">
        <v>0</v>
      </c>
      <c r="C28" s="374">
        <v>0</v>
      </c>
      <c r="D28" s="387"/>
      <c r="E28" s="387"/>
      <c r="F28" s="377"/>
    </row>
    <row r="29" spans="1:6" ht="16.2" thickBot="1" x14ac:dyDescent="0.35">
      <c r="A29" s="452" t="s">
        <v>32</v>
      </c>
      <c r="B29" s="379">
        <f>SUM(B16:B28)</f>
        <v>129348.6</v>
      </c>
      <c r="C29" s="379">
        <f>SUM(C16:C28)</f>
        <v>163000</v>
      </c>
      <c r="D29" s="388"/>
      <c r="E29" s="388"/>
      <c r="F29" s="380"/>
    </row>
  </sheetData>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ECC0-1CE6-40A0-BC4B-56584657ED54}">
  <dimension ref="A1:H47"/>
  <sheetViews>
    <sheetView topLeftCell="A24"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56.44140625" style="372" bestFit="1"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2160</v>
      </c>
      <c r="B2" s="390">
        <v>-400000</v>
      </c>
      <c r="C2" s="389" t="s">
        <v>2161</v>
      </c>
      <c r="D2" s="391" t="s">
        <v>2162</v>
      </c>
      <c r="E2" s="389" t="s">
        <v>10</v>
      </c>
      <c r="F2" s="392"/>
      <c r="G2" s="391">
        <v>0</v>
      </c>
      <c r="H2" s="391">
        <v>0</v>
      </c>
    </row>
    <row r="4" spans="1:8" x14ac:dyDescent="0.3">
      <c r="A4" s="386" t="s">
        <v>11</v>
      </c>
    </row>
    <row r="6" spans="1:8" ht="16.2" thickBot="1" x14ac:dyDescent="0.35">
      <c r="A6" s="507" t="s">
        <v>12</v>
      </c>
      <c r="B6" s="10" t="s">
        <v>9</v>
      </c>
    </row>
    <row r="7" spans="1:8" ht="16.2" thickBot="1" x14ac:dyDescent="0.35">
      <c r="A7" s="506" t="s">
        <v>51</v>
      </c>
      <c r="B7" s="374">
        <v>0</v>
      </c>
    </row>
    <row r="8" spans="1:8" ht="16.2" thickBot="1" x14ac:dyDescent="0.35">
      <c r="A8" s="506" t="s">
        <v>55</v>
      </c>
      <c r="B8" s="374">
        <v>0</v>
      </c>
    </row>
    <row r="9" spans="1:8" ht="16.2" thickBot="1" x14ac:dyDescent="0.35">
      <c r="A9" s="506"/>
      <c r="B9" s="374">
        <v>0</v>
      </c>
    </row>
    <row r="10" spans="1:8" ht="16.2" thickBot="1" x14ac:dyDescent="0.35">
      <c r="A10" s="506"/>
      <c r="B10" s="10"/>
      <c r="C10" s="374">
        <f>SUM(B7:B9)</f>
        <v>0</v>
      </c>
    </row>
    <row r="11" spans="1:8" x14ac:dyDescent="0.3">
      <c r="A11" s="505"/>
      <c r="C11" s="10" t="s">
        <v>9</v>
      </c>
    </row>
    <row r="13" spans="1:8" ht="31.8" thickBot="1" x14ac:dyDescent="0.35">
      <c r="A13" s="384" t="s">
        <v>17</v>
      </c>
      <c r="B13" s="385" t="s">
        <v>18</v>
      </c>
      <c r="C13" s="384" t="s">
        <v>19</v>
      </c>
      <c r="D13" s="384" t="s">
        <v>20</v>
      </c>
      <c r="E13" s="384" t="s">
        <v>21</v>
      </c>
      <c r="F13" s="384" t="s">
        <v>22</v>
      </c>
    </row>
    <row r="14" spans="1:8" ht="16.2" thickBot="1" x14ac:dyDescent="0.35">
      <c r="A14" s="204" t="s">
        <v>2154</v>
      </c>
      <c r="B14" s="374"/>
      <c r="C14" s="374"/>
      <c r="D14" s="394"/>
      <c r="E14" s="387"/>
      <c r="F14" s="377"/>
    </row>
    <row r="15" spans="1:8" ht="16.2" thickBot="1" x14ac:dyDescent="0.35">
      <c r="A15" s="504" t="s">
        <v>23</v>
      </c>
      <c r="B15" s="382">
        <v>4830</v>
      </c>
      <c r="C15" s="382">
        <v>9780</v>
      </c>
      <c r="D15" s="397" t="s">
        <v>24</v>
      </c>
      <c r="E15" s="387"/>
      <c r="F15" s="377"/>
    </row>
    <row r="16" spans="1:8" ht="16.2" thickBot="1" x14ac:dyDescent="0.35">
      <c r="A16" s="504" t="s">
        <v>2163</v>
      </c>
      <c r="B16" s="374">
        <v>1475</v>
      </c>
      <c r="C16" s="374">
        <v>3000</v>
      </c>
      <c r="D16" s="394" t="s">
        <v>24</v>
      </c>
      <c r="E16" s="387"/>
      <c r="F16" s="377"/>
    </row>
    <row r="17" spans="1:6" ht="16.2" thickBot="1" x14ac:dyDescent="0.35">
      <c r="A17" s="504" t="s">
        <v>25</v>
      </c>
      <c r="B17" s="374">
        <v>552</v>
      </c>
      <c r="C17" s="374">
        <v>552</v>
      </c>
      <c r="D17" s="394" t="s">
        <v>24</v>
      </c>
      <c r="E17" s="387"/>
      <c r="F17" s="377"/>
    </row>
    <row r="18" spans="1:6" ht="16.2" thickBot="1" x14ac:dyDescent="0.35">
      <c r="A18" s="504" t="s">
        <v>2164</v>
      </c>
      <c r="B18" s="374">
        <v>500</v>
      </c>
      <c r="C18" s="374">
        <v>668</v>
      </c>
      <c r="D18" s="394" t="s">
        <v>24</v>
      </c>
      <c r="E18" s="387"/>
      <c r="F18" s="377"/>
    </row>
    <row r="19" spans="1:6" ht="16.2" thickBot="1" x14ac:dyDescent="0.35">
      <c r="A19" s="504" t="s">
        <v>27</v>
      </c>
      <c r="B19" s="374">
        <v>0</v>
      </c>
      <c r="C19" s="374">
        <v>0</v>
      </c>
      <c r="D19" s="394" t="s">
        <v>24</v>
      </c>
      <c r="E19" s="387"/>
      <c r="F19" s="377"/>
    </row>
    <row r="20" spans="1:6" ht="16.2" thickBot="1" x14ac:dyDescent="0.35">
      <c r="A20" s="504" t="s">
        <v>28</v>
      </c>
      <c r="B20" s="374">
        <v>0</v>
      </c>
      <c r="C20" s="374">
        <v>0</v>
      </c>
      <c r="D20" s="394" t="s">
        <v>24</v>
      </c>
      <c r="E20" s="387"/>
      <c r="F20" s="377"/>
    </row>
    <row r="21" spans="1:6" ht="16.2" thickBot="1" x14ac:dyDescent="0.35">
      <c r="A21" s="504" t="s">
        <v>29</v>
      </c>
      <c r="B21" s="374">
        <v>17016</v>
      </c>
      <c r="C21" s="374">
        <v>28549</v>
      </c>
      <c r="D21" s="394" t="s">
        <v>24</v>
      </c>
      <c r="E21" s="387"/>
      <c r="F21" s="377"/>
    </row>
    <row r="22" spans="1:6" ht="16.2" thickBot="1" x14ac:dyDescent="0.35">
      <c r="A22" s="504" t="s">
        <v>30</v>
      </c>
      <c r="B22" s="374">
        <v>18442</v>
      </c>
      <c r="C22" s="374">
        <v>20226</v>
      </c>
      <c r="D22" s="397" t="s">
        <v>24</v>
      </c>
      <c r="E22" s="387"/>
      <c r="F22" s="377"/>
    </row>
    <row r="23" spans="1:6" ht="16.2" thickBot="1" x14ac:dyDescent="0.35">
      <c r="A23" s="504" t="s">
        <v>2165</v>
      </c>
      <c r="B23" s="374">
        <v>519</v>
      </c>
      <c r="C23" s="374">
        <v>2076</v>
      </c>
      <c r="D23" s="394" t="s">
        <v>24</v>
      </c>
      <c r="E23" s="387"/>
      <c r="F23" s="377"/>
    </row>
    <row r="24" spans="1:6" ht="16.2" thickBot="1" x14ac:dyDescent="0.35">
      <c r="A24" s="504" t="s">
        <v>1161</v>
      </c>
      <c r="B24" s="374">
        <v>0</v>
      </c>
      <c r="C24" s="374">
        <v>40</v>
      </c>
      <c r="D24" s="394" t="s">
        <v>24</v>
      </c>
      <c r="E24" s="387"/>
      <c r="F24" s="377"/>
    </row>
    <row r="25" spans="1:6" ht="16.2" thickBot="1" x14ac:dyDescent="0.35">
      <c r="A25" s="504" t="s">
        <v>2166</v>
      </c>
      <c r="B25" s="374">
        <v>0</v>
      </c>
      <c r="C25" s="374">
        <v>1608</v>
      </c>
      <c r="D25" s="394" t="s">
        <v>24</v>
      </c>
      <c r="E25" s="387"/>
      <c r="F25" s="377"/>
    </row>
    <row r="26" spans="1:6" ht="16.2" thickBot="1" x14ac:dyDescent="0.35">
      <c r="A26" s="504" t="s">
        <v>2167</v>
      </c>
      <c r="B26" s="374">
        <v>154</v>
      </c>
      <c r="C26" s="374">
        <v>65154</v>
      </c>
      <c r="D26" s="394" t="s">
        <v>24</v>
      </c>
      <c r="E26" s="387"/>
      <c r="F26" s="377"/>
    </row>
    <row r="27" spans="1:6" ht="16.2" thickBot="1" x14ac:dyDescent="0.35">
      <c r="A27" s="504"/>
      <c r="B27" s="374">
        <v>0</v>
      </c>
      <c r="C27" s="374">
        <v>0</v>
      </c>
      <c r="D27" s="394"/>
      <c r="E27" s="387"/>
      <c r="F27" s="377"/>
    </row>
    <row r="28" spans="1:6" ht="16.2" thickBot="1" x14ac:dyDescent="0.35">
      <c r="A28" s="204"/>
      <c r="B28" s="374">
        <v>0</v>
      </c>
      <c r="C28" s="374">
        <v>0</v>
      </c>
      <c r="D28" s="394"/>
      <c r="E28" s="387"/>
      <c r="F28" s="377"/>
    </row>
    <row r="29" spans="1:6" ht="16.2" thickBot="1" x14ac:dyDescent="0.35">
      <c r="A29" s="204" t="s">
        <v>747</v>
      </c>
      <c r="B29" s="374"/>
      <c r="C29" s="374"/>
      <c r="D29" s="394"/>
      <c r="E29" s="387"/>
      <c r="F29" s="377"/>
    </row>
    <row r="30" spans="1:6" ht="16.2" thickBot="1" x14ac:dyDescent="0.35">
      <c r="A30" s="372" t="s">
        <v>2168</v>
      </c>
      <c r="B30" s="382">
        <v>2581</v>
      </c>
      <c r="C30" s="382">
        <v>27600</v>
      </c>
      <c r="D30" s="397" t="s">
        <v>24</v>
      </c>
      <c r="E30" s="359"/>
      <c r="F30" s="383" t="s">
        <v>2169</v>
      </c>
    </row>
    <row r="31" spans="1:6" ht="16.2" thickBot="1" x14ac:dyDescent="0.35">
      <c r="A31" s="372" t="s">
        <v>30</v>
      </c>
      <c r="B31" s="374">
        <v>1050</v>
      </c>
      <c r="C31" s="374">
        <v>25000</v>
      </c>
      <c r="D31" s="394" t="s">
        <v>24</v>
      </c>
      <c r="E31" s="387"/>
      <c r="F31" s="377" t="s">
        <v>2170</v>
      </c>
    </row>
    <row r="32" spans="1:6" ht="16.2" thickBot="1" x14ac:dyDescent="0.35">
      <c r="A32" s="372" t="s">
        <v>2171</v>
      </c>
      <c r="B32" s="374">
        <v>1656.76</v>
      </c>
      <c r="C32" s="374">
        <f>780+1657</f>
        <v>2437</v>
      </c>
      <c r="D32" s="394" t="s">
        <v>24</v>
      </c>
      <c r="E32" s="387"/>
      <c r="F32" s="377" t="s">
        <v>2172</v>
      </c>
    </row>
    <row r="33" spans="1:6" ht="16.2" thickBot="1" x14ac:dyDescent="0.35">
      <c r="A33" s="372" t="s">
        <v>553</v>
      </c>
      <c r="B33" s="374">
        <v>7000</v>
      </c>
      <c r="C33" s="509">
        <v>14000</v>
      </c>
      <c r="D33" s="394" t="s">
        <v>24</v>
      </c>
      <c r="E33" s="387"/>
      <c r="F33" s="377" t="s">
        <v>2173</v>
      </c>
    </row>
    <row r="34" spans="1:6" ht="16.2" thickBot="1" x14ac:dyDescent="0.35">
      <c r="A34" s="372" t="s">
        <v>2174</v>
      </c>
      <c r="B34" s="374">
        <v>4518</v>
      </c>
      <c r="C34" s="374">
        <v>4518</v>
      </c>
      <c r="D34" s="394" t="s">
        <v>24</v>
      </c>
      <c r="E34" s="387"/>
      <c r="F34" s="377" t="s">
        <v>2175</v>
      </c>
    </row>
    <row r="35" spans="1:6" ht="16.2" thickBot="1" x14ac:dyDescent="0.35">
      <c r="A35" s="504" t="s">
        <v>132</v>
      </c>
      <c r="B35" s="374">
        <v>0</v>
      </c>
      <c r="C35" s="374">
        <v>2025</v>
      </c>
      <c r="D35" s="394" t="s">
        <v>24</v>
      </c>
      <c r="E35" s="387"/>
      <c r="F35" s="377" t="s">
        <v>2176</v>
      </c>
    </row>
    <row r="36" spans="1:6" ht="16.2" thickBot="1" x14ac:dyDescent="0.35">
      <c r="A36" s="504" t="s">
        <v>25</v>
      </c>
      <c r="B36" s="374">
        <f>600+15290+528+240</f>
        <v>16658</v>
      </c>
      <c r="C36" s="374">
        <f>+B36+17337.5</f>
        <v>33995.5</v>
      </c>
      <c r="D36" s="394" t="s">
        <v>24</v>
      </c>
      <c r="E36" s="387"/>
      <c r="F36" s="377" t="s">
        <v>2177</v>
      </c>
    </row>
    <row r="37" spans="1:6" ht="16.2" thickBot="1" x14ac:dyDescent="0.35">
      <c r="A37" s="372" t="s">
        <v>2178</v>
      </c>
      <c r="B37" s="374">
        <v>0</v>
      </c>
      <c r="C37" s="509">
        <v>7000</v>
      </c>
      <c r="D37" s="394" t="s">
        <v>24</v>
      </c>
      <c r="E37" s="387"/>
      <c r="F37" s="377"/>
    </row>
    <row r="38" spans="1:6" ht="16.2" thickBot="1" x14ac:dyDescent="0.35">
      <c r="A38" s="504"/>
      <c r="B38" s="374">
        <v>0</v>
      </c>
      <c r="C38" s="374">
        <v>0</v>
      </c>
      <c r="D38" s="394"/>
      <c r="E38" s="387"/>
      <c r="F38" s="377"/>
    </row>
    <row r="39" spans="1:6" ht="16.2" thickBot="1" x14ac:dyDescent="0.35">
      <c r="A39" s="504"/>
      <c r="B39" s="374">
        <v>0</v>
      </c>
      <c r="C39" s="374">
        <v>0</v>
      </c>
      <c r="D39" s="394"/>
      <c r="E39" s="387"/>
      <c r="F39" s="377"/>
    </row>
    <row r="40" spans="1:6" ht="16.2" thickBot="1" x14ac:dyDescent="0.35">
      <c r="A40" s="504"/>
      <c r="B40" s="374">
        <v>0</v>
      </c>
      <c r="C40" s="374">
        <v>0</v>
      </c>
      <c r="D40" s="394"/>
      <c r="E40" s="387"/>
      <c r="F40" s="377"/>
    </row>
    <row r="41" spans="1:6" ht="16.2" thickBot="1" x14ac:dyDescent="0.35">
      <c r="A41" s="506"/>
      <c r="B41" s="374">
        <v>0</v>
      </c>
      <c r="C41" s="374">
        <v>0</v>
      </c>
      <c r="D41" s="394"/>
      <c r="E41" s="387"/>
      <c r="F41" s="377"/>
    </row>
    <row r="42" spans="1:6" ht="16.2" thickBot="1" x14ac:dyDescent="0.35">
      <c r="A42" s="378"/>
      <c r="B42" s="374">
        <v>0</v>
      </c>
      <c r="C42" s="374">
        <v>0</v>
      </c>
      <c r="D42" s="394"/>
      <c r="E42" s="387"/>
      <c r="F42" s="377"/>
    </row>
    <row r="43" spans="1:6" ht="16.2" thickBot="1" x14ac:dyDescent="0.35">
      <c r="A43" s="505" t="s">
        <v>32</v>
      </c>
      <c r="B43" s="379">
        <f>SUM(B14:B42)</f>
        <v>76951.760000000009</v>
      </c>
      <c r="C43" s="379">
        <f>SUM(C14:C42)</f>
        <v>248228.5</v>
      </c>
      <c r="D43" s="388"/>
      <c r="E43" s="388"/>
      <c r="F43" s="380"/>
    </row>
    <row r="45" spans="1:6" x14ac:dyDescent="0.3">
      <c r="C45" s="396">
        <f>SUM(C30:C37)</f>
        <v>116575.5</v>
      </c>
      <c r="D45" s="372" t="s">
        <v>2497</v>
      </c>
    </row>
    <row r="47" spans="1:6" x14ac:dyDescent="0.3">
      <c r="C47" s="396">
        <f>SUM(C43-C45)</f>
        <v>131653</v>
      </c>
      <c r="D47" s="396">
        <f>SUM(C15:C26)</f>
        <v>131653</v>
      </c>
    </row>
  </sheetData>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B0807-07D6-46AF-8411-06B24030C24D}">
  <dimension ref="A1:H36"/>
  <sheetViews>
    <sheetView topLeftCell="A10" workbookViewId="0">
      <selection activeCell="E11" sqref="E11:J11"/>
    </sheetView>
  </sheetViews>
  <sheetFormatPr defaultColWidth="9.109375" defaultRowHeight="15.6" x14ac:dyDescent="0.3"/>
  <cols>
    <col min="1" max="1" width="45.33203125" style="7" customWidth="1"/>
    <col min="2" max="2" width="24.8867187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1184</v>
      </c>
      <c r="B2" s="271">
        <v>1215643.5699999998</v>
      </c>
      <c r="C2" s="3" t="s">
        <v>1185</v>
      </c>
      <c r="D2" s="5">
        <v>20084160</v>
      </c>
      <c r="E2" s="3" t="s">
        <v>1186</v>
      </c>
      <c r="F2" s="52"/>
      <c r="G2" s="5">
        <v>0</v>
      </c>
      <c r="H2" s="5">
        <v>0</v>
      </c>
    </row>
    <row r="3" spans="1:8" x14ac:dyDescent="0.3">
      <c r="B3" s="272"/>
    </row>
    <row r="4" spans="1:8" x14ac:dyDescent="0.3">
      <c r="A4" s="8" t="s">
        <v>11</v>
      </c>
    </row>
    <row r="6" spans="1:8" ht="16.2" thickBot="1" x14ac:dyDescent="0.35">
      <c r="A6" s="9" t="s">
        <v>12</v>
      </c>
      <c r="B6" s="10" t="s">
        <v>9</v>
      </c>
      <c r="C6" s="272"/>
    </row>
    <row r="7" spans="1:8" ht="16.2" thickBot="1" x14ac:dyDescent="0.35">
      <c r="A7" s="11" t="s">
        <v>51</v>
      </c>
      <c r="B7" s="12">
        <v>133985</v>
      </c>
      <c r="C7" s="272"/>
      <c r="D7" s="272"/>
      <c r="E7" s="272"/>
      <c r="F7" s="272"/>
    </row>
    <row r="8" spans="1:8" ht="16.2" thickBot="1" x14ac:dyDescent="0.35">
      <c r="A8" s="11" t="s">
        <v>53</v>
      </c>
      <c r="B8" s="12">
        <v>29792387</v>
      </c>
      <c r="C8" s="272"/>
      <c r="D8" s="272"/>
      <c r="E8" s="272"/>
      <c r="F8" s="272"/>
    </row>
    <row r="9" spans="1:8" ht="16.2" thickBot="1" x14ac:dyDescent="0.35">
      <c r="A9" s="11" t="s">
        <v>55</v>
      </c>
      <c r="B9" s="12">
        <v>0</v>
      </c>
      <c r="C9" s="272"/>
      <c r="D9" s="272"/>
      <c r="E9" s="272"/>
      <c r="F9" s="272"/>
    </row>
    <row r="10" spans="1:8" ht="16.2" thickBot="1" x14ac:dyDescent="0.35">
      <c r="A10" s="11" t="s">
        <v>57</v>
      </c>
      <c r="B10" s="12">
        <v>0</v>
      </c>
    </row>
    <row r="11" spans="1:8" ht="16.2" thickBot="1" x14ac:dyDescent="0.35">
      <c r="A11" s="11"/>
      <c r="B11" s="12">
        <v>0</v>
      </c>
    </row>
    <row r="12" spans="1:8" ht="16.2" thickBot="1" x14ac:dyDescent="0.35">
      <c r="A12" s="11"/>
      <c r="B12" s="10"/>
      <c r="C12" s="12">
        <v>29926372</v>
      </c>
    </row>
    <row r="13" spans="1:8" x14ac:dyDescent="0.3">
      <c r="A13" s="13"/>
      <c r="C13" s="10" t="s">
        <v>9</v>
      </c>
    </row>
    <row r="15" spans="1:8" ht="31.8" thickBot="1" x14ac:dyDescent="0.35">
      <c r="A15" s="1" t="s">
        <v>17</v>
      </c>
      <c r="B15" s="14" t="s">
        <v>18</v>
      </c>
      <c r="C15" s="1" t="s">
        <v>19</v>
      </c>
      <c r="D15" s="1" t="s">
        <v>20</v>
      </c>
      <c r="E15" s="1" t="s">
        <v>21</v>
      </c>
      <c r="F15" s="1" t="s">
        <v>22</v>
      </c>
    </row>
    <row r="16" spans="1:8" ht="16.2" thickBot="1" x14ac:dyDescent="0.35">
      <c r="A16" s="15" t="s">
        <v>23</v>
      </c>
      <c r="B16" s="16">
        <v>45426.31</v>
      </c>
      <c r="C16" s="16">
        <v>38596.369999999995</v>
      </c>
      <c r="D16" s="17" t="s">
        <v>24</v>
      </c>
      <c r="E16" s="19" t="s">
        <v>79</v>
      </c>
      <c r="F16" s="18"/>
    </row>
    <row r="17" spans="1:6" ht="16.2" thickBot="1" x14ac:dyDescent="0.35">
      <c r="A17" s="15" t="s">
        <v>25</v>
      </c>
      <c r="B17" s="12">
        <v>34889</v>
      </c>
      <c r="C17" s="12">
        <v>127565.3</v>
      </c>
      <c r="D17" s="19" t="s">
        <v>24</v>
      </c>
      <c r="E17" s="19" t="s">
        <v>79</v>
      </c>
      <c r="F17" s="20"/>
    </row>
    <row r="18" spans="1:6" ht="16.2" thickBot="1" x14ac:dyDescent="0.35">
      <c r="A18" s="15" t="s">
        <v>26</v>
      </c>
      <c r="B18" s="12"/>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2663.03</v>
      </c>
      <c r="C21" s="12">
        <v>3050</v>
      </c>
      <c r="D21" s="19" t="s">
        <v>24</v>
      </c>
      <c r="E21" s="19" t="s">
        <v>79</v>
      </c>
      <c r="F21" s="20"/>
    </row>
    <row r="22" spans="1:6" ht="16.2" thickBot="1" x14ac:dyDescent="0.35">
      <c r="A22" s="15" t="s">
        <v>30</v>
      </c>
      <c r="B22" s="12">
        <v>50249.23</v>
      </c>
      <c r="C22" s="12">
        <v>36063.72</v>
      </c>
      <c r="D22" s="19" t="s">
        <v>24</v>
      </c>
      <c r="E22" s="19" t="s">
        <v>79</v>
      </c>
      <c r="F22" s="20"/>
    </row>
    <row r="23" spans="1:6" ht="16.2" thickBot="1" x14ac:dyDescent="0.35">
      <c r="A23" s="15" t="s">
        <v>1187</v>
      </c>
      <c r="B23" s="12">
        <v>13317.81</v>
      </c>
      <c r="C23" s="12">
        <v>2500</v>
      </c>
      <c r="D23" s="19" t="s">
        <v>24</v>
      </c>
      <c r="E23" s="19" t="s">
        <v>79</v>
      </c>
      <c r="F23" s="20"/>
    </row>
    <row r="24" spans="1:6" ht="16.2" thickBot="1" x14ac:dyDescent="0.35">
      <c r="A24" s="15" t="s">
        <v>1188</v>
      </c>
      <c r="B24" s="12">
        <v>0</v>
      </c>
      <c r="C24" s="12">
        <v>70000</v>
      </c>
      <c r="D24" s="19" t="s">
        <v>24</v>
      </c>
      <c r="E24" s="19" t="s">
        <v>79</v>
      </c>
      <c r="F24" s="20"/>
    </row>
    <row r="25" spans="1:6" ht="16.2" thickBot="1" x14ac:dyDescent="0.35">
      <c r="A25" s="15" t="s">
        <v>1189</v>
      </c>
      <c r="B25" s="12">
        <v>0</v>
      </c>
      <c r="C25" s="12">
        <v>150000</v>
      </c>
      <c r="D25" s="19"/>
      <c r="E25" s="19" t="s">
        <v>79</v>
      </c>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146545.38</v>
      </c>
      <c r="C29" s="22">
        <v>427775.39</v>
      </c>
      <c r="D29" s="23"/>
      <c r="E29" s="23"/>
      <c r="F29" s="24"/>
    </row>
    <row r="31" spans="1:6" x14ac:dyDescent="0.3">
      <c r="B31" s="272"/>
      <c r="C31" s="272"/>
      <c r="D31" s="272"/>
    </row>
    <row r="32" spans="1:6" x14ac:dyDescent="0.3">
      <c r="B32" s="272"/>
      <c r="C32" s="272"/>
      <c r="D32" s="272"/>
    </row>
    <row r="33" spans="2:4" x14ac:dyDescent="0.3">
      <c r="B33" s="272"/>
      <c r="C33" s="272"/>
      <c r="D33" s="272"/>
    </row>
    <row r="34" spans="2:4" x14ac:dyDescent="0.3">
      <c r="B34" s="272"/>
      <c r="C34" s="272"/>
      <c r="D34" s="272"/>
    </row>
    <row r="35" spans="2:4" x14ac:dyDescent="0.3">
      <c r="B35" s="272"/>
      <c r="C35" s="272"/>
      <c r="D35" s="272"/>
    </row>
    <row r="36" spans="2:4" x14ac:dyDescent="0.3">
      <c r="C36" s="272"/>
    </row>
  </sheetData>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F0E3F-2E68-4976-B99E-331C1F59E706}">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45.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55.8" thickBot="1" x14ac:dyDescent="0.35">
      <c r="A2" s="3" t="s">
        <v>1190</v>
      </c>
      <c r="B2" s="4">
        <v>33000</v>
      </c>
      <c r="C2" s="3" t="s">
        <v>1191</v>
      </c>
      <c r="D2" s="5">
        <v>-819291</v>
      </c>
      <c r="E2" s="51" t="s">
        <v>1192</v>
      </c>
      <c r="F2" s="52" t="s">
        <v>1193</v>
      </c>
      <c r="G2" s="5">
        <v>-481080</v>
      </c>
      <c r="H2" s="5">
        <v>-481080</v>
      </c>
    </row>
    <row r="3" spans="1:8" x14ac:dyDescent="0.3">
      <c r="D3" s="11" t="s">
        <v>1194</v>
      </c>
      <c r="F3" s="11" t="s">
        <v>1195</v>
      </c>
      <c r="G3" s="11" t="s">
        <v>1196</v>
      </c>
      <c r="H3" s="11" t="s">
        <v>1196</v>
      </c>
    </row>
    <row r="4" spans="1:8" x14ac:dyDescent="0.3">
      <c r="A4" s="8" t="s">
        <v>11</v>
      </c>
    </row>
    <row r="6" spans="1:8" ht="16.2" thickBot="1" x14ac:dyDescent="0.35">
      <c r="A6" s="9" t="s">
        <v>12</v>
      </c>
      <c r="B6" s="10" t="s">
        <v>9</v>
      </c>
    </row>
    <row r="7" spans="1:8" ht="16.2" thickBot="1" x14ac:dyDescent="0.35">
      <c r="A7" s="11" t="s">
        <v>51</v>
      </c>
      <c r="B7" s="12">
        <v>2500</v>
      </c>
      <c r="C7" s="7" t="s">
        <v>1197</v>
      </c>
    </row>
    <row r="8" spans="1:8" ht="16.2" thickBot="1" x14ac:dyDescent="0.35">
      <c r="A8" s="11" t="s">
        <v>53</v>
      </c>
      <c r="B8" s="12">
        <v>30500</v>
      </c>
      <c r="C8" s="7" t="s">
        <v>1198</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33000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386.3</v>
      </c>
      <c r="C16" s="16">
        <v>582.88</v>
      </c>
      <c r="D16" s="17"/>
      <c r="E16" s="17"/>
      <c r="F16" s="18" t="s">
        <v>1199</v>
      </c>
    </row>
    <row r="17" spans="1:6" ht="16.2" thickBot="1" x14ac:dyDescent="0.35">
      <c r="A17" s="15" t="s">
        <v>25</v>
      </c>
      <c r="B17" s="12">
        <v>15319.060000000001</v>
      </c>
      <c r="C17" s="12">
        <v>40319.06</v>
      </c>
      <c r="D17" s="19"/>
      <c r="E17" s="19"/>
      <c r="F17" s="140" t="s">
        <v>1200</v>
      </c>
    </row>
    <row r="18" spans="1:6" ht="16.2" thickBot="1" x14ac:dyDescent="0.35">
      <c r="A18" s="15" t="s">
        <v>26</v>
      </c>
      <c r="B18" s="12">
        <v>1912.22</v>
      </c>
      <c r="C18" s="12">
        <v>1912.22</v>
      </c>
      <c r="D18" s="19"/>
      <c r="E18" s="19"/>
      <c r="F18" s="20" t="s">
        <v>1201</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2424.8200000000002</v>
      </c>
      <c r="C21" s="12">
        <v>6193.34</v>
      </c>
      <c r="D21" s="19"/>
      <c r="E21" s="19"/>
      <c r="F21" s="273" t="s">
        <v>1202</v>
      </c>
    </row>
    <row r="22" spans="1:6" ht="16.2" thickBot="1" x14ac:dyDescent="0.35">
      <c r="A22" s="15" t="s">
        <v>30</v>
      </c>
      <c r="B22" s="12">
        <v>0</v>
      </c>
      <c r="C22" s="12">
        <v>2000</v>
      </c>
      <c r="D22" s="19"/>
      <c r="E22" s="19"/>
      <c r="F22" s="20" t="s">
        <v>1203</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20042.400000000001</v>
      </c>
      <c r="C29" s="22">
        <v>51007.5</v>
      </c>
      <c r="D29" s="23"/>
      <c r="E29" s="23"/>
      <c r="F29" s="24"/>
    </row>
  </sheetData>
  <pageMargins left="0.7" right="0.7" top="0.75" bottom="0.75" header="0.3" footer="0.3"/>
  <pageSetup orientation="portrait" r:id="rId1"/>
  <legacyDrawing r:id="rId2"/>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0F64C-E5F7-4C3C-9D7F-2D52A0FD8D0E}">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1204</v>
      </c>
      <c r="B2" s="4">
        <v>57336</v>
      </c>
      <c r="C2" s="3" t="s">
        <v>1205</v>
      </c>
      <c r="D2" s="5">
        <v>5298668</v>
      </c>
      <c r="E2" s="3" t="s">
        <v>10</v>
      </c>
      <c r="F2" s="6" t="s">
        <v>1206</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21200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21200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1341</v>
      </c>
      <c r="C16" s="16">
        <v>2000</v>
      </c>
      <c r="D16" s="29" t="s">
        <v>10</v>
      </c>
      <c r="E16" s="17"/>
      <c r="F16" s="18"/>
    </row>
    <row r="17" spans="1:6" ht="16.2" thickBot="1" x14ac:dyDescent="0.35">
      <c r="A17" s="15" t="s">
        <v>25</v>
      </c>
      <c r="B17" s="12">
        <v>928</v>
      </c>
      <c r="C17" s="12">
        <v>200</v>
      </c>
      <c r="D17" s="29" t="s">
        <v>10</v>
      </c>
      <c r="E17" s="19"/>
      <c r="F17" s="20"/>
    </row>
    <row r="18" spans="1:6" ht="16.2" thickBot="1" x14ac:dyDescent="0.35">
      <c r="A18" s="15" t="s">
        <v>26</v>
      </c>
      <c r="B18" s="12">
        <v>267</v>
      </c>
      <c r="C18" s="12">
        <v>150</v>
      </c>
      <c r="D18" s="29" t="s">
        <v>10</v>
      </c>
      <c r="E18" s="19"/>
      <c r="F18" s="20"/>
    </row>
    <row r="19" spans="1:6" ht="16.2" thickBot="1" x14ac:dyDescent="0.35">
      <c r="A19" s="15" t="s">
        <v>27</v>
      </c>
      <c r="B19" s="12">
        <v>0</v>
      </c>
      <c r="C19" s="12">
        <v>0</v>
      </c>
      <c r="D19" s="29" t="s">
        <v>9</v>
      </c>
      <c r="E19" s="19"/>
      <c r="F19" s="20"/>
    </row>
    <row r="20" spans="1:6" ht="16.2" thickBot="1" x14ac:dyDescent="0.35">
      <c r="A20" s="15" t="s">
        <v>28</v>
      </c>
      <c r="B20" s="12">
        <v>0</v>
      </c>
      <c r="C20" s="12">
        <v>0</v>
      </c>
      <c r="D20" s="29" t="s">
        <v>9</v>
      </c>
      <c r="E20" s="19"/>
      <c r="F20" s="20"/>
    </row>
    <row r="21" spans="1:6" ht="16.2" thickBot="1" x14ac:dyDescent="0.35">
      <c r="A21" s="15" t="s">
        <v>29</v>
      </c>
      <c r="B21" s="12">
        <v>5407</v>
      </c>
      <c r="C21" s="12">
        <v>7500</v>
      </c>
      <c r="D21" s="29" t="s">
        <v>10</v>
      </c>
      <c r="E21" s="19"/>
      <c r="F21" s="20"/>
    </row>
    <row r="22" spans="1:6" ht="16.2" thickBot="1" x14ac:dyDescent="0.35">
      <c r="A22" s="15" t="s">
        <v>30</v>
      </c>
      <c r="B22" s="12">
        <v>40</v>
      </c>
      <c r="C22" s="12">
        <v>10300</v>
      </c>
      <c r="D22" s="29" t="s">
        <v>10</v>
      </c>
      <c r="E22" s="19"/>
      <c r="F22" s="20"/>
    </row>
    <row r="23" spans="1:6" ht="16.2" thickBot="1" x14ac:dyDescent="0.35">
      <c r="A23" s="15" t="s">
        <v>1207</v>
      </c>
      <c r="B23" s="12">
        <v>64</v>
      </c>
      <c r="C23" s="12">
        <v>0</v>
      </c>
      <c r="D23" s="29" t="s">
        <v>10</v>
      </c>
      <c r="E23" s="19"/>
      <c r="F23" s="20"/>
    </row>
    <row r="24" spans="1:6" ht="16.2" thickBot="1" x14ac:dyDescent="0.35">
      <c r="A24" s="15" t="s">
        <v>1208</v>
      </c>
      <c r="B24" s="12">
        <v>925</v>
      </c>
      <c r="C24" s="12">
        <v>0</v>
      </c>
      <c r="D24" s="29" t="s">
        <v>10</v>
      </c>
      <c r="E24" s="19"/>
      <c r="F24" s="20"/>
    </row>
    <row r="25" spans="1:6" ht="16.2" thickBot="1" x14ac:dyDescent="0.35">
      <c r="A25" s="15" t="s">
        <v>1209</v>
      </c>
      <c r="B25" s="12">
        <v>40407</v>
      </c>
      <c r="C25" s="12">
        <v>50000</v>
      </c>
      <c r="D25" s="29" t="s">
        <v>10</v>
      </c>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49379</v>
      </c>
      <c r="C29" s="22">
        <v>70150</v>
      </c>
      <c r="D29" s="23"/>
      <c r="E29" s="23"/>
      <c r="F29" s="24"/>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35B01-33CA-4C7A-B003-B334ECCF9542}">
  <dimension ref="A1:H29"/>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109</v>
      </c>
      <c r="B2" s="4">
        <v>848000</v>
      </c>
      <c r="C2" s="3" t="s">
        <v>110</v>
      </c>
      <c r="D2" s="5">
        <v>18763770</v>
      </c>
      <c r="E2" s="3" t="s">
        <v>10</v>
      </c>
      <c r="F2" s="6" t="s">
        <v>111</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150000</v>
      </c>
    </row>
    <row r="9" spans="1:8" ht="16.2" thickBot="1" x14ac:dyDescent="0.35">
      <c r="A9" s="11" t="s">
        <v>55</v>
      </c>
      <c r="B9" s="12">
        <v>40000</v>
      </c>
    </row>
    <row r="10" spans="1:8" ht="16.2" thickBot="1" x14ac:dyDescent="0.35">
      <c r="A10" s="11" t="s">
        <v>57</v>
      </c>
      <c r="B10" s="12">
        <v>10000</v>
      </c>
    </row>
    <row r="11" spans="1:8" ht="16.2" thickBot="1" x14ac:dyDescent="0.35">
      <c r="A11" s="11"/>
      <c r="B11" s="12">
        <v>0</v>
      </c>
    </row>
    <row r="12" spans="1:8" ht="16.2" thickBot="1" x14ac:dyDescent="0.35">
      <c r="A12" s="11"/>
      <c r="B12" s="10"/>
      <c r="C12" s="12">
        <v>200000</v>
      </c>
    </row>
    <row r="13" spans="1:8" x14ac:dyDescent="0.3">
      <c r="A13" s="13"/>
      <c r="C13" s="10" t="s">
        <v>9</v>
      </c>
    </row>
    <row r="15" spans="1:8" ht="31.2" x14ac:dyDescent="0.3">
      <c r="A15" s="1" t="s">
        <v>17</v>
      </c>
      <c r="B15" s="14" t="s">
        <v>18</v>
      </c>
      <c r="C15" s="1" t="s">
        <v>19</v>
      </c>
      <c r="D15" s="1" t="s">
        <v>20</v>
      </c>
      <c r="E15" s="1" t="s">
        <v>21</v>
      </c>
      <c r="F15" s="1" t="s">
        <v>22</v>
      </c>
    </row>
    <row r="16" spans="1:8" ht="36" thickBot="1" x14ac:dyDescent="0.35">
      <c r="A16" s="15" t="s">
        <v>23</v>
      </c>
      <c r="B16" s="16">
        <v>5053.0200000000004</v>
      </c>
      <c r="C16" s="16">
        <v>7500</v>
      </c>
      <c r="D16" s="17" t="s">
        <v>24</v>
      </c>
      <c r="E16" s="53" t="s">
        <v>112</v>
      </c>
      <c r="F16" s="18" t="s">
        <v>79</v>
      </c>
    </row>
    <row r="17" spans="1:6" ht="36" thickBot="1" x14ac:dyDescent="0.35">
      <c r="A17" s="15" t="s">
        <v>25</v>
      </c>
      <c r="B17" s="12">
        <v>1343.57</v>
      </c>
      <c r="C17" s="12">
        <v>2500</v>
      </c>
      <c r="D17" s="17" t="s">
        <v>24</v>
      </c>
      <c r="E17" s="53" t="s">
        <v>112</v>
      </c>
      <c r="F17" s="18" t="s">
        <v>79</v>
      </c>
    </row>
    <row r="18" spans="1:6" ht="36" thickBot="1" x14ac:dyDescent="0.35">
      <c r="A18" s="15" t="s">
        <v>26</v>
      </c>
      <c r="B18" s="12">
        <v>6064</v>
      </c>
      <c r="C18" s="12">
        <v>11064</v>
      </c>
      <c r="D18" s="17" t="s">
        <v>24</v>
      </c>
      <c r="E18" s="53" t="s">
        <v>112</v>
      </c>
      <c r="F18" s="18" t="s">
        <v>79</v>
      </c>
    </row>
    <row r="19" spans="1:6" ht="16.2" thickBot="1" x14ac:dyDescent="0.35">
      <c r="A19" s="15" t="s">
        <v>27</v>
      </c>
      <c r="B19" s="12">
        <v>0</v>
      </c>
      <c r="C19" s="12">
        <v>0</v>
      </c>
      <c r="D19" s="17" t="s">
        <v>24</v>
      </c>
      <c r="E19" s="54" t="s">
        <v>9</v>
      </c>
      <c r="F19" s="18"/>
    </row>
    <row r="20" spans="1:6" ht="16.2" thickBot="1" x14ac:dyDescent="0.35">
      <c r="A20" s="15" t="s">
        <v>28</v>
      </c>
      <c r="B20" s="12">
        <v>0</v>
      </c>
      <c r="C20" s="12">
        <v>0</v>
      </c>
      <c r="D20" s="17" t="s">
        <v>24</v>
      </c>
      <c r="E20" s="54"/>
      <c r="F20" s="18" t="s">
        <v>9</v>
      </c>
    </row>
    <row r="21" spans="1:6" ht="36" thickBot="1" x14ac:dyDescent="0.35">
      <c r="A21" s="15" t="s">
        <v>29</v>
      </c>
      <c r="B21" s="12">
        <v>9387.2800000000007</v>
      </c>
      <c r="C21" s="12">
        <v>15000</v>
      </c>
      <c r="D21" s="17" t="s">
        <v>24</v>
      </c>
      <c r="E21" s="53" t="s">
        <v>112</v>
      </c>
      <c r="F21" s="18" t="s">
        <v>79</v>
      </c>
    </row>
    <row r="22" spans="1:6" ht="36" thickBot="1" x14ac:dyDescent="0.35">
      <c r="A22" s="15" t="s">
        <v>30</v>
      </c>
      <c r="B22" s="12">
        <v>3743.6800000000003</v>
      </c>
      <c r="C22" s="12">
        <v>5000</v>
      </c>
      <c r="D22" s="17" t="s">
        <v>24</v>
      </c>
      <c r="E22" s="53" t="s">
        <v>112</v>
      </c>
      <c r="F22" s="18" t="s">
        <v>79</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25591.550000000003</v>
      </c>
      <c r="C29" s="22">
        <v>41064</v>
      </c>
      <c r="D29" s="23"/>
      <c r="E29" s="23"/>
      <c r="F29" s="24"/>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CD995-62E3-4710-87E1-185E39416DDB}">
  <dimension ref="A1:H44"/>
  <sheetViews>
    <sheetView topLeftCell="A19" workbookViewId="0">
      <selection activeCell="E11" sqref="E11:J11"/>
    </sheetView>
  </sheetViews>
  <sheetFormatPr defaultColWidth="9.109375" defaultRowHeight="15.6" x14ac:dyDescent="0.3"/>
  <cols>
    <col min="1" max="1" width="43" style="7" customWidth="1"/>
    <col min="2" max="2" width="20.44140625" style="7" customWidth="1"/>
    <col min="3" max="3" width="22" style="7" customWidth="1"/>
    <col min="4" max="4" width="22.109375" style="7" customWidth="1"/>
    <col min="5" max="5" width="27.88671875" style="7" customWidth="1"/>
    <col min="6" max="6" width="91" style="7" bestFit="1" customWidth="1"/>
    <col min="7" max="7" width="21.33203125" style="7"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5">
      <c r="A2" s="3" t="s">
        <v>321</v>
      </c>
      <c r="B2" s="65">
        <v>-50000000</v>
      </c>
      <c r="C2" s="3" t="s">
        <v>1210</v>
      </c>
      <c r="D2" s="5">
        <v>25000000</v>
      </c>
      <c r="E2" s="3" t="s">
        <v>423</v>
      </c>
      <c r="F2" s="6" t="s">
        <v>1211</v>
      </c>
      <c r="G2" s="5">
        <v>0</v>
      </c>
      <c r="H2" s="5">
        <v>50000000</v>
      </c>
    </row>
    <row r="4" spans="1:8" x14ac:dyDescent="0.3">
      <c r="A4" s="8" t="s">
        <v>11</v>
      </c>
    </row>
    <row r="6" spans="1:8" ht="16.2" thickBot="1" x14ac:dyDescent="0.35">
      <c r="A6" s="9" t="s">
        <v>12</v>
      </c>
      <c r="B6" s="10" t="s">
        <v>9</v>
      </c>
    </row>
    <row r="7" spans="1:8" ht="16.2" thickBot="1" x14ac:dyDescent="0.35">
      <c r="A7" s="11" t="s">
        <v>13</v>
      </c>
      <c r="B7" s="12">
        <v>35000000</v>
      </c>
    </row>
    <row r="8" spans="1:8" ht="16.2" thickBot="1" x14ac:dyDescent="0.35">
      <c r="A8" s="11" t="s">
        <v>14</v>
      </c>
      <c r="B8" s="12">
        <v>0</v>
      </c>
    </row>
    <row r="9" spans="1:8" ht="16.2" thickBot="1" x14ac:dyDescent="0.35">
      <c r="A9" s="11" t="s">
        <v>1212</v>
      </c>
      <c r="B9" s="12">
        <v>15000000</v>
      </c>
    </row>
    <row r="10" spans="1:8" ht="16.2" thickBot="1" x14ac:dyDescent="0.35">
      <c r="A10" s="11"/>
      <c r="B10" s="12">
        <v>0</v>
      </c>
    </row>
    <row r="11" spans="1:8" ht="16.2" thickBot="1" x14ac:dyDescent="0.35">
      <c r="A11" s="11"/>
      <c r="B11" s="10"/>
      <c r="C11" s="12">
        <v>50000000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125491.14</v>
      </c>
      <c r="C15" s="16">
        <v>232000</v>
      </c>
      <c r="D15" s="29" t="s">
        <v>24</v>
      </c>
      <c r="E15" s="17" t="s">
        <v>1213</v>
      </c>
      <c r="F15" s="18"/>
    </row>
    <row r="16" spans="1:8" ht="16.2" thickBot="1" x14ac:dyDescent="0.35">
      <c r="A16" s="15" t="s">
        <v>25</v>
      </c>
      <c r="B16" s="12">
        <v>45754.42</v>
      </c>
      <c r="C16" s="12">
        <v>68000</v>
      </c>
      <c r="D16" s="30" t="s">
        <v>24</v>
      </c>
      <c r="E16" s="17" t="s">
        <v>1213</v>
      </c>
      <c r="F16" s="20"/>
    </row>
    <row r="17" spans="1:6" ht="16.2" thickBot="1" x14ac:dyDescent="0.35">
      <c r="A17" s="15" t="s">
        <v>26</v>
      </c>
      <c r="B17" s="12">
        <v>30082.67</v>
      </c>
      <c r="C17" s="12">
        <v>85000</v>
      </c>
      <c r="D17" s="30" t="s">
        <v>24</v>
      </c>
      <c r="E17" s="17" t="s">
        <v>1213</v>
      </c>
      <c r="F17" s="20" t="s">
        <v>1214</v>
      </c>
    </row>
    <row r="18" spans="1:6" ht="16.2" thickBot="1" x14ac:dyDescent="0.35">
      <c r="A18" s="15" t="s">
        <v>27</v>
      </c>
      <c r="B18" s="12">
        <v>0</v>
      </c>
      <c r="C18" s="12">
        <v>470000</v>
      </c>
      <c r="D18" s="30" t="s">
        <v>24</v>
      </c>
      <c r="E18" s="17" t="s">
        <v>1213</v>
      </c>
      <c r="F18" s="20" t="s">
        <v>1215</v>
      </c>
    </row>
    <row r="19" spans="1:6" ht="16.2" thickBot="1" x14ac:dyDescent="0.35">
      <c r="A19" s="15" t="s">
        <v>28</v>
      </c>
      <c r="B19" s="12">
        <v>0</v>
      </c>
      <c r="C19" s="12">
        <v>302000</v>
      </c>
      <c r="D19" s="30" t="s">
        <v>24</v>
      </c>
      <c r="E19" s="17" t="s">
        <v>1213</v>
      </c>
      <c r="F19" s="20"/>
    </row>
    <row r="20" spans="1:6" ht="16.2" thickBot="1" x14ac:dyDescent="0.35">
      <c r="A20" s="15" t="s">
        <v>29</v>
      </c>
      <c r="B20" s="12">
        <v>161859.19</v>
      </c>
      <c r="C20" s="12">
        <v>340000</v>
      </c>
      <c r="D20" s="30" t="s">
        <v>24</v>
      </c>
      <c r="E20" s="17" t="s">
        <v>1213</v>
      </c>
      <c r="F20" s="20"/>
    </row>
    <row r="21" spans="1:6" ht="16.2" thickBot="1" x14ac:dyDescent="0.35">
      <c r="A21" s="15" t="s">
        <v>30</v>
      </c>
      <c r="B21" s="12">
        <v>55472.55</v>
      </c>
      <c r="C21" s="12">
        <v>240000</v>
      </c>
      <c r="D21" s="30" t="s">
        <v>24</v>
      </c>
      <c r="E21" s="17" t="s">
        <v>1213</v>
      </c>
      <c r="F21" s="20"/>
    </row>
    <row r="22" spans="1:6" ht="16.2" thickBot="1" x14ac:dyDescent="0.35">
      <c r="A22" s="15" t="s">
        <v>1216</v>
      </c>
      <c r="B22" s="12">
        <v>15768.26</v>
      </c>
      <c r="C22" s="12">
        <v>360000</v>
      </c>
      <c r="D22" s="30" t="s">
        <v>24</v>
      </c>
      <c r="E22" s="17" t="s">
        <v>1213</v>
      </c>
      <c r="F22" s="20" t="s">
        <v>1217</v>
      </c>
    </row>
    <row r="23" spans="1:6" ht="16.2" thickBot="1" x14ac:dyDescent="0.35">
      <c r="A23" s="15" t="s">
        <v>1218</v>
      </c>
      <c r="B23" s="12">
        <v>26318.989999999998</v>
      </c>
      <c r="C23" s="12">
        <v>110000</v>
      </c>
      <c r="D23" s="30" t="s">
        <v>24</v>
      </c>
      <c r="E23" s="17" t="s">
        <v>1213</v>
      </c>
      <c r="F23" s="20" t="s">
        <v>1219</v>
      </c>
    </row>
    <row r="24" spans="1:6" ht="16.2" thickBot="1" x14ac:dyDescent="0.35">
      <c r="A24" s="15" t="s">
        <v>1220</v>
      </c>
      <c r="B24" s="12">
        <v>156020</v>
      </c>
      <c r="C24" s="509">
        <v>221228</v>
      </c>
      <c r="D24" s="30"/>
      <c r="E24" s="17"/>
      <c r="F24" s="20"/>
    </row>
    <row r="25" spans="1:6" ht="31.8" thickBot="1" x14ac:dyDescent="0.35">
      <c r="A25" s="121" t="s">
        <v>1221</v>
      </c>
      <c r="B25" s="12">
        <v>107500</v>
      </c>
      <c r="C25" s="509">
        <v>107500</v>
      </c>
      <c r="D25" s="30"/>
      <c r="E25" s="17"/>
      <c r="F25" s="20"/>
    </row>
    <row r="26" spans="1:6" ht="16.2" thickBot="1" x14ac:dyDescent="0.35">
      <c r="A26" s="15" t="s">
        <v>1222</v>
      </c>
      <c r="B26" s="12">
        <v>189085</v>
      </c>
      <c r="C26" s="509">
        <v>522328</v>
      </c>
      <c r="D26" s="30"/>
      <c r="E26" s="17"/>
      <c r="F26" s="20"/>
    </row>
    <row r="27" spans="1:6" ht="16.2" thickBot="1" x14ac:dyDescent="0.35">
      <c r="A27" s="15" t="s">
        <v>1223</v>
      </c>
      <c r="B27" s="12">
        <v>0</v>
      </c>
      <c r="C27" s="12">
        <v>2500</v>
      </c>
      <c r="D27" s="19"/>
      <c r="E27" s="19"/>
      <c r="F27" s="20"/>
    </row>
    <row r="28" spans="1:6" ht="16.2" thickBot="1" x14ac:dyDescent="0.35">
      <c r="A28" s="11"/>
      <c r="B28" s="12">
        <v>0</v>
      </c>
      <c r="C28" s="12">
        <v>0</v>
      </c>
      <c r="D28" s="19"/>
      <c r="E28" s="19"/>
      <c r="F28" s="20"/>
    </row>
    <row r="29" spans="1:6" ht="16.2" thickBot="1" x14ac:dyDescent="0.35">
      <c r="A29" s="11"/>
      <c r="B29" s="12">
        <v>0</v>
      </c>
      <c r="C29" s="12">
        <v>0</v>
      </c>
      <c r="D29" s="19"/>
      <c r="E29" s="19"/>
      <c r="F29" s="20"/>
    </row>
    <row r="30" spans="1:6" ht="16.2" thickBot="1" x14ac:dyDescent="0.35">
      <c r="A30" s="21"/>
      <c r="B30" s="12">
        <v>0</v>
      </c>
      <c r="C30" s="12">
        <v>0</v>
      </c>
      <c r="D30" s="19"/>
      <c r="E30" s="19"/>
      <c r="F30" s="20"/>
    </row>
    <row r="31" spans="1:6" ht="16.2" thickBot="1" x14ac:dyDescent="0.35">
      <c r="A31" s="13" t="s">
        <v>32</v>
      </c>
      <c r="B31" s="22">
        <v>913352.22</v>
      </c>
      <c r="C31" s="22">
        <v>3060556</v>
      </c>
      <c r="D31" s="23"/>
      <c r="E31" s="23"/>
      <c r="F31" s="24"/>
    </row>
    <row r="33" spans="1:5" x14ac:dyDescent="0.3">
      <c r="A33" s="274" t="s">
        <v>1224</v>
      </c>
    </row>
    <row r="34" spans="1:5" x14ac:dyDescent="0.3">
      <c r="C34" s="275"/>
      <c r="D34" s="61"/>
    </row>
    <row r="35" spans="1:5" x14ac:dyDescent="0.3">
      <c r="A35" s="15"/>
      <c r="B35" s="10"/>
      <c r="C35" s="62">
        <f>SUM(C24:C26)</f>
        <v>851056</v>
      </c>
      <c r="D35" s="7" t="s">
        <v>2498</v>
      </c>
      <c r="E35" s="62"/>
    </row>
    <row r="36" spans="1:5" x14ac:dyDescent="0.3">
      <c r="A36" s="15"/>
      <c r="B36" s="10"/>
      <c r="C36" s="62">
        <f>SUM(C31-C35)</f>
        <v>2209500</v>
      </c>
    </row>
    <row r="37" spans="1:5" x14ac:dyDescent="0.3">
      <c r="A37" s="15"/>
      <c r="B37" s="10"/>
      <c r="C37" s="62"/>
    </row>
    <row r="38" spans="1:5" x14ac:dyDescent="0.3">
      <c r="A38" s="15"/>
      <c r="B38" s="10"/>
      <c r="C38" s="62"/>
    </row>
    <row r="39" spans="1:5" x14ac:dyDescent="0.3">
      <c r="A39" s="15"/>
      <c r="B39" s="10"/>
      <c r="C39" s="62"/>
    </row>
    <row r="40" spans="1:5" x14ac:dyDescent="0.3">
      <c r="A40" s="15"/>
      <c r="B40" s="10"/>
      <c r="C40" s="62"/>
    </row>
    <row r="41" spans="1:5" x14ac:dyDescent="0.3">
      <c r="A41" s="15"/>
      <c r="B41" s="10"/>
      <c r="C41" s="62"/>
    </row>
    <row r="42" spans="1:5" x14ac:dyDescent="0.3">
      <c r="A42" s="15"/>
      <c r="B42" s="10"/>
      <c r="C42" s="62"/>
    </row>
    <row r="43" spans="1:5" x14ac:dyDescent="0.3">
      <c r="A43" s="15"/>
      <c r="B43" s="276"/>
      <c r="C43" s="277"/>
    </row>
    <row r="44" spans="1:5" x14ac:dyDescent="0.3">
      <c r="B44" s="62"/>
      <c r="C44" s="62"/>
      <c r="D44" s="62"/>
      <c r="E44" s="62"/>
    </row>
  </sheetData>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0E2C-0119-45CA-BA7E-F522D9AAC596}">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2007</v>
      </c>
      <c r="B2" s="390">
        <v>78000</v>
      </c>
      <c r="C2" s="389" t="s">
        <v>2008</v>
      </c>
      <c r="D2" s="391">
        <v>2288913</v>
      </c>
      <c r="E2" s="389" t="s">
        <v>699</v>
      </c>
      <c r="F2" s="392"/>
      <c r="G2" s="391">
        <v>0</v>
      </c>
      <c r="H2" s="391">
        <v>0</v>
      </c>
    </row>
    <row r="4" spans="1:8" x14ac:dyDescent="0.3">
      <c r="A4" s="386" t="s">
        <v>11</v>
      </c>
    </row>
    <row r="6" spans="1:8" ht="16.2" thickBot="1" x14ac:dyDescent="0.35">
      <c r="A6" s="381" t="s">
        <v>12</v>
      </c>
      <c r="B6" s="10" t="s">
        <v>9</v>
      </c>
    </row>
    <row r="7" spans="1:8" ht="16.2" thickBot="1" x14ac:dyDescent="0.35">
      <c r="A7" s="424" t="s">
        <v>51</v>
      </c>
      <c r="B7" s="374">
        <v>15000</v>
      </c>
    </row>
    <row r="8" spans="1:8" ht="16.2" thickBot="1" x14ac:dyDescent="0.35">
      <c r="A8" s="424" t="s">
        <v>53</v>
      </c>
      <c r="B8" s="374">
        <v>25000</v>
      </c>
    </row>
    <row r="9" spans="1:8" ht="16.2" thickBot="1" x14ac:dyDescent="0.35">
      <c r="A9" s="424" t="s">
        <v>55</v>
      </c>
      <c r="B9" s="374">
        <v>0</v>
      </c>
    </row>
    <row r="10" spans="1:8" ht="16.2" thickBot="1" x14ac:dyDescent="0.35">
      <c r="A10" s="424" t="s">
        <v>57</v>
      </c>
      <c r="B10" s="374">
        <v>0</v>
      </c>
    </row>
    <row r="11" spans="1:8" ht="16.2" thickBot="1" x14ac:dyDescent="0.35">
      <c r="A11" s="424"/>
      <c r="B11" s="374">
        <v>0</v>
      </c>
    </row>
    <row r="12" spans="1:8" ht="16.2" thickBot="1" x14ac:dyDescent="0.35">
      <c r="A12" s="424"/>
      <c r="B12" s="10"/>
      <c r="C12" s="374">
        <f>SUM(B7:B11)</f>
        <v>40000</v>
      </c>
    </row>
    <row r="13" spans="1:8" x14ac:dyDescent="0.3">
      <c r="A13" s="423"/>
      <c r="C13" s="10" t="s">
        <v>9</v>
      </c>
    </row>
    <row r="15" spans="1:8" ht="31.2" x14ac:dyDescent="0.3">
      <c r="A15" s="384" t="s">
        <v>17</v>
      </c>
      <c r="B15" s="385" t="s">
        <v>18</v>
      </c>
      <c r="C15" s="384" t="s">
        <v>19</v>
      </c>
      <c r="D15" s="384" t="s">
        <v>20</v>
      </c>
      <c r="E15" s="384" t="s">
        <v>21</v>
      </c>
      <c r="F15" s="384" t="s">
        <v>22</v>
      </c>
    </row>
    <row r="16" spans="1:8" ht="16.2" thickBot="1" x14ac:dyDescent="0.35">
      <c r="A16" s="422" t="s">
        <v>23</v>
      </c>
      <c r="B16" s="382">
        <v>28.78</v>
      </c>
      <c r="C16" s="382">
        <v>150</v>
      </c>
      <c r="D16" s="359" t="s">
        <v>543</v>
      </c>
      <c r="E16" s="359" t="s">
        <v>79</v>
      </c>
      <c r="F16" s="383" t="s">
        <v>2009</v>
      </c>
    </row>
    <row r="17" spans="1:6" ht="16.2" thickBot="1" x14ac:dyDescent="0.35">
      <c r="A17" s="422" t="s">
        <v>25</v>
      </c>
      <c r="B17" s="374">
        <v>0</v>
      </c>
      <c r="C17" s="374">
        <v>0</v>
      </c>
      <c r="D17" s="387"/>
      <c r="E17" s="387"/>
      <c r="F17" s="377"/>
    </row>
    <row r="18" spans="1:6" ht="16.2" thickBot="1" x14ac:dyDescent="0.35">
      <c r="A18" s="422" t="s">
        <v>26</v>
      </c>
      <c r="B18" s="374">
        <v>0</v>
      </c>
      <c r="C18" s="374">
        <v>0</v>
      </c>
      <c r="D18" s="387"/>
      <c r="E18" s="387"/>
      <c r="F18" s="377"/>
    </row>
    <row r="19" spans="1:6" ht="16.2" thickBot="1" x14ac:dyDescent="0.35">
      <c r="A19" s="422" t="s">
        <v>27</v>
      </c>
      <c r="B19" s="374">
        <v>0</v>
      </c>
      <c r="C19" s="374">
        <v>0</v>
      </c>
      <c r="D19" s="387"/>
      <c r="E19" s="387"/>
      <c r="F19" s="377"/>
    </row>
    <row r="20" spans="1:6" ht="16.2" thickBot="1" x14ac:dyDescent="0.35">
      <c r="A20" s="422" t="s">
        <v>28</v>
      </c>
      <c r="B20" s="374">
        <v>0</v>
      </c>
      <c r="C20" s="374">
        <v>0</v>
      </c>
      <c r="D20" s="387"/>
      <c r="E20" s="387"/>
      <c r="F20" s="377"/>
    </row>
    <row r="21" spans="1:6" ht="16.2" thickBot="1" x14ac:dyDescent="0.35">
      <c r="A21" s="422" t="s">
        <v>29</v>
      </c>
      <c r="B21" s="374"/>
      <c r="C21" s="374">
        <v>0</v>
      </c>
      <c r="D21" s="387"/>
      <c r="E21" s="387"/>
      <c r="F21" s="377"/>
    </row>
    <row r="22" spans="1:6" ht="16.2" thickBot="1" x14ac:dyDescent="0.35">
      <c r="A22" s="422" t="s">
        <v>30</v>
      </c>
      <c r="B22" s="374">
        <v>320.39</v>
      </c>
      <c r="C22" s="374">
        <v>850</v>
      </c>
      <c r="D22" s="387" t="s">
        <v>543</v>
      </c>
      <c r="E22" s="387" t="s">
        <v>79</v>
      </c>
      <c r="F22" s="377" t="s">
        <v>2010</v>
      </c>
    </row>
    <row r="23" spans="1:6" ht="16.2" thickBot="1" x14ac:dyDescent="0.35">
      <c r="A23" s="424"/>
      <c r="B23" s="374">
        <v>0</v>
      </c>
      <c r="C23" s="374">
        <v>0</v>
      </c>
      <c r="D23" s="387"/>
      <c r="E23" s="387"/>
      <c r="F23" s="377"/>
    </row>
    <row r="24" spans="1:6" ht="16.2" thickBot="1" x14ac:dyDescent="0.35">
      <c r="A24" s="424"/>
      <c r="B24" s="374">
        <v>0</v>
      </c>
      <c r="C24" s="374">
        <v>0</v>
      </c>
      <c r="D24" s="387"/>
      <c r="E24" s="387"/>
      <c r="F24" s="377"/>
    </row>
    <row r="25" spans="1:6" ht="16.2" thickBot="1" x14ac:dyDescent="0.35">
      <c r="A25" s="424"/>
      <c r="B25" s="374">
        <v>0</v>
      </c>
      <c r="C25" s="374">
        <v>0</v>
      </c>
      <c r="D25" s="387"/>
      <c r="E25" s="387"/>
      <c r="F25" s="377"/>
    </row>
    <row r="26" spans="1:6" ht="16.2" thickBot="1" x14ac:dyDescent="0.35">
      <c r="A26" s="424"/>
      <c r="B26" s="374">
        <v>0</v>
      </c>
      <c r="C26" s="374">
        <v>0</v>
      </c>
      <c r="D26" s="387"/>
      <c r="E26" s="387"/>
      <c r="F26" s="377"/>
    </row>
    <row r="27" spans="1:6" ht="16.2" thickBot="1" x14ac:dyDescent="0.35">
      <c r="A27" s="424"/>
      <c r="B27" s="374">
        <v>0</v>
      </c>
      <c r="C27" s="374">
        <v>0</v>
      </c>
      <c r="D27" s="387"/>
      <c r="E27" s="387"/>
      <c r="F27" s="377"/>
    </row>
    <row r="28" spans="1:6" ht="16.2" thickBot="1" x14ac:dyDescent="0.35">
      <c r="A28" s="378"/>
      <c r="B28" s="374">
        <v>0</v>
      </c>
      <c r="C28" s="374">
        <v>0</v>
      </c>
      <c r="D28" s="387"/>
      <c r="E28" s="387"/>
      <c r="F28" s="377"/>
    </row>
    <row r="29" spans="1:6" ht="16.2" thickBot="1" x14ac:dyDescent="0.35">
      <c r="A29" s="423" t="s">
        <v>32</v>
      </c>
      <c r="B29" s="379">
        <f>SUM(B16:B28)</f>
        <v>349.16999999999996</v>
      </c>
      <c r="C29" s="379">
        <f>SUM(C16:C28)</f>
        <v>1000</v>
      </c>
      <c r="D29" s="388"/>
      <c r="E29" s="388"/>
      <c r="F29" s="380"/>
    </row>
  </sheetData>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02CCE-82BA-4053-BC05-1E2A55D61FB2}">
  <dimension ref="A1:H30"/>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1225</v>
      </c>
      <c r="B2" s="4">
        <v>-157631</v>
      </c>
      <c r="C2" s="3" t="s">
        <v>1226</v>
      </c>
      <c r="D2" s="5">
        <v>16533677</v>
      </c>
      <c r="E2" s="3" t="s">
        <v>1227</v>
      </c>
      <c r="F2" s="6" t="s">
        <v>1228</v>
      </c>
      <c r="G2" s="5">
        <v>-2282000</v>
      </c>
      <c r="H2" s="5">
        <v>-2440000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1968.96</v>
      </c>
      <c r="C16" s="16">
        <v>2278</v>
      </c>
      <c r="D16" s="50" t="s">
        <v>24</v>
      </c>
      <c r="E16" s="17"/>
      <c r="F16" s="18" t="s">
        <v>1229</v>
      </c>
    </row>
    <row r="17" spans="1:6" ht="63" thickBot="1" x14ac:dyDescent="0.35">
      <c r="A17" s="15" t="s">
        <v>25</v>
      </c>
      <c r="B17" s="278">
        <v>16670.650000000001</v>
      </c>
      <c r="C17" s="278">
        <v>48331.479999999996</v>
      </c>
      <c r="D17" s="50" t="s">
        <v>24</v>
      </c>
      <c r="E17" s="19"/>
      <c r="F17" s="279" t="s">
        <v>1230</v>
      </c>
    </row>
    <row r="18" spans="1:6" ht="31.8" thickBot="1" x14ac:dyDescent="0.35">
      <c r="A18" s="15" t="s">
        <v>26</v>
      </c>
      <c r="B18" s="278">
        <v>75767.72</v>
      </c>
      <c r="C18" s="278">
        <v>126574.38</v>
      </c>
      <c r="D18" s="50" t="s">
        <v>24</v>
      </c>
      <c r="E18" s="19"/>
      <c r="F18" s="280" t="s">
        <v>1231</v>
      </c>
    </row>
    <row r="19" spans="1:6" ht="16.2" thickBot="1" x14ac:dyDescent="0.35">
      <c r="A19" s="15" t="s">
        <v>27</v>
      </c>
      <c r="B19" s="278">
        <v>0</v>
      </c>
      <c r="C19" s="278">
        <v>0</v>
      </c>
      <c r="D19" s="50" t="s">
        <v>9</v>
      </c>
      <c r="E19" s="19"/>
      <c r="F19" s="20"/>
    </row>
    <row r="20" spans="1:6" ht="16.2" thickBot="1" x14ac:dyDescent="0.35">
      <c r="A20" s="15" t="s">
        <v>28</v>
      </c>
      <c r="B20" s="278">
        <v>0</v>
      </c>
      <c r="C20" s="278">
        <v>0</v>
      </c>
      <c r="D20" s="50" t="s">
        <v>9</v>
      </c>
      <c r="E20" s="19"/>
      <c r="F20" s="20"/>
    </row>
    <row r="21" spans="1:6" ht="87" thickBot="1" x14ac:dyDescent="0.35">
      <c r="A21" s="15" t="s">
        <v>29</v>
      </c>
      <c r="B21" s="278">
        <v>9957.2474999999995</v>
      </c>
      <c r="C21" s="278">
        <v>27327.899999999998</v>
      </c>
      <c r="D21" s="50" t="s">
        <v>24</v>
      </c>
      <c r="E21" s="19"/>
      <c r="F21" s="281" t="s">
        <v>1232</v>
      </c>
    </row>
    <row r="22" spans="1:6" ht="31.8" thickBot="1" x14ac:dyDescent="0.35">
      <c r="A22" s="15" t="s">
        <v>30</v>
      </c>
      <c r="B22" s="278">
        <v>3184.77</v>
      </c>
      <c r="C22" s="278">
        <v>3893.7</v>
      </c>
      <c r="D22" s="50" t="s">
        <v>24</v>
      </c>
      <c r="E22" s="19"/>
      <c r="F22" s="33" t="s">
        <v>1233</v>
      </c>
    </row>
    <row r="23" spans="1:6" ht="16.2" thickBot="1" x14ac:dyDescent="0.35">
      <c r="A23" s="282" t="s">
        <v>1234</v>
      </c>
      <c r="B23" s="278">
        <v>0</v>
      </c>
      <c r="C23" s="278">
        <v>432211</v>
      </c>
      <c r="D23" s="50" t="s">
        <v>10</v>
      </c>
      <c r="E23" s="19"/>
      <c r="F23" s="20" t="s">
        <v>1235</v>
      </c>
    </row>
    <row r="24" spans="1:6" ht="16.2" thickBot="1" x14ac:dyDescent="0.35">
      <c r="A24" s="282" t="s">
        <v>1003</v>
      </c>
      <c r="B24" s="278">
        <v>0</v>
      </c>
      <c r="C24" s="278">
        <v>0</v>
      </c>
      <c r="D24" s="50" t="s">
        <v>24</v>
      </c>
      <c r="E24" s="19"/>
      <c r="F24" s="20"/>
    </row>
    <row r="25" spans="1:6" ht="31.8" thickBot="1" x14ac:dyDescent="0.35">
      <c r="A25" s="282" t="s">
        <v>553</v>
      </c>
      <c r="B25" s="278">
        <v>6389</v>
      </c>
      <c r="C25" s="278">
        <v>3000</v>
      </c>
      <c r="D25" s="50" t="s">
        <v>24</v>
      </c>
      <c r="E25" s="19"/>
      <c r="F25" s="33" t="s">
        <v>1236</v>
      </c>
    </row>
    <row r="26" spans="1:6" ht="16.2" thickBot="1" x14ac:dyDescent="0.35">
      <c r="A26" s="282" t="s">
        <v>1237</v>
      </c>
      <c r="B26" s="278">
        <v>576</v>
      </c>
      <c r="C26" s="278">
        <v>0</v>
      </c>
      <c r="D26" s="50" t="s">
        <v>24</v>
      </c>
      <c r="E26" s="19"/>
      <c r="F26" s="20" t="s">
        <v>1238</v>
      </c>
    </row>
    <row r="27" spans="1:6" ht="16.2" thickBot="1" x14ac:dyDescent="0.35">
      <c r="A27" s="282" t="s">
        <v>929</v>
      </c>
      <c r="B27" s="278">
        <v>67.89</v>
      </c>
      <c r="C27" s="278">
        <v>0</v>
      </c>
      <c r="D27" s="50" t="s">
        <v>24</v>
      </c>
      <c r="E27" s="19"/>
      <c r="F27" s="20" t="s">
        <v>1239</v>
      </c>
    </row>
    <row r="28" spans="1:6" ht="16.2" thickBot="1" x14ac:dyDescent="0.35">
      <c r="A28" s="21"/>
      <c r="B28" s="278">
        <v>0</v>
      </c>
      <c r="C28" s="278">
        <v>0</v>
      </c>
      <c r="D28" s="50" t="s">
        <v>9</v>
      </c>
      <c r="E28" s="19"/>
      <c r="F28" s="20"/>
    </row>
    <row r="29" spans="1:6" ht="16.2" thickBot="1" x14ac:dyDescent="0.35">
      <c r="A29" s="13" t="s">
        <v>32</v>
      </c>
      <c r="B29" s="22">
        <v>114582.2375</v>
      </c>
      <c r="C29" s="22">
        <v>643616.46</v>
      </c>
      <c r="D29" s="23"/>
      <c r="E29" s="23"/>
      <c r="F29" s="24"/>
    </row>
    <row r="30" spans="1:6" x14ac:dyDescent="0.3">
      <c r="C30" s="62">
        <v>758198.69750000001</v>
      </c>
    </row>
  </sheetData>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49146-4550-49F6-A398-8198BA09040D}">
  <dimension ref="A1:H45"/>
  <sheetViews>
    <sheetView topLeftCell="A19" workbookViewId="0">
      <selection activeCell="D31" sqref="D3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1954</v>
      </c>
      <c r="B2" s="369">
        <f>B45</f>
        <v>3234425</v>
      </c>
      <c r="C2" s="389" t="s">
        <v>1955</v>
      </c>
      <c r="D2" s="391">
        <v>5245818</v>
      </c>
      <c r="E2" s="389" t="s">
        <v>24</v>
      </c>
      <c r="F2" s="392" t="s">
        <v>1956</v>
      </c>
      <c r="G2" s="391">
        <v>0</v>
      </c>
      <c r="H2" s="370">
        <v>3000000</v>
      </c>
    </row>
    <row r="3" spans="1:8" x14ac:dyDescent="0.3">
      <c r="H3" s="372" t="s">
        <v>1994</v>
      </c>
    </row>
    <row r="4" spans="1:8" x14ac:dyDescent="0.3">
      <c r="A4" s="386" t="s">
        <v>11</v>
      </c>
    </row>
    <row r="6" spans="1:8" ht="16.2" thickBot="1" x14ac:dyDescent="0.35">
      <c r="A6" s="381" t="s">
        <v>12</v>
      </c>
      <c r="B6" s="10" t="s">
        <v>9</v>
      </c>
    </row>
    <row r="7" spans="1:8" ht="16.2" thickBot="1" x14ac:dyDescent="0.35">
      <c r="A7" s="373" t="s">
        <v>51</v>
      </c>
      <c r="B7" s="374">
        <v>0</v>
      </c>
    </row>
    <row r="8" spans="1:8" ht="16.2" thickBot="1" x14ac:dyDescent="0.35">
      <c r="A8" s="373" t="s">
        <v>53</v>
      </c>
      <c r="B8" s="374">
        <v>45871000</v>
      </c>
      <c r="C8" s="372" t="s">
        <v>1957</v>
      </c>
    </row>
    <row r="9" spans="1:8" ht="16.2" thickBot="1" x14ac:dyDescent="0.35">
      <c r="A9" s="373" t="s">
        <v>55</v>
      </c>
      <c r="B9" s="374">
        <v>0</v>
      </c>
    </row>
    <row r="10" spans="1:8" ht="16.2" thickBot="1" x14ac:dyDescent="0.35">
      <c r="A10" s="373" t="s">
        <v>57</v>
      </c>
      <c r="B10" s="374">
        <v>0</v>
      </c>
    </row>
    <row r="11" spans="1:8" ht="16.2" thickBot="1" x14ac:dyDescent="0.35">
      <c r="A11" s="373"/>
      <c r="B11" s="374">
        <v>0</v>
      </c>
    </row>
    <row r="12" spans="1:8" ht="16.2" thickBot="1" x14ac:dyDescent="0.35">
      <c r="A12" s="373"/>
      <c r="B12" s="10"/>
      <c r="C12" s="374">
        <f>SUM(B7:B11)</f>
        <v>45871000</v>
      </c>
    </row>
    <row r="13" spans="1:8" x14ac:dyDescent="0.3">
      <c r="A13" s="371"/>
      <c r="C13" s="10" t="s">
        <v>9</v>
      </c>
    </row>
    <row r="15" spans="1:8" ht="31.2" x14ac:dyDescent="0.3">
      <c r="A15" s="384" t="s">
        <v>17</v>
      </c>
      <c r="B15" s="385" t="s">
        <v>18</v>
      </c>
      <c r="C15" s="384" t="s">
        <v>19</v>
      </c>
      <c r="D15" s="384" t="s">
        <v>20</v>
      </c>
      <c r="E15" s="384" t="s">
        <v>21</v>
      </c>
      <c r="F15" s="384" t="s">
        <v>22</v>
      </c>
    </row>
    <row r="16" spans="1:8" ht="16.2" thickBot="1" x14ac:dyDescent="0.35">
      <c r="A16" s="376" t="s">
        <v>23</v>
      </c>
      <c r="B16" s="382">
        <v>25000</v>
      </c>
      <c r="C16" s="382">
        <v>50000</v>
      </c>
      <c r="D16" s="397" t="s">
        <v>24</v>
      </c>
      <c r="E16" s="359"/>
      <c r="F16" s="383"/>
    </row>
    <row r="17" spans="1:6" ht="16.2" thickBot="1" x14ac:dyDescent="0.35">
      <c r="A17" s="376" t="s">
        <v>25</v>
      </c>
      <c r="B17" s="374">
        <v>15000</v>
      </c>
      <c r="C17" s="374">
        <v>7500</v>
      </c>
      <c r="D17" s="397" t="s">
        <v>24</v>
      </c>
      <c r="E17" s="387"/>
      <c r="F17" s="377"/>
    </row>
    <row r="18" spans="1:6" ht="16.2" thickBot="1" x14ac:dyDescent="0.35">
      <c r="A18" s="376" t="s">
        <v>26</v>
      </c>
      <c r="B18" s="374">
        <v>2000</v>
      </c>
      <c r="C18" s="374">
        <v>1000</v>
      </c>
      <c r="D18" s="397" t="s">
        <v>24</v>
      </c>
      <c r="E18" s="387"/>
      <c r="F18" s="377"/>
    </row>
    <row r="19" spans="1:6" ht="16.2" thickBot="1" x14ac:dyDescent="0.35">
      <c r="A19" s="376" t="s">
        <v>27</v>
      </c>
      <c r="B19" s="374">
        <v>1500</v>
      </c>
      <c r="C19" s="374">
        <v>11000</v>
      </c>
      <c r="D19" s="397" t="s">
        <v>24</v>
      </c>
      <c r="E19" s="387" t="s">
        <v>1958</v>
      </c>
      <c r="F19" s="377" t="s">
        <v>1959</v>
      </c>
    </row>
    <row r="20" spans="1:6" ht="16.2" thickBot="1" x14ac:dyDescent="0.35">
      <c r="A20" s="376" t="s">
        <v>28</v>
      </c>
      <c r="B20" s="374">
        <v>0</v>
      </c>
      <c r="C20" s="374">
        <v>0</v>
      </c>
      <c r="D20" s="397" t="s">
        <v>24</v>
      </c>
      <c r="E20" s="387"/>
      <c r="F20" s="377"/>
    </row>
    <row r="21" spans="1:6" ht="16.2" thickBot="1" x14ac:dyDescent="0.35">
      <c r="A21" s="376" t="s">
        <v>29</v>
      </c>
      <c r="B21" s="374">
        <v>28500</v>
      </c>
      <c r="C21" s="374">
        <v>51100</v>
      </c>
      <c r="D21" s="397" t="s">
        <v>24</v>
      </c>
      <c r="E21" s="387"/>
      <c r="F21" s="377"/>
    </row>
    <row r="22" spans="1:6" ht="16.2" thickBot="1" x14ac:dyDescent="0.35">
      <c r="A22" s="376" t="s">
        <v>30</v>
      </c>
      <c r="B22" s="374">
        <v>21081</v>
      </c>
      <c r="C22" s="374">
        <v>21970</v>
      </c>
      <c r="D22" s="397" t="s">
        <v>24</v>
      </c>
      <c r="E22" s="387"/>
      <c r="F22" s="377"/>
    </row>
    <row r="23" spans="1:6" ht="16.2" thickBot="1" x14ac:dyDescent="0.35">
      <c r="A23" s="373" t="s">
        <v>1960</v>
      </c>
      <c r="B23" s="374">
        <v>4704</v>
      </c>
      <c r="C23" s="374">
        <v>10800</v>
      </c>
      <c r="D23" s="397" t="s">
        <v>24</v>
      </c>
      <c r="E23" s="387" t="s">
        <v>1961</v>
      </c>
      <c r="F23" s="377" t="s">
        <v>1962</v>
      </c>
    </row>
    <row r="24" spans="1:6" ht="16.2" thickBot="1" x14ac:dyDescent="0.35">
      <c r="A24" s="373" t="s">
        <v>1995</v>
      </c>
      <c r="B24" s="374">
        <v>0</v>
      </c>
      <c r="C24" s="374">
        <v>300000</v>
      </c>
      <c r="D24" s="394" t="s">
        <v>24</v>
      </c>
      <c r="E24" s="387"/>
      <c r="F24" s="377"/>
    </row>
    <row r="25" spans="1:6" ht="16.2" thickBot="1" x14ac:dyDescent="0.35">
      <c r="A25" s="373"/>
      <c r="B25" s="374">
        <v>0</v>
      </c>
      <c r="C25" s="374">
        <v>0</v>
      </c>
      <c r="D25" s="387"/>
      <c r="E25" s="387"/>
      <c r="F25" s="377"/>
    </row>
    <row r="26" spans="1:6" ht="16.2" thickBot="1" x14ac:dyDescent="0.35">
      <c r="A26" s="373"/>
      <c r="B26" s="374">
        <v>0</v>
      </c>
      <c r="C26" s="374">
        <v>0</v>
      </c>
      <c r="D26" s="387"/>
      <c r="E26" s="387"/>
      <c r="F26" s="377"/>
    </row>
    <row r="27" spans="1:6" ht="16.2" thickBot="1" x14ac:dyDescent="0.35">
      <c r="A27" s="373"/>
      <c r="B27" s="374">
        <v>0</v>
      </c>
      <c r="C27" s="374">
        <v>0</v>
      </c>
      <c r="D27" s="387"/>
      <c r="E27" s="387"/>
      <c r="F27" s="377"/>
    </row>
    <row r="28" spans="1:6" ht="16.2" thickBot="1" x14ac:dyDescent="0.35">
      <c r="A28" s="378"/>
      <c r="B28" s="374">
        <v>0</v>
      </c>
      <c r="C28" s="374">
        <v>0</v>
      </c>
      <c r="D28" s="387"/>
      <c r="E28" s="387"/>
      <c r="F28" s="377"/>
    </row>
    <row r="29" spans="1:6" ht="16.2" thickBot="1" x14ac:dyDescent="0.35">
      <c r="A29" s="371" t="s">
        <v>32</v>
      </c>
      <c r="B29" s="379">
        <f>SUM(B16:B28)</f>
        <v>97785</v>
      </c>
      <c r="C29" s="379">
        <f>SUM(C16:C28)</f>
        <v>453370</v>
      </c>
      <c r="D29" s="388"/>
      <c r="E29" s="388"/>
      <c r="F29" s="380"/>
    </row>
    <row r="30" spans="1:6" x14ac:dyDescent="0.3">
      <c r="C30" s="396">
        <f>SUM(B29:C29)</f>
        <v>551155</v>
      </c>
      <c r="D30" s="372" t="s">
        <v>2553</v>
      </c>
    </row>
    <row r="31" spans="1:6" x14ac:dyDescent="0.3">
      <c r="C31" s="10">
        <v>-300000</v>
      </c>
    </row>
    <row r="32" spans="1:6" x14ac:dyDescent="0.3">
      <c r="C32" s="396">
        <f>SUM(C30:C31)</f>
        <v>251155</v>
      </c>
      <c r="D32" s="372" t="s">
        <v>9</v>
      </c>
    </row>
    <row r="33" spans="1:4" x14ac:dyDescent="0.3">
      <c r="A33" s="399" t="s">
        <v>1963</v>
      </c>
      <c r="D33" s="372" t="s">
        <v>9</v>
      </c>
    </row>
    <row r="34" spans="1:4" x14ac:dyDescent="0.3">
      <c r="A34" s="372" t="s">
        <v>1964</v>
      </c>
      <c r="B34" s="342">
        <f>128925+200000</f>
        <v>328925</v>
      </c>
    </row>
    <row r="35" spans="1:4" x14ac:dyDescent="0.3">
      <c r="A35" s="372" t="s">
        <v>1965</v>
      </c>
      <c r="B35" s="342">
        <v>2250000</v>
      </c>
    </row>
    <row r="36" spans="1:4" x14ac:dyDescent="0.3">
      <c r="A36" s="372" t="s">
        <v>1460</v>
      </c>
      <c r="B36" s="342">
        <v>350000</v>
      </c>
    </row>
    <row r="37" spans="1:4" x14ac:dyDescent="0.3">
      <c r="A37" s="372" t="s">
        <v>1966</v>
      </c>
      <c r="B37" s="342">
        <v>15000</v>
      </c>
    </row>
    <row r="38" spans="1:4" x14ac:dyDescent="0.3">
      <c r="A38" s="372" t="s">
        <v>1967</v>
      </c>
      <c r="B38" s="342">
        <v>65000</v>
      </c>
    </row>
    <row r="39" spans="1:4" x14ac:dyDescent="0.3">
      <c r="A39" s="372" t="s">
        <v>1968</v>
      </c>
      <c r="B39" s="342">
        <v>24000</v>
      </c>
    </row>
    <row r="40" spans="1:4" x14ac:dyDescent="0.3">
      <c r="A40" s="372" t="s">
        <v>1969</v>
      </c>
      <c r="B40" s="342">
        <v>16000</v>
      </c>
    </row>
    <row r="41" spans="1:4" x14ac:dyDescent="0.3">
      <c r="A41" s="372" t="s">
        <v>1970</v>
      </c>
      <c r="B41" s="342">
        <v>10500</v>
      </c>
    </row>
    <row r="42" spans="1:4" x14ac:dyDescent="0.3">
      <c r="A42" s="372" t="s">
        <v>1971</v>
      </c>
      <c r="B42" s="342">
        <v>10000</v>
      </c>
    </row>
    <row r="43" spans="1:4" x14ac:dyDescent="0.3">
      <c r="A43" s="372" t="s">
        <v>1972</v>
      </c>
      <c r="B43" s="342">
        <v>160000</v>
      </c>
    </row>
    <row r="44" spans="1:4" x14ac:dyDescent="0.3">
      <c r="A44" s="372" t="s">
        <v>1973</v>
      </c>
      <c r="B44" s="400">
        <v>5000</v>
      </c>
    </row>
    <row r="45" spans="1:4" x14ac:dyDescent="0.3">
      <c r="B45" s="401">
        <f>SUM(B34:B44)</f>
        <v>3234425</v>
      </c>
    </row>
  </sheetData>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8C333-CED4-4A2E-85F3-DD51E3ECB488}">
  <dimension ref="A1:H36"/>
  <sheetViews>
    <sheetView topLeftCell="A22" workbookViewId="0">
      <selection activeCell="C39" sqref="C39"/>
    </sheetView>
  </sheetViews>
  <sheetFormatPr defaultColWidth="9.109375" defaultRowHeight="15.6" x14ac:dyDescent="0.3"/>
  <cols>
    <col min="1" max="1" width="61.88671875" style="372" customWidth="1"/>
    <col min="2" max="2" width="20.44140625" style="372" customWidth="1"/>
    <col min="3" max="3" width="26.88671875" style="372" customWidth="1"/>
    <col min="4" max="4" width="25.33203125" style="372" customWidth="1"/>
    <col min="5" max="5" width="30.6640625" style="372" customWidth="1"/>
    <col min="6" max="6" width="61.6640625" style="372" customWidth="1"/>
    <col min="7" max="7" width="21.33203125" style="372" customWidth="1"/>
    <col min="8" max="8" width="20.6640625" style="372" customWidth="1"/>
    <col min="9" max="16384" width="9.109375" style="372"/>
  </cols>
  <sheetData>
    <row r="1" spans="1:8" s="375" customFormat="1" ht="60.75" customHeight="1" x14ac:dyDescent="0.3">
      <c r="A1" s="384" t="s">
        <v>0</v>
      </c>
      <c r="B1" s="123" t="s">
        <v>1</v>
      </c>
      <c r="C1" s="384" t="s">
        <v>2</v>
      </c>
      <c r="D1" s="384" t="s">
        <v>3</v>
      </c>
      <c r="E1" s="384" t="s">
        <v>4</v>
      </c>
      <c r="F1" s="384" t="s">
        <v>5</v>
      </c>
      <c r="G1" s="384" t="s">
        <v>6</v>
      </c>
      <c r="H1" s="384" t="s">
        <v>7</v>
      </c>
    </row>
    <row r="2" spans="1:8" ht="56.25" customHeight="1" x14ac:dyDescent="0.3">
      <c r="A2" s="402" t="s">
        <v>2016</v>
      </c>
      <c r="B2" s="391">
        <v>1344000</v>
      </c>
      <c r="C2" s="431" t="s">
        <v>1974</v>
      </c>
      <c r="D2" s="391">
        <v>0</v>
      </c>
      <c r="E2" s="389"/>
      <c r="F2" s="392"/>
      <c r="G2" s="391">
        <v>0</v>
      </c>
      <c r="H2" s="391">
        <v>0</v>
      </c>
    </row>
    <row r="3" spans="1:8" ht="56.25" customHeight="1" x14ac:dyDescent="0.3">
      <c r="A3" s="402" t="s">
        <v>2016</v>
      </c>
      <c r="B3" s="391">
        <v>85258</v>
      </c>
      <c r="C3" s="431" t="s">
        <v>2017</v>
      </c>
      <c r="D3" s="391">
        <v>0</v>
      </c>
      <c r="E3" s="389"/>
      <c r="F3" s="392"/>
      <c r="G3" s="391">
        <v>0</v>
      </c>
      <c r="H3" s="391">
        <v>0</v>
      </c>
    </row>
    <row r="4" spans="1:8" ht="56.25" customHeight="1" x14ac:dyDescent="0.3">
      <c r="A4" s="402" t="s">
        <v>2016</v>
      </c>
      <c r="B4" s="391">
        <v>9645</v>
      </c>
      <c r="C4" s="431" t="s">
        <v>2018</v>
      </c>
      <c r="D4" s="391">
        <v>0</v>
      </c>
      <c r="E4" s="389"/>
      <c r="F4" s="392"/>
      <c r="G4" s="391">
        <v>0</v>
      </c>
      <c r="H4" s="391">
        <v>0</v>
      </c>
    </row>
    <row r="6" spans="1:8" x14ac:dyDescent="0.3">
      <c r="A6" s="386" t="s">
        <v>11</v>
      </c>
    </row>
    <row r="8" spans="1:8" ht="16.2" thickBot="1" x14ac:dyDescent="0.35">
      <c r="A8" s="381" t="s">
        <v>12</v>
      </c>
      <c r="B8" s="10">
        <f>SUM(B2:B4)</f>
        <v>1438903</v>
      </c>
    </row>
    <row r="9" spans="1:8" ht="16.2" thickBot="1" x14ac:dyDescent="0.35">
      <c r="A9" s="427" t="s">
        <v>51</v>
      </c>
      <c r="B9" s="374">
        <v>0</v>
      </c>
      <c r="E9" s="372">
        <v>0</v>
      </c>
    </row>
    <row r="10" spans="1:8" ht="16.2" thickBot="1" x14ac:dyDescent="0.35">
      <c r="A10" s="427" t="s">
        <v>53</v>
      </c>
      <c r="B10" s="374">
        <v>0</v>
      </c>
    </row>
    <row r="11" spans="1:8" ht="16.2" thickBot="1" x14ac:dyDescent="0.35">
      <c r="A11" s="427" t="s">
        <v>55</v>
      </c>
      <c r="B11" s="374">
        <v>0</v>
      </c>
    </row>
    <row r="12" spans="1:8" ht="16.2" thickBot="1" x14ac:dyDescent="0.35">
      <c r="A12" s="427" t="s">
        <v>57</v>
      </c>
      <c r="B12" s="374">
        <v>0</v>
      </c>
    </row>
    <row r="13" spans="1:8" ht="16.2" thickBot="1" x14ac:dyDescent="0.35">
      <c r="A13" s="427"/>
      <c r="B13" s="374">
        <v>0</v>
      </c>
    </row>
    <row r="14" spans="1:8" ht="16.2" thickBot="1" x14ac:dyDescent="0.35">
      <c r="A14" s="427"/>
      <c r="B14" s="10"/>
      <c r="C14" s="374">
        <f>SUM(B9:B13)</f>
        <v>0</v>
      </c>
    </row>
    <row r="15" spans="1:8" x14ac:dyDescent="0.3">
      <c r="A15" s="426"/>
      <c r="C15" s="10" t="s">
        <v>9</v>
      </c>
    </row>
    <row r="17" spans="1:6" ht="31.2" x14ac:dyDescent="0.3">
      <c r="A17" s="384" t="s">
        <v>17</v>
      </c>
      <c r="B17" s="385" t="s">
        <v>18</v>
      </c>
      <c r="C17" s="384" t="s">
        <v>19</v>
      </c>
      <c r="D17" s="384" t="s">
        <v>20</v>
      </c>
      <c r="E17" s="384" t="s">
        <v>21</v>
      </c>
      <c r="F17" s="384" t="s">
        <v>22</v>
      </c>
    </row>
    <row r="18" spans="1:6" x14ac:dyDescent="0.3">
      <c r="A18" s="432" t="s">
        <v>23</v>
      </c>
      <c r="B18" s="211">
        <v>9475.69</v>
      </c>
      <c r="C18" s="211">
        <v>0</v>
      </c>
      <c r="D18" s="126"/>
      <c r="E18" s="126"/>
      <c r="F18" s="213" t="s">
        <v>2019</v>
      </c>
    </row>
    <row r="19" spans="1:6" x14ac:dyDescent="0.3">
      <c r="A19" s="432" t="s">
        <v>2020</v>
      </c>
      <c r="B19" s="211">
        <v>14077.09</v>
      </c>
      <c r="C19" s="211"/>
      <c r="D19" s="126"/>
      <c r="E19" s="126"/>
      <c r="F19" s="213" t="s">
        <v>2021</v>
      </c>
    </row>
    <row r="20" spans="1:6" ht="31.2" x14ac:dyDescent="0.3">
      <c r="A20" s="432" t="s">
        <v>25</v>
      </c>
      <c r="B20" s="211">
        <v>26664.15</v>
      </c>
      <c r="C20" s="211">
        <v>0</v>
      </c>
      <c r="D20" s="126"/>
      <c r="E20" s="126"/>
      <c r="F20" s="213" t="s">
        <v>2022</v>
      </c>
    </row>
    <row r="21" spans="1:6" ht="31.2" x14ac:dyDescent="0.3">
      <c r="A21" s="432" t="s">
        <v>2023</v>
      </c>
      <c r="B21" s="211">
        <v>2965.31</v>
      </c>
      <c r="C21" s="211"/>
      <c r="D21" s="126"/>
      <c r="E21" s="126"/>
      <c r="F21" s="213" t="s">
        <v>2024</v>
      </c>
    </row>
    <row r="22" spans="1:6" ht="46.8" x14ac:dyDescent="0.3">
      <c r="A22" s="432" t="s">
        <v>2025</v>
      </c>
      <c r="B22" s="211"/>
      <c r="C22" s="211">
        <v>40540.35</v>
      </c>
      <c r="D22" s="126"/>
      <c r="E22" s="126"/>
      <c r="F22" s="213" t="s">
        <v>2026</v>
      </c>
    </row>
    <row r="23" spans="1:6" ht="31.2" x14ac:dyDescent="0.3">
      <c r="A23" s="432" t="s">
        <v>2027</v>
      </c>
      <c r="B23" s="211">
        <v>64608</v>
      </c>
      <c r="C23" s="211">
        <v>0</v>
      </c>
      <c r="D23" s="126"/>
      <c r="E23" s="126"/>
      <c r="F23" s="213" t="s">
        <v>2028</v>
      </c>
    </row>
    <row r="24" spans="1:6" ht="31.2" x14ac:dyDescent="0.3">
      <c r="A24" s="432" t="s">
        <v>2029</v>
      </c>
      <c r="B24" s="211">
        <v>25277</v>
      </c>
      <c r="C24" s="211">
        <v>50554</v>
      </c>
      <c r="D24" s="126"/>
      <c r="E24" s="126"/>
      <c r="F24" s="213" t="s">
        <v>2030</v>
      </c>
    </row>
    <row r="25" spans="1:6" ht="46.8" x14ac:dyDescent="0.3">
      <c r="A25" s="432" t="s">
        <v>2031</v>
      </c>
      <c r="B25" s="211">
        <v>6589</v>
      </c>
      <c r="C25" s="211"/>
      <c r="D25" s="126"/>
      <c r="E25" s="126"/>
      <c r="F25" s="213" t="s">
        <v>2032</v>
      </c>
    </row>
    <row r="26" spans="1:6" x14ac:dyDescent="0.3">
      <c r="A26" s="432" t="s">
        <v>27</v>
      </c>
      <c r="B26" s="211">
        <v>0</v>
      </c>
      <c r="C26" s="211">
        <v>0</v>
      </c>
      <c r="D26" s="126"/>
      <c r="E26" s="126"/>
      <c r="F26" s="213"/>
    </row>
    <row r="27" spans="1:6" x14ac:dyDescent="0.3">
      <c r="A27" s="432" t="s">
        <v>28</v>
      </c>
      <c r="B27" s="211">
        <v>0</v>
      </c>
      <c r="C27" s="211">
        <v>0</v>
      </c>
      <c r="D27" s="126"/>
      <c r="E27" s="126"/>
      <c r="F27" s="213"/>
    </row>
    <row r="28" spans="1:6" ht="31.2" x14ac:dyDescent="0.3">
      <c r="A28" s="432" t="s">
        <v>29</v>
      </c>
      <c r="B28" s="211">
        <v>28872.569999999996</v>
      </c>
      <c r="C28" s="211">
        <v>0</v>
      </c>
      <c r="D28" s="126"/>
      <c r="E28" s="126"/>
      <c r="F28" s="213" t="s">
        <v>2033</v>
      </c>
    </row>
    <row r="29" spans="1:6" x14ac:dyDescent="0.3">
      <c r="A29" s="432"/>
      <c r="B29" s="211">
        <v>0</v>
      </c>
      <c r="C29" s="211">
        <v>0</v>
      </c>
      <c r="D29" s="126"/>
      <c r="E29" s="126"/>
      <c r="F29" s="213"/>
    </row>
    <row r="30" spans="1:6" x14ac:dyDescent="0.3">
      <c r="A30" s="215"/>
      <c r="B30" s="211">
        <v>0</v>
      </c>
      <c r="C30" s="211">
        <v>0</v>
      </c>
      <c r="D30" s="126"/>
      <c r="E30" s="126"/>
      <c r="F30" s="213"/>
    </row>
    <row r="31" spans="1:6" x14ac:dyDescent="0.3">
      <c r="A31" s="215"/>
      <c r="B31" s="211">
        <v>0</v>
      </c>
      <c r="C31" s="211">
        <v>0</v>
      </c>
      <c r="D31" s="126"/>
      <c r="E31" s="126"/>
      <c r="F31" s="213"/>
    </row>
    <row r="32" spans="1:6" x14ac:dyDescent="0.3">
      <c r="A32" s="215"/>
      <c r="B32" s="211">
        <v>0</v>
      </c>
      <c r="C32" s="211">
        <v>0</v>
      </c>
      <c r="D32" s="126"/>
      <c r="E32" s="126"/>
      <c r="F32" s="213"/>
    </row>
    <row r="33" spans="1:6" x14ac:dyDescent="0.3">
      <c r="A33" s="215"/>
      <c r="B33" s="211">
        <v>0</v>
      </c>
      <c r="C33" s="211">
        <v>0</v>
      </c>
      <c r="D33" s="126"/>
      <c r="E33" s="126"/>
      <c r="F33" s="213"/>
    </row>
    <row r="34" spans="1:6" x14ac:dyDescent="0.3">
      <c r="A34" s="215"/>
      <c r="B34" s="211">
        <v>0</v>
      </c>
      <c r="C34" s="211">
        <v>0</v>
      </c>
      <c r="D34" s="126"/>
      <c r="E34" s="126"/>
      <c r="F34" s="213"/>
    </row>
    <row r="35" spans="1:6" ht="16.2" thickBot="1" x14ac:dyDescent="0.35">
      <c r="A35" s="433"/>
      <c r="B35" s="211">
        <v>0</v>
      </c>
      <c r="C35" s="211">
        <v>0</v>
      </c>
      <c r="D35" s="126"/>
      <c r="E35" s="126"/>
      <c r="F35" s="213"/>
    </row>
    <row r="36" spans="1:6" ht="16.2" thickBot="1" x14ac:dyDescent="0.35">
      <c r="A36" s="426" t="s">
        <v>32</v>
      </c>
      <c r="B36" s="434">
        <f>SUM(B18:B35)</f>
        <v>178528.81</v>
      </c>
      <c r="C36" s="434">
        <f>SUM(C18:C35)</f>
        <v>91094.35</v>
      </c>
      <c r="D36" s="435"/>
      <c r="E36" s="435"/>
      <c r="F36" s="436"/>
    </row>
  </sheetData>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0A76-A80C-4E18-8E42-2241EB2DFC76}">
  <dimension ref="A1:H28"/>
  <sheetViews>
    <sheetView topLeftCell="A16"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324</v>
      </c>
      <c r="B2" s="4">
        <v>285800</v>
      </c>
      <c r="C2" s="3" t="s">
        <v>1240</v>
      </c>
      <c r="D2" s="5">
        <v>7701353</v>
      </c>
      <c r="E2" s="3" t="s">
        <v>10</v>
      </c>
      <c r="F2" s="6"/>
      <c r="G2" s="5">
        <v>150000</v>
      </c>
      <c r="H2" s="5">
        <v>658750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t="s">
        <v>1241</v>
      </c>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12806</v>
      </c>
      <c r="C15" s="16">
        <v>18806</v>
      </c>
      <c r="D15" s="17" t="s">
        <v>24</v>
      </c>
      <c r="E15" s="17"/>
      <c r="F15" s="18"/>
    </row>
    <row r="16" spans="1:8" ht="16.2" thickBot="1" x14ac:dyDescent="0.35">
      <c r="A16" s="15" t="s">
        <v>25</v>
      </c>
      <c r="B16" s="12">
        <v>9929</v>
      </c>
      <c r="C16" s="12">
        <v>16629</v>
      </c>
      <c r="D16" s="19" t="s">
        <v>24</v>
      </c>
      <c r="E16" s="19"/>
      <c r="F16" s="20"/>
    </row>
    <row r="17" spans="1:6" ht="16.2" thickBot="1" x14ac:dyDescent="0.35">
      <c r="A17" s="15" t="s">
        <v>26</v>
      </c>
      <c r="B17" s="12">
        <v>4188</v>
      </c>
      <c r="C17" s="12">
        <v>9273</v>
      </c>
      <c r="D17" s="19" t="s">
        <v>24</v>
      </c>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94.2" thickBot="1" x14ac:dyDescent="0.35">
      <c r="A20" s="15" t="s">
        <v>29</v>
      </c>
      <c r="B20" s="12">
        <v>5300</v>
      </c>
      <c r="C20" s="12">
        <v>58300</v>
      </c>
      <c r="D20" s="19" t="s">
        <v>24</v>
      </c>
      <c r="E20" s="19"/>
      <c r="F20" s="33" t="s">
        <v>1242</v>
      </c>
    </row>
    <row r="21" spans="1:6" ht="16.2" thickBot="1" x14ac:dyDescent="0.35">
      <c r="A21" s="15" t="s">
        <v>30</v>
      </c>
      <c r="B21" s="12">
        <v>3718</v>
      </c>
      <c r="C21" s="12">
        <v>9223</v>
      </c>
      <c r="D21" s="19" t="s">
        <v>24</v>
      </c>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35941</v>
      </c>
      <c r="C28" s="22">
        <v>112231</v>
      </c>
      <c r="D28" s="23"/>
      <c r="E28" s="23"/>
      <c r="F28" s="24"/>
    </row>
  </sheetData>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6D35-4F87-4F9F-82AD-105C5568FE0B}">
  <dimension ref="A1:H29"/>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78.599999999999994" thickBot="1" x14ac:dyDescent="0.35">
      <c r="A2" s="3" t="s">
        <v>1243</v>
      </c>
      <c r="B2" s="4">
        <v>35700</v>
      </c>
      <c r="C2" s="3" t="s">
        <v>1244</v>
      </c>
      <c r="D2" s="5">
        <v>4340492</v>
      </c>
      <c r="E2" s="3" t="s">
        <v>10</v>
      </c>
      <c r="F2" s="6" t="s">
        <v>1245</v>
      </c>
      <c r="G2" s="5">
        <v>0</v>
      </c>
      <c r="H2" s="5">
        <v>-55592.9</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35700</v>
      </c>
    </row>
    <row r="11" spans="1:8" ht="16.2" thickBot="1" x14ac:dyDescent="0.35">
      <c r="A11" s="11"/>
      <c r="B11" s="12">
        <v>0</v>
      </c>
    </row>
    <row r="12" spans="1:8" ht="16.2" thickBot="1" x14ac:dyDescent="0.35">
      <c r="A12" s="11"/>
      <c r="B12" s="10"/>
      <c r="C12" s="12">
        <v>35700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2619.9699999999998</v>
      </c>
      <c r="C16" s="16">
        <v>4619.9699999999993</v>
      </c>
      <c r="D16" s="17" t="s">
        <v>24</v>
      </c>
      <c r="E16" s="17" t="s">
        <v>79</v>
      </c>
      <c r="F16" s="18"/>
    </row>
    <row r="17" spans="1:6" ht="16.2" thickBot="1" x14ac:dyDescent="0.35">
      <c r="A17" s="15" t="s">
        <v>25</v>
      </c>
      <c r="B17" s="12">
        <v>1341.74</v>
      </c>
      <c r="C17" s="12">
        <v>1841.74</v>
      </c>
      <c r="D17" s="19" t="s">
        <v>24</v>
      </c>
      <c r="E17" s="17" t="s">
        <v>79</v>
      </c>
      <c r="F17" s="20"/>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2293.9499999999998</v>
      </c>
      <c r="C21" s="12">
        <v>7293.95</v>
      </c>
      <c r="D21" s="19" t="s">
        <v>24</v>
      </c>
      <c r="E21" s="17" t="s">
        <v>79</v>
      </c>
      <c r="F21" s="20"/>
    </row>
    <row r="22" spans="1:6" ht="16.2" thickBot="1" x14ac:dyDescent="0.35">
      <c r="A22" s="15" t="s">
        <v>30</v>
      </c>
      <c r="B22" s="12">
        <v>4137.24</v>
      </c>
      <c r="C22" s="12">
        <v>6137.24</v>
      </c>
      <c r="D22" s="19" t="s">
        <v>24</v>
      </c>
      <c r="E22" s="17"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10392.9</v>
      </c>
      <c r="C29" s="22">
        <v>19892.900000000001</v>
      </c>
      <c r="D29" s="23"/>
      <c r="E29" s="23"/>
      <c r="F29" s="24"/>
    </row>
  </sheetData>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D1F7-CDBA-4E43-9CCD-4ECF56CE370E}">
  <dimension ref="A1:H31"/>
  <sheetViews>
    <sheetView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69.441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1246</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2500</v>
      </c>
      <c r="C16" s="16">
        <v>5000</v>
      </c>
      <c r="D16" s="17" t="s">
        <v>24</v>
      </c>
      <c r="E16" s="17" t="s">
        <v>24</v>
      </c>
      <c r="F16" s="18" t="s">
        <v>1247</v>
      </c>
    </row>
    <row r="17" spans="1:6" ht="16.2" thickBot="1" x14ac:dyDescent="0.35">
      <c r="A17" s="15" t="s">
        <v>25</v>
      </c>
      <c r="B17" s="12">
        <v>183903</v>
      </c>
      <c r="C17" s="12">
        <v>183903</v>
      </c>
      <c r="D17" s="19" t="s">
        <v>24</v>
      </c>
      <c r="E17" s="19" t="s">
        <v>24</v>
      </c>
      <c r="F17" s="20" t="s">
        <v>1248</v>
      </c>
    </row>
    <row r="18" spans="1:6" ht="16.2" thickBot="1" x14ac:dyDescent="0.35">
      <c r="A18" s="15" t="s">
        <v>26</v>
      </c>
      <c r="B18" s="12">
        <v>19731</v>
      </c>
      <c r="C18" s="12">
        <v>39462</v>
      </c>
      <c r="D18" s="19" t="s">
        <v>24</v>
      </c>
      <c r="E18" s="19" t="s">
        <v>24</v>
      </c>
      <c r="F18" s="20" t="s">
        <v>1249</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c r="C22" s="12"/>
      <c r="D22" s="19"/>
      <c r="E22" s="19"/>
      <c r="F22" s="20"/>
    </row>
    <row r="23" spans="1:6" ht="16.2" thickBot="1" x14ac:dyDescent="0.35">
      <c r="A23" s="11"/>
      <c r="B23" s="12">
        <v>0</v>
      </c>
      <c r="C23" s="12">
        <v>0</v>
      </c>
      <c r="D23" s="19"/>
      <c r="E23" s="19"/>
      <c r="F23" s="20"/>
    </row>
    <row r="24" spans="1:6" ht="16.2" thickBot="1" x14ac:dyDescent="0.35">
      <c r="A24" s="15" t="s">
        <v>1250</v>
      </c>
      <c r="B24" s="12">
        <v>0</v>
      </c>
      <c r="C24" s="12">
        <v>132250</v>
      </c>
      <c r="D24" s="19" t="s">
        <v>10</v>
      </c>
      <c r="E24" s="19" t="s">
        <v>106</v>
      </c>
      <c r="F24" s="20" t="s">
        <v>1251</v>
      </c>
    </row>
    <row r="25" spans="1:6" ht="16.2" thickBot="1" x14ac:dyDescent="0.35">
      <c r="A25" s="15" t="s">
        <v>1252</v>
      </c>
      <c r="B25" s="12"/>
      <c r="C25" s="12">
        <v>40000</v>
      </c>
      <c r="D25" s="19" t="s">
        <v>10</v>
      </c>
      <c r="E25" s="19" t="s">
        <v>106</v>
      </c>
      <c r="F25" s="20" t="s">
        <v>1251</v>
      </c>
    </row>
    <row r="26" spans="1:6" ht="16.2" thickBot="1" x14ac:dyDescent="0.35">
      <c r="A26" s="15"/>
      <c r="B26" s="12"/>
      <c r="C26" s="12"/>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206134</v>
      </c>
      <c r="C29" s="22">
        <v>400615</v>
      </c>
      <c r="D29" s="23"/>
      <c r="E29" s="23"/>
      <c r="F29" s="24"/>
    </row>
    <row r="31" spans="1:6" x14ac:dyDescent="0.3">
      <c r="A31" s="7" t="s">
        <v>1253</v>
      </c>
    </row>
  </sheetData>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72B6-6DB5-4C19-A506-8AC6AA1D2524}">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1254</v>
      </c>
      <c r="B2" s="4">
        <v>100000</v>
      </c>
      <c r="C2" s="3" t="s">
        <v>1255</v>
      </c>
      <c r="D2" s="5">
        <v>2389599</v>
      </c>
      <c r="E2" s="3" t="s">
        <v>10</v>
      </c>
      <c r="F2" s="6"/>
      <c r="G2" s="5">
        <v>33157</v>
      </c>
      <c r="H2" s="5">
        <v>33157</v>
      </c>
    </row>
    <row r="3" spans="1:8" x14ac:dyDescent="0.3">
      <c r="D3" s="7" t="s">
        <v>1256</v>
      </c>
    </row>
    <row r="4" spans="1:8" x14ac:dyDescent="0.3">
      <c r="A4" s="8" t="s">
        <v>11</v>
      </c>
    </row>
    <row r="6" spans="1:8" ht="16.2" thickBot="1" x14ac:dyDescent="0.35">
      <c r="A6" s="9" t="s">
        <v>12</v>
      </c>
      <c r="B6" s="10" t="s">
        <v>9</v>
      </c>
    </row>
    <row r="7" spans="1:8" ht="16.2" thickBot="1" x14ac:dyDescent="0.35">
      <c r="A7" s="11" t="s">
        <v>13</v>
      </c>
      <c r="B7" s="12">
        <v>20000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20000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5500</v>
      </c>
      <c r="C15" s="16">
        <v>10000</v>
      </c>
      <c r="D15" s="17" t="s">
        <v>10</v>
      </c>
      <c r="E15" s="17" t="s">
        <v>79</v>
      </c>
      <c r="F15" s="18"/>
    </row>
    <row r="16" spans="1:8" ht="16.2" thickBot="1" x14ac:dyDescent="0.35">
      <c r="A16" s="15" t="s">
        <v>25</v>
      </c>
      <c r="B16" s="12">
        <v>1000</v>
      </c>
      <c r="C16" s="12">
        <v>5000</v>
      </c>
      <c r="D16" s="19" t="s">
        <v>10</v>
      </c>
      <c r="E16" s="19" t="s">
        <v>79</v>
      </c>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3000</v>
      </c>
      <c r="D20" s="19" t="s">
        <v>10</v>
      </c>
      <c r="E20" s="19" t="s">
        <v>79</v>
      </c>
      <c r="F20" s="20"/>
    </row>
    <row r="21" spans="1:6" ht="16.2" thickBot="1" x14ac:dyDescent="0.35">
      <c r="A21" s="15" t="s">
        <v>30</v>
      </c>
      <c r="B21" s="12">
        <v>500</v>
      </c>
      <c r="C21" s="12">
        <v>2500</v>
      </c>
      <c r="D21" s="19" t="s">
        <v>10</v>
      </c>
      <c r="E21" s="19" t="s">
        <v>79</v>
      </c>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7000</v>
      </c>
      <c r="C28" s="22">
        <v>20500</v>
      </c>
      <c r="D28" s="23"/>
      <c r="E28" s="23"/>
      <c r="F28" s="24"/>
    </row>
  </sheetData>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5EA3-DB27-45B9-8E42-4F16FB337043}">
  <dimension ref="A1:H30"/>
  <sheetViews>
    <sheetView topLeftCell="A10"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140.5546875" style="372" bestFit="1"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327</v>
      </c>
      <c r="B2" s="390" t="s">
        <v>665</v>
      </c>
      <c r="C2" s="389" t="s">
        <v>1257</v>
      </c>
      <c r="D2" s="391">
        <v>8150176</v>
      </c>
      <c r="E2" s="389" t="s">
        <v>24</v>
      </c>
      <c r="F2" s="392" t="s">
        <v>1258</v>
      </c>
      <c r="G2" s="391" t="s">
        <v>1259</v>
      </c>
      <c r="H2" s="391" t="s">
        <v>1260</v>
      </c>
    </row>
    <row r="4" spans="1:8" x14ac:dyDescent="0.3">
      <c r="A4" s="386" t="s">
        <v>11</v>
      </c>
    </row>
    <row r="6" spans="1:8" ht="16.2" thickBot="1" x14ac:dyDescent="0.35">
      <c r="A6" s="636" t="s">
        <v>12</v>
      </c>
      <c r="B6" s="10" t="s">
        <v>9</v>
      </c>
    </row>
    <row r="7" spans="1:8" ht="16.2" thickBot="1" x14ac:dyDescent="0.35">
      <c r="A7" s="635" t="s">
        <v>13</v>
      </c>
      <c r="B7" s="374">
        <v>12000000</v>
      </c>
      <c r="C7" s="372" t="s">
        <v>1261</v>
      </c>
    </row>
    <row r="8" spans="1:8" ht="16.2" thickBot="1" x14ac:dyDescent="0.35">
      <c r="A8" s="635" t="s">
        <v>14</v>
      </c>
      <c r="B8" s="374">
        <v>0</v>
      </c>
    </row>
    <row r="9" spans="1:8" ht="16.2" thickBot="1" x14ac:dyDescent="0.35">
      <c r="A9" s="635"/>
      <c r="B9" s="374">
        <v>0</v>
      </c>
    </row>
    <row r="10" spans="1:8" ht="16.2" thickBot="1" x14ac:dyDescent="0.35">
      <c r="A10" s="635"/>
      <c r="B10" s="374">
        <v>0</v>
      </c>
    </row>
    <row r="11" spans="1:8" ht="16.2" thickBot="1" x14ac:dyDescent="0.35">
      <c r="A11" s="635"/>
      <c r="B11" s="10"/>
      <c r="C11" s="374">
        <f>SUM(B7:B10)</f>
        <v>12000000</v>
      </c>
    </row>
    <row r="12" spans="1:8" x14ac:dyDescent="0.3">
      <c r="A12" s="634"/>
      <c r="C12" s="10" t="s">
        <v>9</v>
      </c>
    </row>
    <row r="14" spans="1:8" ht="31.2" x14ac:dyDescent="0.3">
      <c r="A14" s="384" t="s">
        <v>17</v>
      </c>
      <c r="B14" s="385" t="s">
        <v>18</v>
      </c>
      <c r="C14" s="384" t="s">
        <v>19</v>
      </c>
      <c r="D14" s="384" t="s">
        <v>20</v>
      </c>
      <c r="E14" s="384" t="s">
        <v>21</v>
      </c>
      <c r="F14" s="384" t="s">
        <v>22</v>
      </c>
    </row>
    <row r="15" spans="1:8" ht="16.2" thickBot="1" x14ac:dyDescent="0.35">
      <c r="A15" s="633" t="s">
        <v>23</v>
      </c>
      <c r="B15" s="382">
        <f>3112.05+406.81+207.38+27304.78</f>
        <v>31031.02</v>
      </c>
      <c r="C15" s="382">
        <f>54609.56+3727+6663.44</f>
        <v>65000</v>
      </c>
      <c r="D15" s="359" t="s">
        <v>525</v>
      </c>
      <c r="E15" s="359" t="s">
        <v>1122</v>
      </c>
      <c r="F15" s="383" t="s">
        <v>1262</v>
      </c>
    </row>
    <row r="16" spans="1:8" ht="16.2" thickBot="1" x14ac:dyDescent="0.35">
      <c r="A16" s="633" t="s">
        <v>25</v>
      </c>
      <c r="B16" s="374">
        <f>7622.38+1011</f>
        <v>8633.380000000001</v>
      </c>
      <c r="C16" s="374">
        <f>7622.38+6511+866.62+13000</f>
        <v>28000</v>
      </c>
      <c r="D16" s="359" t="s">
        <v>525</v>
      </c>
      <c r="E16" s="359" t="s">
        <v>1122</v>
      </c>
      <c r="F16" s="377" t="s">
        <v>2465</v>
      </c>
    </row>
    <row r="17" spans="1:6" ht="16.2" thickBot="1" x14ac:dyDescent="0.35">
      <c r="A17" s="633" t="s">
        <v>26</v>
      </c>
      <c r="B17" s="374">
        <f>1900+110.1+17292</f>
        <v>19302.099999999999</v>
      </c>
      <c r="C17" s="374">
        <f>40347.99+2010.01+2642</f>
        <v>45000</v>
      </c>
      <c r="D17" s="359" t="s">
        <v>525</v>
      </c>
      <c r="E17" s="359" t="s">
        <v>1122</v>
      </c>
      <c r="F17" s="377" t="s">
        <v>1263</v>
      </c>
    </row>
    <row r="18" spans="1:6" ht="16.2" thickBot="1" x14ac:dyDescent="0.35">
      <c r="A18" s="633" t="s">
        <v>27</v>
      </c>
      <c r="B18" s="374">
        <v>0</v>
      </c>
      <c r="C18" s="374">
        <v>0</v>
      </c>
      <c r="D18" s="387"/>
      <c r="E18" s="387"/>
      <c r="F18" s="377"/>
    </row>
    <row r="19" spans="1:6" ht="16.2" thickBot="1" x14ac:dyDescent="0.35">
      <c r="A19" s="633" t="s">
        <v>28</v>
      </c>
      <c r="B19" s="374">
        <v>0</v>
      </c>
      <c r="C19" s="374">
        <v>0</v>
      </c>
      <c r="D19" s="387"/>
      <c r="E19" s="387"/>
      <c r="F19" s="377"/>
    </row>
    <row r="20" spans="1:6" ht="16.2" thickBot="1" x14ac:dyDescent="0.35">
      <c r="A20" s="633" t="s">
        <v>29</v>
      </c>
      <c r="B20" s="374">
        <v>7308.6</v>
      </c>
      <c r="C20" s="374">
        <v>15000</v>
      </c>
      <c r="D20" s="387" t="s">
        <v>525</v>
      </c>
      <c r="E20" s="387" t="s">
        <v>1122</v>
      </c>
      <c r="F20" s="377" t="s">
        <v>1264</v>
      </c>
    </row>
    <row r="21" spans="1:6" ht="16.2" thickBot="1" x14ac:dyDescent="0.35">
      <c r="A21" s="633" t="s">
        <v>30</v>
      </c>
      <c r="B21" s="374">
        <f>6847.29+8574.71+576.75</f>
        <v>15998.75</v>
      </c>
      <c r="C21" s="374">
        <v>30000</v>
      </c>
      <c r="D21" s="387" t="s">
        <v>525</v>
      </c>
      <c r="E21" s="387" t="s">
        <v>1122</v>
      </c>
      <c r="F21" s="377" t="s">
        <v>1265</v>
      </c>
    </row>
    <row r="22" spans="1:6" ht="16.2" thickBot="1" x14ac:dyDescent="0.35">
      <c r="A22" s="633" t="s">
        <v>1266</v>
      </c>
      <c r="B22" s="374">
        <f>2164.31+28.31+904</f>
        <v>3096.62</v>
      </c>
      <c r="C22" s="374">
        <v>8000</v>
      </c>
      <c r="D22" s="387" t="s">
        <v>525</v>
      </c>
      <c r="E22" s="387" t="s">
        <v>1122</v>
      </c>
      <c r="F22" s="377" t="s">
        <v>1267</v>
      </c>
    </row>
    <row r="23" spans="1:6" ht="16.2" thickBot="1" x14ac:dyDescent="0.35">
      <c r="A23" s="633" t="s">
        <v>1268</v>
      </c>
      <c r="B23" s="374">
        <v>8109.81</v>
      </c>
      <c r="C23" s="374">
        <f>+B23*4+0.76</f>
        <v>32440</v>
      </c>
      <c r="D23" s="387" t="s">
        <v>1269</v>
      </c>
      <c r="E23" s="387" t="s">
        <v>1122</v>
      </c>
      <c r="F23" s="377" t="s">
        <v>1270</v>
      </c>
    </row>
    <row r="24" spans="1:6" ht="16.2" thickBot="1" x14ac:dyDescent="0.35">
      <c r="A24" s="633" t="s">
        <v>2466</v>
      </c>
      <c r="B24" s="374">
        <v>0</v>
      </c>
      <c r="C24" s="374">
        <v>47000</v>
      </c>
      <c r="D24" s="387" t="s">
        <v>2467</v>
      </c>
      <c r="E24" s="387" t="s">
        <v>1122</v>
      </c>
      <c r="F24" s="377" t="s">
        <v>2468</v>
      </c>
    </row>
    <row r="25" spans="1:6" ht="16.2" thickBot="1" x14ac:dyDescent="0.35">
      <c r="A25" s="635"/>
      <c r="B25" s="374">
        <v>0</v>
      </c>
      <c r="C25" s="374">
        <v>0</v>
      </c>
      <c r="D25" s="387"/>
      <c r="E25" s="387"/>
      <c r="F25" s="377"/>
    </row>
    <row r="26" spans="1:6" ht="16.2" thickBot="1" x14ac:dyDescent="0.35">
      <c r="A26" s="635"/>
      <c r="B26" s="374">
        <v>0</v>
      </c>
      <c r="C26" s="374">
        <v>0</v>
      </c>
      <c r="D26" s="387"/>
      <c r="E26" s="387"/>
      <c r="F26" s="377"/>
    </row>
    <row r="27" spans="1:6" ht="16.2" thickBot="1" x14ac:dyDescent="0.35">
      <c r="A27" s="378"/>
      <c r="B27" s="374">
        <v>0</v>
      </c>
      <c r="C27" s="374">
        <v>0</v>
      </c>
      <c r="D27" s="387"/>
      <c r="E27" s="387"/>
      <c r="F27" s="377"/>
    </row>
    <row r="28" spans="1:6" ht="16.2" thickBot="1" x14ac:dyDescent="0.35">
      <c r="A28" s="634" t="s">
        <v>32</v>
      </c>
      <c r="B28" s="379">
        <f>SUM(B15:B27)</f>
        <v>93480.28</v>
      </c>
      <c r="C28" s="379">
        <f>SUM(C15:C27)</f>
        <v>270440</v>
      </c>
      <c r="D28" s="388"/>
      <c r="E28" s="388"/>
      <c r="F28" s="380"/>
    </row>
    <row r="30" spans="1:6" x14ac:dyDescent="0.3">
      <c r="A30" s="372" t="s">
        <v>1271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5EA4-5F20-4734-AE28-FC29726745C0}">
  <dimension ref="A1:H47"/>
  <sheetViews>
    <sheetView topLeftCell="A28"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28.88671875" style="372" customWidth="1"/>
    <col min="6" max="6" width="113.8867187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6.75" customHeight="1" thickBot="1" x14ac:dyDescent="0.35">
      <c r="A2" s="389" t="s">
        <v>2214</v>
      </c>
      <c r="B2" s="390">
        <v>30000</v>
      </c>
      <c r="C2" s="389" t="s">
        <v>2215</v>
      </c>
      <c r="D2" s="391">
        <v>902614</v>
      </c>
      <c r="E2" s="389" t="s">
        <v>10</v>
      </c>
      <c r="F2" s="392"/>
      <c r="G2" s="391">
        <v>0</v>
      </c>
      <c r="H2" s="391">
        <v>0</v>
      </c>
    </row>
    <row r="4" spans="1:8" x14ac:dyDescent="0.3">
      <c r="A4" s="386" t="s">
        <v>11</v>
      </c>
    </row>
    <row r="6" spans="1:8" ht="16.2" thickBot="1" x14ac:dyDescent="0.35">
      <c r="A6" s="524" t="s">
        <v>12</v>
      </c>
      <c r="B6" s="10" t="s">
        <v>9</v>
      </c>
    </row>
    <row r="7" spans="1:8" ht="16.2" thickBot="1" x14ac:dyDescent="0.35">
      <c r="A7" s="523" t="s">
        <v>51</v>
      </c>
      <c r="B7" s="374">
        <v>0</v>
      </c>
    </row>
    <row r="8" spans="1:8" ht="16.2" thickBot="1" x14ac:dyDescent="0.35">
      <c r="A8" s="523" t="s">
        <v>53</v>
      </c>
      <c r="B8" s="374">
        <v>0</v>
      </c>
    </row>
    <row r="9" spans="1:8" ht="16.2" thickBot="1" x14ac:dyDescent="0.35">
      <c r="A9" s="523" t="s">
        <v>55</v>
      </c>
      <c r="B9" s="374">
        <v>0</v>
      </c>
    </row>
    <row r="10" spans="1:8" ht="16.2" thickBot="1" x14ac:dyDescent="0.35">
      <c r="A10" s="523" t="s">
        <v>57</v>
      </c>
      <c r="B10" s="374">
        <v>0</v>
      </c>
    </row>
    <row r="11" spans="1:8" ht="16.2" thickBot="1" x14ac:dyDescent="0.35">
      <c r="A11" s="523"/>
      <c r="B11" s="374">
        <v>0</v>
      </c>
    </row>
    <row r="12" spans="1:8" ht="16.2" thickBot="1" x14ac:dyDescent="0.35">
      <c r="A12" s="523"/>
      <c r="B12" s="10"/>
      <c r="C12" s="374">
        <f>SUM(B7:B11)</f>
        <v>0</v>
      </c>
    </row>
    <row r="13" spans="1:8" x14ac:dyDescent="0.3">
      <c r="A13" s="522"/>
      <c r="C13" s="10" t="s">
        <v>9</v>
      </c>
    </row>
    <row r="14" spans="1:8" x14ac:dyDescent="0.3">
      <c r="C14" s="109" t="s">
        <v>747</v>
      </c>
    </row>
    <row r="15" spans="1:8" ht="31.8" thickBot="1" x14ac:dyDescent="0.35">
      <c r="A15" s="384" t="s">
        <v>17</v>
      </c>
      <c r="B15" s="385" t="s">
        <v>18</v>
      </c>
      <c r="C15" s="384" t="s">
        <v>19</v>
      </c>
      <c r="D15" s="384" t="s">
        <v>20</v>
      </c>
      <c r="E15" s="384" t="s">
        <v>21</v>
      </c>
      <c r="F15" s="384" t="s">
        <v>22</v>
      </c>
    </row>
    <row r="16" spans="1:8" ht="16.2" thickBot="1" x14ac:dyDescent="0.35">
      <c r="A16" s="521" t="s">
        <v>23</v>
      </c>
      <c r="B16" s="374">
        <v>554</v>
      </c>
      <c r="C16" s="374">
        <v>4958</v>
      </c>
      <c r="D16" s="397" t="s">
        <v>24</v>
      </c>
      <c r="E16" s="359"/>
      <c r="F16" s="383" t="s">
        <v>2216</v>
      </c>
    </row>
    <row r="17" spans="1:6" ht="16.2" thickBot="1" x14ac:dyDescent="0.35">
      <c r="A17" s="521" t="s">
        <v>25</v>
      </c>
      <c r="B17" s="374">
        <v>4985</v>
      </c>
      <c r="C17" s="374">
        <v>96659</v>
      </c>
      <c r="D17" s="394" t="s">
        <v>24</v>
      </c>
      <c r="E17" s="387"/>
      <c r="F17" s="383" t="s">
        <v>2217</v>
      </c>
    </row>
    <row r="18" spans="1:6" ht="16.2" thickBot="1" x14ac:dyDescent="0.35">
      <c r="A18" s="521" t="s">
        <v>26</v>
      </c>
      <c r="B18" s="374">
        <v>4920</v>
      </c>
      <c r="C18" s="374">
        <v>8505</v>
      </c>
      <c r="D18" s="394" t="s">
        <v>24</v>
      </c>
      <c r="E18" s="387"/>
      <c r="F18" s="383" t="s">
        <v>2218</v>
      </c>
    </row>
    <row r="19" spans="1:6" ht="16.2" thickBot="1" x14ac:dyDescent="0.35">
      <c r="A19" s="521" t="s">
        <v>27</v>
      </c>
      <c r="B19" s="374">
        <v>0</v>
      </c>
      <c r="C19" s="374">
        <v>0</v>
      </c>
      <c r="D19" s="394"/>
      <c r="E19" s="387"/>
      <c r="F19" s="377"/>
    </row>
    <row r="20" spans="1:6" ht="16.2" thickBot="1" x14ac:dyDescent="0.35">
      <c r="A20" s="521" t="s">
        <v>28</v>
      </c>
      <c r="B20" s="374">
        <v>0</v>
      </c>
      <c r="C20" s="374">
        <v>0</v>
      </c>
      <c r="D20" s="394"/>
      <c r="E20" s="387"/>
      <c r="F20" s="377"/>
    </row>
    <row r="21" spans="1:6" ht="16.2" thickBot="1" x14ac:dyDescent="0.35">
      <c r="A21" s="521" t="s">
        <v>29</v>
      </c>
      <c r="B21" s="374">
        <v>0</v>
      </c>
      <c r="C21" s="374">
        <v>0</v>
      </c>
      <c r="D21" s="394"/>
      <c r="E21" s="387"/>
      <c r="F21" s="377"/>
    </row>
    <row r="22" spans="1:6" ht="16.2" thickBot="1" x14ac:dyDescent="0.35">
      <c r="A22" s="521" t="s">
        <v>30</v>
      </c>
      <c r="B22" s="374">
        <v>1800</v>
      </c>
      <c r="C22" s="374">
        <v>22123</v>
      </c>
      <c r="D22" s="394" t="s">
        <v>24</v>
      </c>
      <c r="E22" s="387"/>
      <c r="F22" s="383" t="s">
        <v>2219</v>
      </c>
    </row>
    <row r="23" spans="1:6" ht="16.2" thickBot="1" x14ac:dyDescent="0.35">
      <c r="A23" s="523"/>
      <c r="B23" s="374">
        <v>0</v>
      </c>
      <c r="C23" s="374">
        <v>0</v>
      </c>
      <c r="D23" s="394"/>
      <c r="E23" s="387"/>
      <c r="F23" s="383"/>
    </row>
    <row r="24" spans="1:6" ht="16.2" thickBot="1" x14ac:dyDescent="0.35">
      <c r="A24" s="521" t="s">
        <v>2220</v>
      </c>
      <c r="B24" s="374"/>
      <c r="C24" s="374">
        <v>7785</v>
      </c>
      <c r="D24" s="394" t="s">
        <v>24</v>
      </c>
      <c r="E24" s="387"/>
      <c r="F24" s="383" t="s">
        <v>2221</v>
      </c>
    </row>
    <row r="25" spans="1:6" ht="16.2" thickBot="1" x14ac:dyDescent="0.35">
      <c r="A25" s="521"/>
      <c r="B25" s="374"/>
      <c r="C25" s="374"/>
      <c r="D25" s="394"/>
      <c r="E25" s="387"/>
      <c r="F25" s="383" t="s">
        <v>2222</v>
      </c>
    </row>
    <row r="26" spans="1:6" ht="16.2" thickBot="1" x14ac:dyDescent="0.35">
      <c r="A26" s="523"/>
      <c r="B26" s="374">
        <v>0</v>
      </c>
      <c r="C26" s="374">
        <v>0</v>
      </c>
      <c r="D26" s="394"/>
      <c r="E26" s="387"/>
      <c r="F26" s="377"/>
    </row>
    <row r="27" spans="1:6" ht="16.2" thickBot="1" x14ac:dyDescent="0.35">
      <c r="A27" s="378"/>
      <c r="B27" s="374">
        <v>0</v>
      </c>
      <c r="C27" s="374">
        <v>0</v>
      </c>
      <c r="D27" s="394"/>
      <c r="E27" s="387"/>
      <c r="F27" s="377"/>
    </row>
    <row r="28" spans="1:6" ht="16.2" thickBot="1" x14ac:dyDescent="0.35">
      <c r="A28" s="522" t="s">
        <v>32</v>
      </c>
      <c r="B28" s="379">
        <f>SUM(B16:B27)</f>
        <v>12259</v>
      </c>
      <c r="C28" s="379">
        <f>SUM(C16:C27)</f>
        <v>140030</v>
      </c>
      <c r="D28" s="34"/>
      <c r="E28" s="388"/>
      <c r="F28" s="380"/>
    </row>
    <row r="32" spans="1:6" x14ac:dyDescent="0.3">
      <c r="C32" s="109" t="s">
        <v>2223</v>
      </c>
    </row>
    <row r="33" spans="1:6" ht="31.2" x14ac:dyDescent="0.3">
      <c r="A33" s="384" t="s">
        <v>17</v>
      </c>
      <c r="B33" s="385" t="s">
        <v>18</v>
      </c>
      <c r="C33" s="384" t="s">
        <v>19</v>
      </c>
      <c r="D33" s="384" t="s">
        <v>20</v>
      </c>
      <c r="E33" s="384" t="s">
        <v>21</v>
      </c>
      <c r="F33" s="384" t="s">
        <v>22</v>
      </c>
    </row>
    <row r="34" spans="1:6" ht="16.2" thickBot="1" x14ac:dyDescent="0.35">
      <c r="A34" s="521" t="s">
        <v>23</v>
      </c>
      <c r="B34" s="382">
        <v>814.44</v>
      </c>
      <c r="C34" s="382">
        <v>0</v>
      </c>
      <c r="D34" s="397" t="s">
        <v>24</v>
      </c>
      <c r="E34" s="359"/>
      <c r="F34" s="383" t="s">
        <v>2224</v>
      </c>
    </row>
    <row r="35" spans="1:6" ht="16.2" thickBot="1" x14ac:dyDescent="0.35">
      <c r="A35" s="521" t="s">
        <v>25</v>
      </c>
      <c r="B35" s="374">
        <v>1034.26</v>
      </c>
      <c r="C35" s="374">
        <v>5984.25</v>
      </c>
      <c r="D35" s="394" t="s">
        <v>24</v>
      </c>
      <c r="E35" s="387"/>
      <c r="F35" s="377" t="s">
        <v>2225</v>
      </c>
    </row>
    <row r="36" spans="1:6" ht="16.2" thickBot="1" x14ac:dyDescent="0.35">
      <c r="A36" s="521" t="s">
        <v>26</v>
      </c>
      <c r="B36" s="374">
        <v>0</v>
      </c>
      <c r="C36" s="374">
        <v>0</v>
      </c>
      <c r="D36" s="394"/>
      <c r="E36" s="387"/>
      <c r="F36" s="377"/>
    </row>
    <row r="37" spans="1:6" ht="16.2" thickBot="1" x14ac:dyDescent="0.35">
      <c r="A37" s="521" t="s">
        <v>27</v>
      </c>
      <c r="B37" s="374">
        <v>0</v>
      </c>
      <c r="C37" s="374">
        <v>0</v>
      </c>
      <c r="D37" s="394"/>
      <c r="E37" s="387"/>
      <c r="F37" s="377"/>
    </row>
    <row r="38" spans="1:6" ht="16.2" thickBot="1" x14ac:dyDescent="0.35">
      <c r="A38" s="521" t="s">
        <v>28</v>
      </c>
      <c r="B38" s="374">
        <v>4792</v>
      </c>
      <c r="C38" s="374">
        <v>2000</v>
      </c>
      <c r="D38" s="394" t="s">
        <v>24</v>
      </c>
      <c r="E38" s="387"/>
      <c r="F38" s="377" t="s">
        <v>2226</v>
      </c>
    </row>
    <row r="39" spans="1:6" ht="16.2" thickBot="1" x14ac:dyDescent="0.35">
      <c r="A39" s="521" t="s">
        <v>29</v>
      </c>
      <c r="B39" s="374">
        <v>0</v>
      </c>
      <c r="C39" s="374">
        <v>0</v>
      </c>
      <c r="D39" s="394"/>
      <c r="E39" s="387"/>
      <c r="F39" s="377"/>
    </row>
    <row r="40" spans="1:6" ht="16.2" thickBot="1" x14ac:dyDescent="0.35">
      <c r="A40" s="521" t="s">
        <v>30</v>
      </c>
      <c r="B40" s="374">
        <v>350</v>
      </c>
      <c r="C40" s="374">
        <v>0</v>
      </c>
      <c r="D40" s="394" t="s">
        <v>24</v>
      </c>
      <c r="E40" s="387"/>
      <c r="F40" s="377" t="s">
        <v>2227</v>
      </c>
    </row>
    <row r="41" spans="1:6" ht="16.2" thickBot="1" x14ac:dyDescent="0.35">
      <c r="A41" s="521" t="s">
        <v>2228</v>
      </c>
      <c r="B41" s="374">
        <v>2282.7800000000002</v>
      </c>
      <c r="C41" s="374">
        <v>700</v>
      </c>
      <c r="D41" s="394" t="s">
        <v>24</v>
      </c>
      <c r="E41" s="387"/>
      <c r="F41" s="377" t="s">
        <v>2229</v>
      </c>
    </row>
    <row r="42" spans="1:6" ht="16.2" thickBot="1" x14ac:dyDescent="0.35">
      <c r="B42" s="374"/>
      <c r="C42" s="374"/>
      <c r="D42" s="387"/>
      <c r="E42" s="387"/>
      <c r="F42" s="377" t="s">
        <v>2230</v>
      </c>
    </row>
    <row r="43" spans="1:6" ht="16.2" thickBot="1" x14ac:dyDescent="0.35">
      <c r="A43" s="378"/>
      <c r="B43" s="374">
        <v>0</v>
      </c>
      <c r="C43" s="374">
        <v>0</v>
      </c>
      <c r="D43" s="387"/>
      <c r="E43" s="387"/>
      <c r="F43" s="377"/>
    </row>
    <row r="44" spans="1:6" ht="16.2" thickBot="1" x14ac:dyDescent="0.35">
      <c r="A44" s="522" t="s">
        <v>32</v>
      </c>
      <c r="B44" s="379">
        <f>SUM(B34:B43)</f>
        <v>9273.48</v>
      </c>
      <c r="C44" s="379">
        <f>SUM(C34:C43)</f>
        <v>8684.25</v>
      </c>
      <c r="D44" s="388"/>
      <c r="E44" s="388"/>
      <c r="F44" s="380"/>
    </row>
    <row r="45" spans="1:6" x14ac:dyDescent="0.3">
      <c r="C45" s="396">
        <f>SUM(B44:C44)</f>
        <v>17957.73</v>
      </c>
    </row>
    <row r="47" spans="1:6" x14ac:dyDescent="0.3">
      <c r="A47" s="372" t="s">
        <v>2231</v>
      </c>
      <c r="B47" s="396">
        <f>SUM(B44+B28)</f>
        <v>21532.48</v>
      </c>
      <c r="C47" s="396">
        <f>SUM(C44+C28)</f>
        <v>148714.25</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CD4A-906D-4718-93D0-0E7C99D3AD4D}">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1272</v>
      </c>
      <c r="B2" s="4">
        <v>345000</v>
      </c>
      <c r="C2" s="3" t="s">
        <v>1273</v>
      </c>
      <c r="D2" s="5">
        <v>15906863</v>
      </c>
      <c r="E2" s="3" t="s">
        <v>108</v>
      </c>
      <c r="F2" s="6" t="s">
        <v>1274</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40000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40000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4628.99</v>
      </c>
      <c r="C16" s="16">
        <v>11394.46</v>
      </c>
      <c r="D16" s="29" t="s">
        <v>24</v>
      </c>
      <c r="E16" s="17" t="s">
        <v>79</v>
      </c>
      <c r="F16" s="18" t="s">
        <v>1275</v>
      </c>
    </row>
    <row r="17" spans="1:6" ht="16.2" thickBot="1" x14ac:dyDescent="0.35">
      <c r="A17" s="15" t="s">
        <v>25</v>
      </c>
      <c r="B17" s="12">
        <v>13053.12</v>
      </c>
      <c r="C17" s="12">
        <v>19563.93</v>
      </c>
      <c r="D17" s="30" t="s">
        <v>24</v>
      </c>
      <c r="E17" s="19" t="s">
        <v>79</v>
      </c>
      <c r="F17" s="20" t="s">
        <v>1276</v>
      </c>
    </row>
    <row r="18" spans="1:6" ht="16.2" thickBot="1" x14ac:dyDescent="0.35">
      <c r="A18" s="15" t="s">
        <v>26</v>
      </c>
      <c r="B18" s="12">
        <v>22079.11</v>
      </c>
      <c r="C18" s="12">
        <v>22079.11</v>
      </c>
      <c r="D18" s="30" t="s">
        <v>24</v>
      </c>
      <c r="E18" s="19" t="s">
        <v>1277</v>
      </c>
      <c r="F18" s="20" t="s">
        <v>1278</v>
      </c>
    </row>
    <row r="19" spans="1:6" ht="16.2" thickBot="1" x14ac:dyDescent="0.35">
      <c r="A19" s="15" t="s">
        <v>27</v>
      </c>
      <c r="B19" s="12">
        <v>0</v>
      </c>
      <c r="C19" s="12">
        <v>0</v>
      </c>
      <c r="D19" s="30"/>
      <c r="E19" s="19"/>
      <c r="F19" s="20"/>
    </row>
    <row r="20" spans="1:6" ht="16.2" thickBot="1" x14ac:dyDescent="0.35">
      <c r="A20" s="15" t="s">
        <v>28</v>
      </c>
      <c r="B20" s="12">
        <v>0</v>
      </c>
      <c r="C20" s="12">
        <v>0</v>
      </c>
      <c r="D20" s="30"/>
      <c r="E20" s="19"/>
      <c r="F20" s="20"/>
    </row>
    <row r="21" spans="1:6" ht="16.2" thickBot="1" x14ac:dyDescent="0.35">
      <c r="A21" s="15" t="s">
        <v>29</v>
      </c>
      <c r="B21" s="12">
        <v>10725.27</v>
      </c>
      <c r="C21" s="12">
        <v>17725.27</v>
      </c>
      <c r="D21" s="30" t="s">
        <v>24</v>
      </c>
      <c r="E21" s="19" t="s">
        <v>79</v>
      </c>
      <c r="F21" s="20" t="s">
        <v>1279</v>
      </c>
    </row>
    <row r="22" spans="1:6" ht="16.2" thickBot="1" x14ac:dyDescent="0.35">
      <c r="A22" s="15" t="s">
        <v>30</v>
      </c>
      <c r="B22" s="12">
        <v>2846.35</v>
      </c>
      <c r="C22" s="12">
        <v>10236.15</v>
      </c>
      <c r="D22" s="30" t="s">
        <v>24</v>
      </c>
      <c r="E22" s="19" t="s">
        <v>79</v>
      </c>
      <c r="F22" s="20" t="s">
        <v>1280</v>
      </c>
    </row>
    <row r="23" spans="1:6" ht="16.2" thickBot="1" x14ac:dyDescent="0.35">
      <c r="A23" s="15" t="s">
        <v>1281</v>
      </c>
      <c r="B23" s="12">
        <v>67204.639999999999</v>
      </c>
      <c r="C23" s="12">
        <v>89204.64</v>
      </c>
      <c r="D23" s="30" t="s">
        <v>24</v>
      </c>
      <c r="E23" s="19" t="s">
        <v>79</v>
      </c>
      <c r="F23" s="20" t="s">
        <v>1282</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120537.48000000001</v>
      </c>
      <c r="C29" s="22">
        <v>170203.56</v>
      </c>
      <c r="D29" s="23"/>
      <c r="E29" s="23"/>
      <c r="F29" s="24"/>
    </row>
  </sheetData>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CDFC-68C9-4BF1-BD50-4B028F6B199D}">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1283</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3913</v>
      </c>
      <c r="C16" s="16">
        <v>13913</v>
      </c>
      <c r="D16" s="29" t="s">
        <v>24</v>
      </c>
      <c r="E16" s="29" t="s">
        <v>1284</v>
      </c>
      <c r="F16" s="18"/>
    </row>
    <row r="17" spans="1:6" ht="16.2" thickBot="1" x14ac:dyDescent="0.35">
      <c r="A17" s="15" t="s">
        <v>25</v>
      </c>
      <c r="B17" s="12">
        <v>151200</v>
      </c>
      <c r="C17" s="12">
        <v>292400</v>
      </c>
      <c r="D17" s="30" t="s">
        <v>24</v>
      </c>
      <c r="E17" s="29" t="s">
        <v>1284</v>
      </c>
      <c r="F17" s="20" t="s">
        <v>705</v>
      </c>
    </row>
    <row r="18" spans="1:6" ht="16.2" thickBot="1" x14ac:dyDescent="0.35">
      <c r="A18" s="15" t="s">
        <v>26</v>
      </c>
      <c r="B18" s="12">
        <v>7887</v>
      </c>
      <c r="C18" s="12">
        <v>49887</v>
      </c>
      <c r="D18" s="30" t="s">
        <v>24</v>
      </c>
      <c r="E18" s="29" t="s">
        <v>1284</v>
      </c>
      <c r="F18" s="20" t="s">
        <v>1285</v>
      </c>
    </row>
    <row r="19" spans="1:6" ht="16.2" thickBot="1" x14ac:dyDescent="0.35">
      <c r="A19" s="15" t="s">
        <v>27</v>
      </c>
      <c r="B19" s="12">
        <v>0</v>
      </c>
      <c r="C19" s="12">
        <v>0</v>
      </c>
      <c r="D19" s="30"/>
      <c r="E19" s="29"/>
      <c r="F19" s="20"/>
    </row>
    <row r="20" spans="1:6" ht="16.2" thickBot="1" x14ac:dyDescent="0.35">
      <c r="A20" s="15" t="s">
        <v>28</v>
      </c>
      <c r="B20" s="12">
        <v>0</v>
      </c>
      <c r="C20" s="12">
        <v>0</v>
      </c>
      <c r="D20" s="30"/>
      <c r="E20" s="29" t="s">
        <v>1284</v>
      </c>
      <c r="F20" s="20"/>
    </row>
    <row r="21" spans="1:6" ht="16.2" thickBot="1" x14ac:dyDescent="0.35">
      <c r="A21" s="15" t="s">
        <v>29</v>
      </c>
      <c r="B21" s="12">
        <v>2091</v>
      </c>
      <c r="C21" s="12">
        <v>10455</v>
      </c>
      <c r="D21" s="30" t="s">
        <v>24</v>
      </c>
      <c r="E21" s="29" t="s">
        <v>1284</v>
      </c>
      <c r="F21" s="20" t="s">
        <v>1286</v>
      </c>
    </row>
    <row r="22" spans="1:6" ht="16.2" thickBot="1" x14ac:dyDescent="0.35">
      <c r="A22" s="15" t="s">
        <v>30</v>
      </c>
      <c r="B22" s="12">
        <v>174</v>
      </c>
      <c r="C22" s="12">
        <v>1674</v>
      </c>
      <c r="D22" s="30" t="s">
        <v>24</v>
      </c>
      <c r="E22" s="29" t="s">
        <v>1284</v>
      </c>
      <c r="F22" s="20"/>
    </row>
    <row r="23" spans="1:6" ht="16.2" thickBot="1" x14ac:dyDescent="0.35">
      <c r="A23" s="11"/>
      <c r="B23" s="12">
        <v>0</v>
      </c>
      <c r="C23" s="12">
        <v>0</v>
      </c>
      <c r="D23" s="30"/>
      <c r="E23" s="30"/>
      <c r="F23" s="20"/>
    </row>
    <row r="24" spans="1:6" ht="16.2" thickBot="1" x14ac:dyDescent="0.35">
      <c r="A24" s="11"/>
      <c r="B24" s="12">
        <v>0</v>
      </c>
      <c r="C24" s="12">
        <v>0</v>
      </c>
      <c r="D24" s="30"/>
      <c r="E24" s="30"/>
      <c r="F24" s="20"/>
    </row>
    <row r="25" spans="1:6" ht="16.2" thickBot="1" x14ac:dyDescent="0.35">
      <c r="A25" s="11"/>
      <c r="B25" s="12">
        <v>0</v>
      </c>
      <c r="C25" s="12">
        <v>0</v>
      </c>
      <c r="D25" s="30"/>
      <c r="E25" s="30"/>
      <c r="F25" s="20"/>
    </row>
    <row r="26" spans="1:6" ht="16.2" thickBot="1" x14ac:dyDescent="0.35">
      <c r="A26" s="11"/>
      <c r="B26" s="12">
        <v>0</v>
      </c>
      <c r="C26" s="12">
        <v>0</v>
      </c>
      <c r="D26" s="30"/>
      <c r="E26" s="30"/>
      <c r="F26" s="20"/>
    </row>
    <row r="27" spans="1:6" ht="16.2" thickBot="1" x14ac:dyDescent="0.35">
      <c r="A27" s="11"/>
      <c r="B27" s="12">
        <v>0</v>
      </c>
      <c r="C27" s="12">
        <v>0</v>
      </c>
      <c r="D27" s="30"/>
      <c r="E27" s="30"/>
      <c r="F27" s="20"/>
    </row>
    <row r="28" spans="1:6" ht="16.2" thickBot="1" x14ac:dyDescent="0.35">
      <c r="A28" s="21"/>
      <c r="B28" s="12">
        <v>0</v>
      </c>
      <c r="C28" s="12">
        <v>0</v>
      </c>
      <c r="D28" s="30"/>
      <c r="E28" s="30"/>
      <c r="F28" s="20"/>
    </row>
    <row r="29" spans="1:6" ht="16.2" thickBot="1" x14ac:dyDescent="0.35">
      <c r="A29" s="13" t="s">
        <v>32</v>
      </c>
      <c r="B29" s="22">
        <v>165265</v>
      </c>
      <c r="C29" s="22">
        <v>368329</v>
      </c>
      <c r="D29" s="34"/>
      <c r="E29" s="34"/>
      <c r="F29" s="24"/>
    </row>
  </sheetData>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8A50-5CFD-4AE4-B9C2-57B7488346C6}">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1287</v>
      </c>
      <c r="B2" s="390">
        <v>36126127</v>
      </c>
      <c r="C2" s="389" t="s">
        <v>1288</v>
      </c>
      <c r="D2" s="391">
        <v>23574009</v>
      </c>
      <c r="E2" s="389" t="s">
        <v>10</v>
      </c>
      <c r="F2" s="392"/>
      <c r="G2" s="391">
        <v>0</v>
      </c>
      <c r="H2" s="391">
        <v>0</v>
      </c>
    </row>
    <row r="4" spans="1:8" x14ac:dyDescent="0.3">
      <c r="A4" s="386" t="s">
        <v>11</v>
      </c>
    </row>
    <row r="6" spans="1:8" ht="16.2" thickBot="1" x14ac:dyDescent="0.35">
      <c r="A6" s="534" t="s">
        <v>12</v>
      </c>
      <c r="B6" s="10" t="s">
        <v>9</v>
      </c>
    </row>
    <row r="7" spans="1:8" ht="16.2" thickBot="1" x14ac:dyDescent="0.35">
      <c r="A7" s="533" t="s">
        <v>51</v>
      </c>
      <c r="B7" s="374">
        <v>8029499</v>
      </c>
    </row>
    <row r="8" spans="1:8" ht="16.2" thickBot="1" x14ac:dyDescent="0.35">
      <c r="A8" s="533" t="s">
        <v>53</v>
      </c>
      <c r="B8" s="374">
        <v>28096628</v>
      </c>
    </row>
    <row r="9" spans="1:8" ht="16.2" thickBot="1" x14ac:dyDescent="0.35">
      <c r="A9" s="533" t="s">
        <v>55</v>
      </c>
      <c r="B9" s="374">
        <v>0</v>
      </c>
    </row>
    <row r="10" spans="1:8" ht="16.2" thickBot="1" x14ac:dyDescent="0.35">
      <c r="A10" s="533" t="s">
        <v>57</v>
      </c>
      <c r="B10" s="374">
        <v>0</v>
      </c>
    </row>
    <row r="11" spans="1:8" ht="16.2" thickBot="1" x14ac:dyDescent="0.35">
      <c r="A11" s="533"/>
      <c r="B11" s="374">
        <v>0</v>
      </c>
    </row>
    <row r="12" spans="1:8" ht="16.2" thickBot="1" x14ac:dyDescent="0.35">
      <c r="A12" s="533"/>
      <c r="B12" s="10"/>
      <c r="C12" s="374">
        <f>SUM(B7:B11)</f>
        <v>36126127</v>
      </c>
    </row>
    <row r="13" spans="1:8" x14ac:dyDescent="0.3">
      <c r="A13" s="532"/>
      <c r="C13" s="10" t="s">
        <v>9</v>
      </c>
    </row>
    <row r="14" spans="1:8" x14ac:dyDescent="0.3">
      <c r="A14" s="372" t="s">
        <v>1289</v>
      </c>
    </row>
    <row r="15" spans="1:8" ht="31.2" x14ac:dyDescent="0.3">
      <c r="A15" s="384" t="s">
        <v>17</v>
      </c>
      <c r="B15" s="385" t="s">
        <v>18</v>
      </c>
      <c r="C15" s="384" t="s">
        <v>19</v>
      </c>
      <c r="D15" s="384" t="s">
        <v>20</v>
      </c>
      <c r="E15" s="384" t="s">
        <v>21</v>
      </c>
      <c r="F15" s="384" t="s">
        <v>22</v>
      </c>
    </row>
    <row r="16" spans="1:8" ht="16.2" thickBot="1" x14ac:dyDescent="0.35">
      <c r="A16" s="531" t="s">
        <v>23</v>
      </c>
      <c r="B16" s="382">
        <v>11059</v>
      </c>
      <c r="C16" s="382">
        <v>50790</v>
      </c>
      <c r="D16" s="359" t="s">
        <v>24</v>
      </c>
      <c r="E16" s="359" t="s">
        <v>79</v>
      </c>
      <c r="F16" s="383"/>
    </row>
    <row r="17" spans="1:6" ht="16.2" thickBot="1" x14ac:dyDescent="0.35">
      <c r="A17" s="531" t="s">
        <v>25</v>
      </c>
      <c r="B17" s="374">
        <v>11196</v>
      </c>
      <c r="C17" s="374">
        <v>23447</v>
      </c>
      <c r="D17" s="387" t="s">
        <v>24</v>
      </c>
      <c r="E17" s="387" t="s">
        <v>79</v>
      </c>
      <c r="F17" s="377"/>
    </row>
    <row r="18" spans="1:6" ht="16.2" thickBot="1" x14ac:dyDescent="0.35">
      <c r="A18" s="531" t="s">
        <v>26</v>
      </c>
      <c r="B18" s="374">
        <v>0</v>
      </c>
      <c r="C18" s="374">
        <v>0</v>
      </c>
      <c r="D18" s="387"/>
      <c r="E18" s="387"/>
      <c r="F18" s="377"/>
    </row>
    <row r="19" spans="1:6" ht="16.2" thickBot="1" x14ac:dyDescent="0.35">
      <c r="A19" s="531" t="s">
        <v>27</v>
      </c>
      <c r="B19" s="374">
        <v>13235</v>
      </c>
      <c r="C19" s="374">
        <v>39706</v>
      </c>
      <c r="D19" s="387" t="s">
        <v>24</v>
      </c>
      <c r="E19" s="387" t="s">
        <v>79</v>
      </c>
      <c r="F19" s="377"/>
    </row>
    <row r="20" spans="1:6" ht="16.2" thickBot="1" x14ac:dyDescent="0.35">
      <c r="A20" s="531" t="s">
        <v>28</v>
      </c>
      <c r="B20" s="374">
        <v>0</v>
      </c>
      <c r="C20" s="374">
        <v>0</v>
      </c>
      <c r="D20" s="387"/>
      <c r="E20" s="387"/>
      <c r="F20" s="377"/>
    </row>
    <row r="21" spans="1:6" ht="16.2" thickBot="1" x14ac:dyDescent="0.35">
      <c r="A21" s="531" t="s">
        <v>29</v>
      </c>
      <c r="B21" s="374">
        <v>30320</v>
      </c>
      <c r="C21" s="374">
        <v>75799</v>
      </c>
      <c r="D21" s="387" t="s">
        <v>24</v>
      </c>
      <c r="E21" s="387" t="s">
        <v>79</v>
      </c>
      <c r="F21" s="377"/>
    </row>
    <row r="22" spans="1:6" ht="16.2" thickBot="1" x14ac:dyDescent="0.35">
      <c r="A22" s="531" t="s">
        <v>30</v>
      </c>
      <c r="B22" s="374">
        <v>12483</v>
      </c>
      <c r="C22" s="374">
        <v>33182</v>
      </c>
      <c r="D22" s="387" t="s">
        <v>24</v>
      </c>
      <c r="E22" s="387" t="s">
        <v>79</v>
      </c>
      <c r="F22" s="377"/>
    </row>
    <row r="23" spans="1:6" ht="16.2" thickBot="1" x14ac:dyDescent="0.35">
      <c r="A23" s="531" t="s">
        <v>1290</v>
      </c>
      <c r="B23" s="374">
        <v>0</v>
      </c>
      <c r="C23" s="374">
        <v>3875</v>
      </c>
      <c r="D23" s="387" t="s">
        <v>24</v>
      </c>
      <c r="E23" s="387" t="s">
        <v>79</v>
      </c>
      <c r="F23" s="377"/>
    </row>
    <row r="24" spans="1:6" ht="16.2" thickBot="1" x14ac:dyDescent="0.35">
      <c r="A24" s="531" t="s">
        <v>567</v>
      </c>
      <c r="B24" s="374">
        <v>5112</v>
      </c>
      <c r="C24" s="374">
        <v>8759</v>
      </c>
      <c r="D24" s="387" t="s">
        <v>24</v>
      </c>
      <c r="E24" s="387" t="s">
        <v>79</v>
      </c>
      <c r="F24" s="377"/>
    </row>
    <row r="25" spans="1:6" ht="16.2" thickBot="1" x14ac:dyDescent="0.35">
      <c r="A25" s="531" t="s">
        <v>1291</v>
      </c>
      <c r="B25" s="374">
        <v>0</v>
      </c>
      <c r="C25" s="374">
        <v>80000</v>
      </c>
      <c r="D25" s="387" t="s">
        <v>24</v>
      </c>
      <c r="E25" s="387" t="s">
        <v>79</v>
      </c>
      <c r="F25" s="377"/>
    </row>
    <row r="26" spans="1:6" ht="16.2" thickBot="1" x14ac:dyDescent="0.35">
      <c r="A26" s="533"/>
      <c r="B26" s="374">
        <v>0</v>
      </c>
      <c r="C26" s="374">
        <v>0</v>
      </c>
      <c r="D26" s="387"/>
      <c r="E26" s="387"/>
      <c r="F26" s="377"/>
    </row>
    <row r="27" spans="1:6" ht="16.2" thickBot="1" x14ac:dyDescent="0.35">
      <c r="A27" s="533"/>
      <c r="B27" s="374">
        <v>0</v>
      </c>
      <c r="C27" s="374">
        <v>0</v>
      </c>
      <c r="D27" s="387"/>
      <c r="E27" s="387"/>
      <c r="F27" s="377"/>
    </row>
    <row r="28" spans="1:6" ht="16.2" thickBot="1" x14ac:dyDescent="0.35">
      <c r="A28" s="378"/>
      <c r="B28" s="374">
        <v>0</v>
      </c>
      <c r="C28" s="374">
        <v>0</v>
      </c>
      <c r="D28" s="387"/>
      <c r="E28" s="387"/>
      <c r="F28" s="377"/>
    </row>
    <row r="29" spans="1:6" ht="16.2" thickBot="1" x14ac:dyDescent="0.35">
      <c r="A29" s="532" t="s">
        <v>32</v>
      </c>
      <c r="B29" s="379">
        <f>SUM(B16:B28)</f>
        <v>83405</v>
      </c>
      <c r="C29" s="379">
        <f>SUM(C16:C28)</f>
        <v>315558</v>
      </c>
      <c r="D29" s="388"/>
      <c r="E29" s="388"/>
      <c r="F29" s="380"/>
    </row>
  </sheetData>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6669D-8A9D-4BD8-96F6-D9D089881640}">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2237</v>
      </c>
      <c r="B2" s="390">
        <v>0</v>
      </c>
      <c r="C2" s="389"/>
      <c r="D2" s="391">
        <v>0</v>
      </c>
      <c r="E2" s="389" t="s">
        <v>10</v>
      </c>
      <c r="F2" s="392"/>
      <c r="G2" s="391">
        <v>0</v>
      </c>
      <c r="H2" s="391">
        <v>0</v>
      </c>
    </row>
    <row r="4" spans="1:8" x14ac:dyDescent="0.3">
      <c r="A4" s="386" t="s">
        <v>11</v>
      </c>
    </row>
    <row r="6" spans="1:8" ht="16.2" thickBot="1" x14ac:dyDescent="0.35">
      <c r="A6" s="534" t="s">
        <v>12</v>
      </c>
      <c r="B6" s="10" t="s">
        <v>9</v>
      </c>
    </row>
    <row r="7" spans="1:8" ht="16.2" thickBot="1" x14ac:dyDescent="0.35">
      <c r="A7" s="533" t="s">
        <v>51</v>
      </c>
      <c r="B7" s="374">
        <v>0</v>
      </c>
    </row>
    <row r="8" spans="1:8" ht="16.2" thickBot="1" x14ac:dyDescent="0.35">
      <c r="A8" s="533" t="s">
        <v>53</v>
      </c>
      <c r="B8" s="374">
        <v>0</v>
      </c>
    </row>
    <row r="9" spans="1:8" ht="16.2" thickBot="1" x14ac:dyDescent="0.35">
      <c r="A9" s="533" t="s">
        <v>55</v>
      </c>
      <c r="B9" s="374">
        <v>0</v>
      </c>
    </row>
    <row r="10" spans="1:8" ht="16.2" thickBot="1" x14ac:dyDescent="0.35">
      <c r="A10" s="533" t="s">
        <v>57</v>
      </c>
      <c r="B10" s="374">
        <v>0</v>
      </c>
    </row>
    <row r="11" spans="1:8" ht="16.2" thickBot="1" x14ac:dyDescent="0.35">
      <c r="A11" s="533"/>
      <c r="B11" s="374">
        <v>0</v>
      </c>
    </row>
    <row r="12" spans="1:8" ht="16.2" thickBot="1" x14ac:dyDescent="0.35">
      <c r="A12" s="533"/>
      <c r="B12" s="10"/>
      <c r="C12" s="374">
        <f>SUM(B7:B11)</f>
        <v>0</v>
      </c>
    </row>
    <row r="13" spans="1:8" x14ac:dyDescent="0.3">
      <c r="A13" s="532"/>
      <c r="C13" s="10" t="s">
        <v>9</v>
      </c>
    </row>
    <row r="14" spans="1:8" x14ac:dyDescent="0.3">
      <c r="A14" s="372" t="s">
        <v>2236</v>
      </c>
    </row>
    <row r="15" spans="1:8" ht="31.2" x14ac:dyDescent="0.3">
      <c r="A15" s="384" t="s">
        <v>17</v>
      </c>
      <c r="B15" s="385" t="s">
        <v>18</v>
      </c>
      <c r="C15" s="384" t="s">
        <v>19</v>
      </c>
      <c r="D15" s="384" t="s">
        <v>20</v>
      </c>
      <c r="E15" s="384" t="s">
        <v>21</v>
      </c>
      <c r="F15" s="384" t="s">
        <v>22</v>
      </c>
    </row>
    <row r="16" spans="1:8" ht="16.2" thickBot="1" x14ac:dyDescent="0.35">
      <c r="A16" s="531" t="s">
        <v>23</v>
      </c>
      <c r="B16" s="382">
        <v>3025</v>
      </c>
      <c r="C16" s="382">
        <v>6890</v>
      </c>
      <c r="D16" s="359" t="s">
        <v>24</v>
      </c>
      <c r="E16" s="359" t="s">
        <v>79</v>
      </c>
      <c r="F16" s="383"/>
    </row>
    <row r="17" spans="1:6" ht="16.2" thickBot="1" x14ac:dyDescent="0.35">
      <c r="A17" s="531" t="s">
        <v>25</v>
      </c>
      <c r="B17" s="374">
        <v>22866</v>
      </c>
      <c r="C17" s="374">
        <v>122229</v>
      </c>
      <c r="D17" s="387" t="s">
        <v>24</v>
      </c>
      <c r="E17" s="387" t="s">
        <v>79</v>
      </c>
      <c r="F17" s="377"/>
    </row>
    <row r="18" spans="1:6" ht="16.2" thickBot="1" x14ac:dyDescent="0.35">
      <c r="A18" s="531" t="s">
        <v>26</v>
      </c>
      <c r="B18" s="374">
        <v>24688</v>
      </c>
      <c r="C18" s="374">
        <v>56856</v>
      </c>
      <c r="D18" s="387" t="s">
        <v>24</v>
      </c>
      <c r="E18" s="387"/>
      <c r="F18" s="377"/>
    </row>
    <row r="19" spans="1:6" ht="16.2" thickBot="1" x14ac:dyDescent="0.35">
      <c r="A19" s="531" t="s">
        <v>27</v>
      </c>
      <c r="B19" s="374">
        <v>0</v>
      </c>
      <c r="C19" s="374">
        <v>0</v>
      </c>
      <c r="D19" s="387"/>
      <c r="E19" s="387" t="s">
        <v>79</v>
      </c>
      <c r="F19" s="377"/>
    </row>
    <row r="20" spans="1:6" ht="16.2" thickBot="1" x14ac:dyDescent="0.35">
      <c r="A20" s="531" t="s">
        <v>28</v>
      </c>
      <c r="B20" s="374"/>
      <c r="C20" s="374"/>
      <c r="D20" s="387"/>
      <c r="E20" s="387"/>
      <c r="F20" s="377"/>
    </row>
    <row r="21" spans="1:6" ht="16.2" thickBot="1" x14ac:dyDescent="0.35">
      <c r="A21" s="531" t="s">
        <v>29</v>
      </c>
      <c r="B21" s="374">
        <v>10228</v>
      </c>
      <c r="C21" s="374">
        <v>17728</v>
      </c>
      <c r="D21" s="387" t="s">
        <v>24</v>
      </c>
      <c r="E21" s="387" t="s">
        <v>79</v>
      </c>
      <c r="F21" s="377"/>
    </row>
    <row r="22" spans="1:6" ht="16.2" thickBot="1" x14ac:dyDescent="0.35">
      <c r="A22" s="531" t="s">
        <v>30</v>
      </c>
      <c r="B22" s="374">
        <v>21770</v>
      </c>
      <c r="C22" s="374">
        <v>53655</v>
      </c>
      <c r="D22" s="387" t="s">
        <v>24</v>
      </c>
      <c r="E22" s="387" t="s">
        <v>79</v>
      </c>
      <c r="F22" s="377"/>
    </row>
    <row r="23" spans="1:6" ht="16.2" thickBot="1" x14ac:dyDescent="0.35">
      <c r="A23" s="531" t="s">
        <v>1290</v>
      </c>
      <c r="B23" s="374"/>
      <c r="C23" s="374"/>
      <c r="D23" s="387"/>
      <c r="E23" s="387" t="s">
        <v>79</v>
      </c>
      <c r="F23" s="377"/>
    </row>
    <row r="24" spans="1:6" ht="16.2" thickBot="1" x14ac:dyDescent="0.35">
      <c r="A24" s="531" t="s">
        <v>567</v>
      </c>
      <c r="B24" s="374"/>
      <c r="C24" s="374"/>
      <c r="D24" s="387"/>
      <c r="E24" s="387" t="s">
        <v>79</v>
      </c>
      <c r="F24" s="377"/>
    </row>
    <row r="25" spans="1:6" ht="16.2" thickBot="1" x14ac:dyDescent="0.35">
      <c r="A25" s="531" t="s">
        <v>1291</v>
      </c>
      <c r="B25" s="374"/>
      <c r="C25" s="374"/>
      <c r="D25" s="387"/>
      <c r="E25" s="387" t="s">
        <v>79</v>
      </c>
      <c r="F25" s="377"/>
    </row>
    <row r="26" spans="1:6" ht="16.2" thickBot="1" x14ac:dyDescent="0.35">
      <c r="A26" s="533"/>
      <c r="B26" s="374">
        <v>0</v>
      </c>
      <c r="C26" s="374">
        <v>0</v>
      </c>
      <c r="D26" s="387"/>
      <c r="E26" s="387"/>
      <c r="F26" s="377"/>
    </row>
    <row r="27" spans="1:6" ht="16.2" thickBot="1" x14ac:dyDescent="0.35">
      <c r="A27" s="533"/>
      <c r="B27" s="374">
        <v>0</v>
      </c>
      <c r="C27" s="374">
        <v>0</v>
      </c>
      <c r="D27" s="387"/>
      <c r="E27" s="387"/>
      <c r="F27" s="377"/>
    </row>
    <row r="28" spans="1:6" ht="16.2" thickBot="1" x14ac:dyDescent="0.35">
      <c r="A28" s="378"/>
      <c r="B28" s="374">
        <v>0</v>
      </c>
      <c r="C28" s="374">
        <v>0</v>
      </c>
      <c r="D28" s="387"/>
      <c r="E28" s="387"/>
      <c r="F28" s="377"/>
    </row>
    <row r="29" spans="1:6" ht="16.2" thickBot="1" x14ac:dyDescent="0.35">
      <c r="A29" s="532" t="s">
        <v>32</v>
      </c>
      <c r="B29" s="379">
        <f>SUM(B16:B28)</f>
        <v>82577</v>
      </c>
      <c r="C29" s="379">
        <f>SUM(C16:C28)</f>
        <v>257358</v>
      </c>
      <c r="D29" s="388"/>
      <c r="E29" s="388"/>
      <c r="F29" s="380"/>
    </row>
  </sheetData>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E397-909A-4D78-AE43-1A5C441A0276}">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1292</v>
      </c>
      <c r="B2" s="4" t="s">
        <v>1293</v>
      </c>
      <c r="C2" s="3" t="s">
        <v>1294</v>
      </c>
      <c r="D2" s="283">
        <v>529773</v>
      </c>
      <c r="E2" s="3" t="s">
        <v>1295</v>
      </c>
      <c r="F2" s="6"/>
      <c r="G2" s="5">
        <v>0</v>
      </c>
      <c r="H2" s="5" t="s">
        <v>212</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6000</v>
      </c>
    </row>
    <row r="9" spans="1:8" ht="16.2" thickBot="1" x14ac:dyDescent="0.35">
      <c r="A9" s="11"/>
      <c r="B9" s="12" t="s">
        <v>1296</v>
      </c>
    </row>
    <row r="10" spans="1:8" ht="16.2" thickBot="1" x14ac:dyDescent="0.35">
      <c r="A10" s="11"/>
      <c r="B10" s="12" t="s">
        <v>1296</v>
      </c>
    </row>
    <row r="11" spans="1:8" ht="16.2" thickBot="1" x14ac:dyDescent="0.35">
      <c r="A11" s="11"/>
      <c r="B11" s="10"/>
      <c r="C11" s="12"/>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13">
        <v>1418.83</v>
      </c>
      <c r="C15" s="113">
        <v>2500</v>
      </c>
      <c r="D15" s="17" t="s">
        <v>10</v>
      </c>
      <c r="E15" s="17"/>
      <c r="F15" s="18" t="s">
        <v>1297</v>
      </c>
    </row>
    <row r="16" spans="1:8" ht="16.2" thickBot="1" x14ac:dyDescent="0.35">
      <c r="A16" s="15" t="s">
        <v>25</v>
      </c>
      <c r="B16" s="12">
        <v>600</v>
      </c>
      <c r="C16" s="116">
        <v>5000</v>
      </c>
      <c r="D16" s="19" t="s">
        <v>10</v>
      </c>
      <c r="E16" s="19"/>
      <c r="F16" s="20" t="s">
        <v>1298</v>
      </c>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1500</v>
      </c>
      <c r="D20" s="19" t="s">
        <v>10</v>
      </c>
      <c r="E20" s="19"/>
      <c r="F20" s="20" t="s">
        <v>1299</v>
      </c>
    </row>
    <row r="21" spans="1:6" ht="16.2" thickBot="1" x14ac:dyDescent="0.35">
      <c r="A21" s="15" t="s">
        <v>30</v>
      </c>
      <c r="B21" s="12">
        <v>0</v>
      </c>
      <c r="C21" s="12">
        <v>2500</v>
      </c>
      <c r="D21" s="19" t="s">
        <v>10</v>
      </c>
      <c r="E21" s="19"/>
      <c r="F21" s="20" t="s">
        <v>1300</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2018.83</v>
      </c>
      <c r="C28" s="22">
        <v>11500</v>
      </c>
      <c r="D28" s="23"/>
      <c r="E28" s="23"/>
      <c r="F28" s="24"/>
    </row>
  </sheetData>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647EA-032F-47A4-BA82-DEEB71AD09A8}">
  <dimension ref="A1:H29"/>
  <sheetViews>
    <sheetView topLeftCell="A10" workbookViewId="0">
      <selection activeCell="E11" sqref="E11:J11"/>
    </sheetView>
  </sheetViews>
  <sheetFormatPr defaultColWidth="9.109375" defaultRowHeight="15.6" x14ac:dyDescent="0.3"/>
  <cols>
    <col min="1" max="1" width="45" style="344" bestFit="1" customWidth="1"/>
    <col min="2" max="2" width="20.44140625" style="344" customWidth="1"/>
    <col min="3" max="3" width="26.88671875" style="344" customWidth="1"/>
    <col min="4" max="4" width="25.33203125" style="344" customWidth="1"/>
    <col min="5" max="5" width="30.6640625" style="344" customWidth="1"/>
    <col min="6" max="6" width="28.33203125" style="344" customWidth="1"/>
    <col min="7" max="7" width="21.33203125" style="344" customWidth="1"/>
    <col min="8" max="8" width="20.6640625" style="344" customWidth="1"/>
    <col min="9" max="16384" width="9.109375" style="344"/>
  </cols>
  <sheetData>
    <row r="1" spans="1:8" s="347" customFormat="1" ht="31.8" thickBot="1" x14ac:dyDescent="0.35">
      <c r="A1" s="356" t="s">
        <v>0</v>
      </c>
      <c r="B1" s="356" t="s">
        <v>1</v>
      </c>
      <c r="C1" s="356" t="s">
        <v>2</v>
      </c>
      <c r="D1" s="356" t="s">
        <v>3</v>
      </c>
      <c r="E1" s="356" t="s">
        <v>4</v>
      </c>
      <c r="F1" s="356" t="s">
        <v>5</v>
      </c>
      <c r="G1" s="356" t="s">
        <v>6</v>
      </c>
      <c r="H1" s="356" t="s">
        <v>7</v>
      </c>
    </row>
    <row r="2" spans="1:8" ht="47.4" thickBot="1" x14ac:dyDescent="0.35">
      <c r="A2" s="362" t="s">
        <v>1938</v>
      </c>
      <c r="B2" s="363">
        <f>C12</f>
        <v>130673.27</v>
      </c>
      <c r="C2" s="364" t="s">
        <v>1939</v>
      </c>
      <c r="D2" s="364" t="s">
        <v>1940</v>
      </c>
      <c r="E2" s="362" t="s">
        <v>1941</v>
      </c>
      <c r="F2" s="365" t="s">
        <v>1942</v>
      </c>
      <c r="G2" s="364">
        <v>0</v>
      </c>
      <c r="H2" s="364">
        <v>0</v>
      </c>
    </row>
    <row r="4" spans="1:8" x14ac:dyDescent="0.3">
      <c r="A4" s="358" t="s">
        <v>11</v>
      </c>
    </row>
    <row r="6" spans="1:8" ht="16.2" thickBot="1" x14ac:dyDescent="0.35">
      <c r="A6" s="353" t="s">
        <v>12</v>
      </c>
      <c r="B6" s="10" t="s">
        <v>9</v>
      </c>
    </row>
    <row r="7" spans="1:8" ht="16.2" thickBot="1" x14ac:dyDescent="0.35">
      <c r="A7" s="345" t="s">
        <v>51</v>
      </c>
      <c r="B7" s="346">
        <v>0</v>
      </c>
    </row>
    <row r="8" spans="1:8" ht="16.2" thickBot="1" x14ac:dyDescent="0.35">
      <c r="A8" s="345" t="s">
        <v>53</v>
      </c>
      <c r="B8" s="346">
        <v>130673.27</v>
      </c>
    </row>
    <row r="9" spans="1:8" ht="16.2" thickBot="1" x14ac:dyDescent="0.35">
      <c r="A9" s="345" t="s">
        <v>55</v>
      </c>
      <c r="B9" s="346">
        <v>0</v>
      </c>
    </row>
    <row r="10" spans="1:8" ht="16.2" thickBot="1" x14ac:dyDescent="0.35">
      <c r="A10" s="345" t="s">
        <v>57</v>
      </c>
      <c r="B10" s="346">
        <v>0</v>
      </c>
    </row>
    <row r="11" spans="1:8" ht="16.2" thickBot="1" x14ac:dyDescent="0.35">
      <c r="A11" s="345"/>
      <c r="B11" s="346">
        <v>0</v>
      </c>
    </row>
    <row r="12" spans="1:8" ht="16.2" thickBot="1" x14ac:dyDescent="0.35">
      <c r="A12" s="345"/>
      <c r="B12" s="10"/>
      <c r="C12" s="346">
        <f>SUM(B7:B11)</f>
        <v>130673.27</v>
      </c>
    </row>
    <row r="13" spans="1:8" x14ac:dyDescent="0.3">
      <c r="A13" s="343"/>
      <c r="C13" s="10" t="s">
        <v>9</v>
      </c>
    </row>
    <row r="15" spans="1:8" ht="31.2" x14ac:dyDescent="0.3">
      <c r="A15" s="356" t="s">
        <v>17</v>
      </c>
      <c r="B15" s="357" t="s">
        <v>18</v>
      </c>
      <c r="C15" s="356" t="s">
        <v>19</v>
      </c>
      <c r="D15" s="356" t="s">
        <v>20</v>
      </c>
      <c r="E15" s="356" t="s">
        <v>21</v>
      </c>
      <c r="F15" s="356" t="s">
        <v>22</v>
      </c>
    </row>
    <row r="16" spans="1:8" ht="16.2" thickBot="1" x14ac:dyDescent="0.35">
      <c r="A16" s="348" t="s">
        <v>23</v>
      </c>
      <c r="B16" s="354">
        <f>33323.72+12148.75</f>
        <v>45472.47</v>
      </c>
      <c r="C16" s="354">
        <v>50000</v>
      </c>
      <c r="D16" s="366" t="s">
        <v>24</v>
      </c>
      <c r="E16" s="359"/>
      <c r="F16" s="355"/>
    </row>
    <row r="17" spans="1:6" ht="16.2" thickBot="1" x14ac:dyDescent="0.35">
      <c r="A17" s="348" t="s">
        <v>25</v>
      </c>
      <c r="B17" s="346">
        <f>3516.57+4793.5</f>
        <v>8310.07</v>
      </c>
      <c r="C17" s="346">
        <v>10000</v>
      </c>
      <c r="D17" s="367" t="s">
        <v>24</v>
      </c>
      <c r="E17" s="360"/>
      <c r="F17" s="349"/>
    </row>
    <row r="18" spans="1:6" ht="16.2" thickBot="1" x14ac:dyDescent="0.35">
      <c r="A18" s="348" t="s">
        <v>26</v>
      </c>
      <c r="B18" s="346">
        <v>0</v>
      </c>
      <c r="C18" s="346">
        <v>0</v>
      </c>
      <c r="D18" s="367"/>
      <c r="E18" s="360"/>
      <c r="F18" s="349"/>
    </row>
    <row r="19" spans="1:6" ht="16.2" thickBot="1" x14ac:dyDescent="0.35">
      <c r="A19" s="348" t="s">
        <v>27</v>
      </c>
      <c r="B19" s="346">
        <v>0</v>
      </c>
      <c r="C19" s="346">
        <v>0</v>
      </c>
      <c r="D19" s="367"/>
      <c r="E19" s="360"/>
      <c r="F19" s="349"/>
    </row>
    <row r="20" spans="1:6" ht="16.2" thickBot="1" x14ac:dyDescent="0.35">
      <c r="A20" s="348" t="s">
        <v>28</v>
      </c>
      <c r="B20" s="346">
        <v>0</v>
      </c>
      <c r="C20" s="346">
        <v>0</v>
      </c>
      <c r="D20" s="367"/>
      <c r="E20" s="360"/>
      <c r="F20" s="349"/>
    </row>
    <row r="21" spans="1:6" ht="16.2" thickBot="1" x14ac:dyDescent="0.35">
      <c r="A21" s="348" t="s">
        <v>29</v>
      </c>
      <c r="B21" s="346">
        <v>16889.86</v>
      </c>
      <c r="C21" s="346">
        <v>23000</v>
      </c>
      <c r="D21" s="367" t="s">
        <v>24</v>
      </c>
      <c r="E21" s="360"/>
      <c r="F21" s="349"/>
    </row>
    <row r="22" spans="1:6" ht="16.2" thickBot="1" x14ac:dyDescent="0.35">
      <c r="A22" s="348" t="s">
        <v>30</v>
      </c>
      <c r="B22" s="346">
        <f>5668.77+4049.58</f>
        <v>9718.35</v>
      </c>
      <c r="C22" s="346">
        <v>12000</v>
      </c>
      <c r="D22" s="367" t="s">
        <v>24</v>
      </c>
      <c r="E22" s="360"/>
      <c r="F22" s="349"/>
    </row>
    <row r="23" spans="1:6" ht="31.8" thickBot="1" x14ac:dyDescent="0.35">
      <c r="A23" s="368" t="s">
        <v>1943</v>
      </c>
      <c r="B23" s="346">
        <v>23314</v>
      </c>
      <c r="C23" s="346">
        <v>30000</v>
      </c>
      <c r="D23" s="367" t="s">
        <v>24</v>
      </c>
      <c r="E23" s="360"/>
      <c r="F23" s="349"/>
    </row>
    <row r="24" spans="1:6" ht="16.2" thickBot="1" x14ac:dyDescent="0.35">
      <c r="A24" s="348" t="s">
        <v>1088</v>
      </c>
      <c r="B24" s="346">
        <v>0</v>
      </c>
      <c r="C24" s="346">
        <v>32000</v>
      </c>
      <c r="D24" s="367" t="s">
        <v>24</v>
      </c>
      <c r="E24" s="360"/>
      <c r="F24" s="349"/>
    </row>
    <row r="25" spans="1:6" ht="16.2" thickBot="1" x14ac:dyDescent="0.35">
      <c r="A25" s="345"/>
      <c r="B25" s="346">
        <v>0</v>
      </c>
      <c r="C25" s="346">
        <v>0</v>
      </c>
      <c r="D25" s="360"/>
      <c r="E25" s="360"/>
      <c r="F25" s="349"/>
    </row>
    <row r="26" spans="1:6" ht="16.2" thickBot="1" x14ac:dyDescent="0.35">
      <c r="A26" s="345"/>
      <c r="B26" s="346">
        <v>0</v>
      </c>
      <c r="C26" s="346">
        <v>0</v>
      </c>
      <c r="D26" s="360"/>
      <c r="E26" s="360"/>
      <c r="F26" s="349"/>
    </row>
    <row r="27" spans="1:6" ht="16.2" thickBot="1" x14ac:dyDescent="0.35">
      <c r="A27" s="345"/>
      <c r="B27" s="346">
        <v>0</v>
      </c>
      <c r="C27" s="346">
        <v>0</v>
      </c>
      <c r="D27" s="360"/>
      <c r="E27" s="360"/>
      <c r="F27" s="349"/>
    </row>
    <row r="28" spans="1:6" ht="16.2" thickBot="1" x14ac:dyDescent="0.35">
      <c r="A28" s="350"/>
      <c r="B28" s="346">
        <v>0</v>
      </c>
      <c r="C28" s="346">
        <v>0</v>
      </c>
      <c r="D28" s="360"/>
      <c r="E28" s="360"/>
      <c r="F28" s="349"/>
    </row>
    <row r="29" spans="1:6" ht="16.2" thickBot="1" x14ac:dyDescent="0.35">
      <c r="A29" s="343" t="s">
        <v>32</v>
      </c>
      <c r="B29" s="351">
        <f>SUM(B16:B28)</f>
        <v>103704.75</v>
      </c>
      <c r="C29" s="351">
        <f>SUM(C16:C28)</f>
        <v>157000</v>
      </c>
      <c r="D29" s="361"/>
      <c r="E29" s="361"/>
      <c r="F29" s="352"/>
    </row>
  </sheetData>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8EAB-4D22-4557-96F0-1E077B1B2E38}">
  <dimension ref="A1:H56"/>
  <sheetViews>
    <sheetView topLeftCell="A22" workbookViewId="0">
      <selection activeCell="E11" sqref="E11:J11"/>
    </sheetView>
  </sheetViews>
  <sheetFormatPr defaultColWidth="9.109375" defaultRowHeight="15.6" x14ac:dyDescent="0.3"/>
  <cols>
    <col min="1" max="1" width="38.33203125" style="7" bestFit="1" customWidth="1"/>
    <col min="2" max="2" width="20.44140625" style="7" customWidth="1"/>
    <col min="3" max="3" width="26.88671875" style="7" customWidth="1"/>
    <col min="4" max="4" width="25.33203125" style="7" customWidth="1"/>
    <col min="5" max="5" width="30.6640625" style="7" customWidth="1"/>
    <col min="6" max="7" width="33.44140625" style="7" bestFit="1"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78.599999999999994" thickBot="1" x14ac:dyDescent="0.35">
      <c r="A2" s="3" t="s">
        <v>1301</v>
      </c>
      <c r="B2" s="4">
        <v>22200</v>
      </c>
      <c r="C2" s="3" t="s">
        <v>1302</v>
      </c>
      <c r="D2" s="5">
        <v>1486513</v>
      </c>
      <c r="E2" s="3" t="s">
        <v>115</v>
      </c>
      <c r="F2" s="6" t="s">
        <v>1303</v>
      </c>
      <c r="G2" s="284">
        <v>0</v>
      </c>
      <c r="H2" s="5">
        <v>128656.8</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t="s">
        <v>1304</v>
      </c>
      <c r="B9" s="12">
        <v>13000</v>
      </c>
    </row>
    <row r="10" spans="1:8" ht="16.2" thickBot="1" x14ac:dyDescent="0.35">
      <c r="A10" s="11" t="s">
        <v>1305</v>
      </c>
      <c r="B10" s="12">
        <v>9200</v>
      </c>
    </row>
    <row r="11" spans="1:8" ht="16.2" thickBot="1" x14ac:dyDescent="0.35">
      <c r="A11" s="11"/>
      <c r="B11" s="10"/>
      <c r="C11" s="12">
        <v>22200</v>
      </c>
    </row>
    <row r="12" spans="1:8" x14ac:dyDescent="0.3">
      <c r="A12" s="13"/>
      <c r="C12" s="10" t="s">
        <v>9</v>
      </c>
    </row>
    <row r="13" spans="1:8" x14ac:dyDescent="0.3">
      <c r="A13" s="7" t="s">
        <v>1306</v>
      </c>
    </row>
    <row r="14" spans="1:8" ht="31.2" x14ac:dyDescent="0.3">
      <c r="A14" s="1" t="s">
        <v>17</v>
      </c>
      <c r="B14" s="14" t="s">
        <v>1307</v>
      </c>
      <c r="C14" s="1" t="s">
        <v>19</v>
      </c>
      <c r="D14" s="1" t="s">
        <v>1308</v>
      </c>
      <c r="E14" s="1" t="s">
        <v>20</v>
      </c>
      <c r="F14" s="1" t="s">
        <v>21</v>
      </c>
      <c r="G14" s="1" t="s">
        <v>22</v>
      </c>
    </row>
    <row r="15" spans="1:8" ht="16.2" thickBot="1" x14ac:dyDescent="0.35">
      <c r="A15" s="15" t="s">
        <v>23</v>
      </c>
      <c r="B15" s="16">
        <v>63.69</v>
      </c>
      <c r="C15" s="16">
        <v>200</v>
      </c>
      <c r="D15" s="16">
        <v>263.69</v>
      </c>
      <c r="E15" s="29" t="s">
        <v>1309</v>
      </c>
      <c r="F15" s="17" t="s">
        <v>79</v>
      </c>
      <c r="G15" s="18" t="s">
        <v>1310</v>
      </c>
    </row>
    <row r="16" spans="1:8" ht="16.2" thickBot="1" x14ac:dyDescent="0.35">
      <c r="A16" s="15" t="s">
        <v>25</v>
      </c>
      <c r="B16" s="12">
        <v>3337.39</v>
      </c>
      <c r="C16" s="12">
        <v>500</v>
      </c>
      <c r="D16" s="16">
        <v>3837.39</v>
      </c>
      <c r="E16" s="29" t="s">
        <v>1309</v>
      </c>
      <c r="F16" s="17" t="s">
        <v>79</v>
      </c>
      <c r="G16" s="20" t="s">
        <v>1311</v>
      </c>
    </row>
    <row r="17" spans="1:8" ht="16.2" thickBot="1" x14ac:dyDescent="0.35">
      <c r="A17" s="15" t="s">
        <v>26</v>
      </c>
      <c r="B17" s="12">
        <v>0</v>
      </c>
      <c r="C17" s="12">
        <v>0</v>
      </c>
      <c r="D17" s="16">
        <v>0</v>
      </c>
      <c r="E17" s="29"/>
      <c r="F17" s="19"/>
      <c r="G17" s="20"/>
    </row>
    <row r="18" spans="1:8" ht="16.2" thickBot="1" x14ac:dyDescent="0.35">
      <c r="A18" s="15" t="s">
        <v>27</v>
      </c>
      <c r="B18" s="12">
        <v>0</v>
      </c>
      <c r="C18" s="12">
        <v>0</v>
      </c>
      <c r="D18" s="16">
        <v>0</v>
      </c>
      <c r="E18" s="29"/>
      <c r="F18" s="19"/>
      <c r="G18" s="20"/>
    </row>
    <row r="19" spans="1:8" ht="16.2" thickBot="1" x14ac:dyDescent="0.35">
      <c r="A19" s="15" t="s">
        <v>28</v>
      </c>
      <c r="B19" s="12">
        <v>0</v>
      </c>
      <c r="C19" s="12">
        <v>0</v>
      </c>
      <c r="D19" s="16">
        <v>0</v>
      </c>
      <c r="E19" s="29"/>
      <c r="F19" s="19"/>
      <c r="G19" s="20"/>
    </row>
    <row r="20" spans="1:8" ht="16.2" thickBot="1" x14ac:dyDescent="0.35">
      <c r="A20" s="15" t="s">
        <v>29</v>
      </c>
      <c r="B20" s="12">
        <v>762.98</v>
      </c>
      <c r="C20" s="12">
        <v>9040</v>
      </c>
      <c r="D20" s="16">
        <v>9802.98</v>
      </c>
      <c r="E20" s="29" t="s">
        <v>1309</v>
      </c>
      <c r="F20" s="17" t="s">
        <v>79</v>
      </c>
      <c r="G20" s="20" t="s">
        <v>1312</v>
      </c>
    </row>
    <row r="21" spans="1:8" ht="16.2" thickBot="1" x14ac:dyDescent="0.35">
      <c r="A21" s="15" t="s">
        <v>30</v>
      </c>
      <c r="B21" s="12">
        <v>211.64</v>
      </c>
      <c r="C21" s="12">
        <v>276.5</v>
      </c>
      <c r="D21" s="16">
        <v>488.14</v>
      </c>
      <c r="E21" s="29" t="s">
        <v>1309</v>
      </c>
      <c r="F21" s="17" t="s">
        <v>79</v>
      </c>
      <c r="G21" s="20" t="s">
        <v>583</v>
      </c>
    </row>
    <row r="22" spans="1:8" ht="16.2" thickBot="1" x14ac:dyDescent="0.35">
      <c r="A22" s="11"/>
      <c r="B22" s="12">
        <v>0</v>
      </c>
      <c r="C22" s="12">
        <v>0</v>
      </c>
      <c r="D22" s="16">
        <v>0</v>
      </c>
      <c r="E22" s="30"/>
      <c r="F22" s="19"/>
      <c r="G22" s="20"/>
    </row>
    <row r="23" spans="1:8" ht="16.2" thickBot="1" x14ac:dyDescent="0.35">
      <c r="A23" s="21"/>
      <c r="B23" s="12">
        <v>0</v>
      </c>
      <c r="C23" s="12">
        <v>0</v>
      </c>
      <c r="D23" s="16">
        <v>0</v>
      </c>
      <c r="E23" s="19"/>
      <c r="F23" s="19"/>
      <c r="G23" s="20"/>
    </row>
    <row r="24" spans="1:8" ht="16.2" thickBot="1" x14ac:dyDescent="0.35">
      <c r="A24" s="13" t="s">
        <v>32</v>
      </c>
      <c r="B24" s="22">
        <v>4375.7</v>
      </c>
      <c r="C24" s="22">
        <v>10016.5</v>
      </c>
      <c r="D24" s="22">
        <v>14392.199999999999</v>
      </c>
      <c r="E24" s="23"/>
      <c r="F24" s="23"/>
      <c r="G24" s="24"/>
    </row>
    <row r="25" spans="1:8" x14ac:dyDescent="0.3">
      <c r="A25" s="13"/>
      <c r="B25" s="58"/>
      <c r="C25" s="58"/>
      <c r="D25" s="58"/>
      <c r="E25" s="59"/>
      <c r="F25" s="59"/>
      <c r="G25" s="60"/>
    </row>
    <row r="26" spans="1:8" x14ac:dyDescent="0.3">
      <c r="A26" s="7" t="s">
        <v>1313</v>
      </c>
    </row>
    <row r="27" spans="1:8" ht="31.2" x14ac:dyDescent="0.3">
      <c r="A27" s="1" t="s">
        <v>17</v>
      </c>
      <c r="B27" s="14" t="s">
        <v>18</v>
      </c>
      <c r="C27" s="1" t="s">
        <v>19</v>
      </c>
      <c r="D27" s="1" t="s">
        <v>1308</v>
      </c>
      <c r="E27" s="1" t="s">
        <v>20</v>
      </c>
      <c r="F27" s="1" t="s">
        <v>21</v>
      </c>
      <c r="G27" s="1" t="s">
        <v>22</v>
      </c>
    </row>
    <row r="28" spans="1:8" ht="16.2" thickBot="1" x14ac:dyDescent="0.35">
      <c r="A28" s="15" t="s">
        <v>23</v>
      </c>
      <c r="B28" s="16">
        <v>445.88</v>
      </c>
      <c r="C28" s="16">
        <v>1700</v>
      </c>
      <c r="D28" s="16">
        <v>2145.88</v>
      </c>
      <c r="E28" s="17" t="s">
        <v>24</v>
      </c>
      <c r="F28" s="17" t="s">
        <v>79</v>
      </c>
      <c r="G28" s="18" t="s">
        <v>1314</v>
      </c>
    </row>
    <row r="29" spans="1:8" ht="16.2" thickBot="1" x14ac:dyDescent="0.35">
      <c r="A29" s="15" t="s">
        <v>1315</v>
      </c>
      <c r="B29" s="12">
        <v>3171</v>
      </c>
      <c r="C29" s="12">
        <v>35678.800000000003</v>
      </c>
      <c r="D29" s="16">
        <v>38849.800000000003</v>
      </c>
      <c r="E29" s="19" t="s">
        <v>1316</v>
      </c>
      <c r="F29" s="17" t="s">
        <v>1213</v>
      </c>
      <c r="G29" s="20" t="s">
        <v>1317</v>
      </c>
    </row>
    <row r="30" spans="1:8" ht="16.2" thickBot="1" x14ac:dyDescent="0.35">
      <c r="A30" s="15" t="s">
        <v>26</v>
      </c>
      <c r="B30" s="12">
        <v>2703.67</v>
      </c>
      <c r="C30" s="12"/>
      <c r="D30" s="16">
        <v>2703.67</v>
      </c>
      <c r="E30" s="19" t="s">
        <v>1318</v>
      </c>
      <c r="F30" s="17" t="s">
        <v>79</v>
      </c>
      <c r="G30" s="20" t="s">
        <v>1319</v>
      </c>
      <c r="H30" s="7" t="s">
        <v>1320</v>
      </c>
    </row>
    <row r="31" spans="1:8" ht="16.2" thickBot="1" x14ac:dyDescent="0.35">
      <c r="A31" s="15" t="s">
        <v>27</v>
      </c>
      <c r="B31" s="12">
        <v>0</v>
      </c>
      <c r="C31" s="12">
        <v>0</v>
      </c>
      <c r="D31" s="16">
        <v>0</v>
      </c>
      <c r="E31" s="19"/>
      <c r="F31" s="19"/>
      <c r="G31" s="20"/>
    </row>
    <row r="32" spans="1:8" ht="16.2" thickBot="1" x14ac:dyDescent="0.35">
      <c r="A32" s="15" t="s">
        <v>28</v>
      </c>
      <c r="B32" s="12">
        <v>0</v>
      </c>
      <c r="C32" s="12">
        <v>0</v>
      </c>
      <c r="D32" s="16">
        <v>0</v>
      </c>
      <c r="E32" s="19"/>
      <c r="F32" s="19"/>
      <c r="G32" s="20"/>
    </row>
    <row r="33" spans="1:8" ht="16.2" thickBot="1" x14ac:dyDescent="0.35">
      <c r="A33" s="15" t="s">
        <v>29</v>
      </c>
      <c r="B33" s="12">
        <v>49.38</v>
      </c>
      <c r="C33" s="12">
        <v>200</v>
      </c>
      <c r="D33" s="16">
        <v>249.38</v>
      </c>
      <c r="E33" s="19" t="s">
        <v>10</v>
      </c>
      <c r="F33" s="17" t="s">
        <v>79</v>
      </c>
      <c r="G33" s="20" t="s">
        <v>1321</v>
      </c>
    </row>
    <row r="34" spans="1:8" ht="16.2" thickBot="1" x14ac:dyDescent="0.35">
      <c r="A34" s="15" t="s">
        <v>30</v>
      </c>
      <c r="B34" s="12">
        <v>0</v>
      </c>
      <c r="C34" s="12">
        <v>1600</v>
      </c>
      <c r="D34" s="16">
        <v>1600</v>
      </c>
      <c r="E34" s="19" t="s">
        <v>24</v>
      </c>
      <c r="F34" s="17" t="s">
        <v>79</v>
      </c>
      <c r="G34" s="20" t="s">
        <v>1322</v>
      </c>
    </row>
    <row r="35" spans="1:8" ht="16.2" thickBot="1" x14ac:dyDescent="0.35">
      <c r="A35" s="11" t="s">
        <v>1323</v>
      </c>
      <c r="B35" s="12">
        <v>27079.22</v>
      </c>
      <c r="C35" s="12"/>
      <c r="D35" s="16">
        <v>27079.22</v>
      </c>
      <c r="E35" s="19" t="s">
        <v>1316</v>
      </c>
      <c r="F35" s="17" t="s">
        <v>79</v>
      </c>
      <c r="G35" s="20" t="s">
        <v>1319</v>
      </c>
      <c r="H35" s="7" t="s">
        <v>1320</v>
      </c>
    </row>
    <row r="36" spans="1:8" ht="16.2" thickBot="1" x14ac:dyDescent="0.35">
      <c r="A36" s="11" t="s">
        <v>1324</v>
      </c>
      <c r="B36" s="12">
        <v>578.15</v>
      </c>
      <c r="C36" s="12">
        <v>1734</v>
      </c>
      <c r="D36" s="16">
        <v>2312.15</v>
      </c>
      <c r="E36" s="19" t="s">
        <v>1318</v>
      </c>
      <c r="F36" s="17" t="s">
        <v>79</v>
      </c>
      <c r="G36" s="20" t="s">
        <v>1325</v>
      </c>
    </row>
    <row r="37" spans="1:8" ht="16.2" thickBot="1" x14ac:dyDescent="0.35">
      <c r="A37" s="11" t="s">
        <v>1326</v>
      </c>
      <c r="B37" s="12">
        <v>3277.5</v>
      </c>
      <c r="C37" s="12">
        <v>9832</v>
      </c>
      <c r="D37" s="16">
        <v>13109.5</v>
      </c>
      <c r="E37" s="19" t="s">
        <v>24</v>
      </c>
      <c r="F37" s="17" t="s">
        <v>79</v>
      </c>
      <c r="G37" s="20" t="s">
        <v>1327</v>
      </c>
    </row>
    <row r="38" spans="1:8" ht="16.2" thickBot="1" x14ac:dyDescent="0.35">
      <c r="A38" s="11" t="s">
        <v>1328</v>
      </c>
      <c r="B38" s="12">
        <v>1015</v>
      </c>
      <c r="C38" s="12">
        <v>3000</v>
      </c>
      <c r="D38" s="16">
        <v>4015</v>
      </c>
      <c r="E38" s="19" t="s">
        <v>10</v>
      </c>
      <c r="F38" s="17" t="s">
        <v>79</v>
      </c>
      <c r="G38" s="20" t="s">
        <v>1329</v>
      </c>
    </row>
    <row r="39" spans="1:8" ht="16.2" thickBot="1" x14ac:dyDescent="0.35">
      <c r="A39" s="11"/>
      <c r="B39" s="12">
        <v>0</v>
      </c>
      <c r="C39" s="12">
        <v>0</v>
      </c>
      <c r="D39" s="16">
        <v>0</v>
      </c>
      <c r="E39" s="19"/>
      <c r="F39" s="19"/>
      <c r="G39" s="20"/>
    </row>
    <row r="40" spans="1:8" ht="16.2" thickBot="1" x14ac:dyDescent="0.35">
      <c r="A40" s="21"/>
      <c r="B40" s="12">
        <v>0</v>
      </c>
      <c r="C40" s="12">
        <v>0</v>
      </c>
      <c r="D40" s="16">
        <v>0</v>
      </c>
      <c r="E40" s="19"/>
      <c r="F40" s="19"/>
      <c r="G40" s="20"/>
    </row>
    <row r="41" spans="1:8" ht="16.2" thickBot="1" x14ac:dyDescent="0.35">
      <c r="A41" s="13" t="s">
        <v>32</v>
      </c>
      <c r="B41" s="22">
        <v>38319.800000000003</v>
      </c>
      <c r="C41" s="22">
        <v>53744.800000000003</v>
      </c>
      <c r="D41" s="22">
        <v>92064.599999999991</v>
      </c>
      <c r="E41" s="23"/>
      <c r="F41" s="23"/>
      <c r="G41" s="24"/>
    </row>
    <row r="43" spans="1:8" x14ac:dyDescent="0.3">
      <c r="A43" s="7" t="s">
        <v>1330</v>
      </c>
      <c r="D43" s="74">
        <v>36592.199999999997</v>
      </c>
    </row>
    <row r="44" spans="1:8" x14ac:dyDescent="0.3">
      <c r="A44" s="7" t="s">
        <v>1331</v>
      </c>
      <c r="D44" s="285">
        <v>92064.6</v>
      </c>
    </row>
    <row r="45" spans="1:8" x14ac:dyDescent="0.3">
      <c r="A45" s="141" t="s">
        <v>1332</v>
      </c>
      <c r="C45" s="286"/>
      <c r="D45" s="74">
        <v>128656.8</v>
      </c>
    </row>
    <row r="46" spans="1:8" x14ac:dyDescent="0.3">
      <c r="C46" s="286"/>
    </row>
    <row r="47" spans="1:8" x14ac:dyDescent="0.3">
      <c r="C47" s="286"/>
    </row>
    <row r="48" spans="1:8" x14ac:dyDescent="0.3">
      <c r="C48" s="286"/>
    </row>
    <row r="49" spans="3:3" x14ac:dyDescent="0.3">
      <c r="C49" s="286"/>
    </row>
    <row r="50" spans="3:3" x14ac:dyDescent="0.3">
      <c r="C50" s="286"/>
    </row>
    <row r="51" spans="3:3" x14ac:dyDescent="0.3">
      <c r="C51" s="286"/>
    </row>
    <row r="52" spans="3:3" x14ac:dyDescent="0.3">
      <c r="C52" s="286"/>
    </row>
    <row r="53" spans="3:3" x14ac:dyDescent="0.3">
      <c r="C53" s="286"/>
    </row>
    <row r="54" spans="3:3" x14ac:dyDescent="0.3">
      <c r="C54" s="286"/>
    </row>
    <row r="55" spans="3:3" x14ac:dyDescent="0.3">
      <c r="C55" s="286"/>
    </row>
    <row r="56" spans="3:3" x14ac:dyDescent="0.3">
      <c r="C56" s="286"/>
    </row>
  </sheetData>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F2CA-4537-44E6-AB50-40E22D4A8198}">
  <dimension ref="A1:G26"/>
  <sheetViews>
    <sheetView topLeftCell="A10" workbookViewId="0">
      <selection activeCell="A26" sqref="A26"/>
    </sheetView>
  </sheetViews>
  <sheetFormatPr defaultColWidth="9.109375" defaultRowHeight="15.6" x14ac:dyDescent="0.3"/>
  <cols>
    <col min="1" max="1" width="35.44140625" style="7" bestFit="1" customWidth="1"/>
    <col min="2" max="2" width="17.33203125" style="7" bestFit="1" customWidth="1"/>
    <col min="3" max="3" width="14.6640625" style="7" bestFit="1" customWidth="1"/>
    <col min="4" max="4" width="39" style="7" bestFit="1" customWidth="1"/>
    <col min="5" max="5" width="35.88671875" style="7" bestFit="1" customWidth="1"/>
    <col min="6" max="6" width="11" style="7" bestFit="1" customWidth="1"/>
    <col min="7" max="7" width="13.33203125" style="7" bestFit="1" customWidth="1"/>
    <col min="8" max="8" width="14.6640625" style="7" customWidth="1"/>
    <col min="9" max="16384" width="9.109375" style="7"/>
  </cols>
  <sheetData>
    <row r="1" spans="1:7" s="2" customFormat="1" ht="47.4" thickBot="1" x14ac:dyDescent="0.35">
      <c r="A1" s="1" t="s">
        <v>0</v>
      </c>
      <c r="B1" s="1" t="s">
        <v>1</v>
      </c>
      <c r="C1" s="1" t="s">
        <v>2</v>
      </c>
      <c r="D1" s="1" t="s">
        <v>3</v>
      </c>
      <c r="E1" s="1" t="s">
        <v>1333</v>
      </c>
      <c r="F1" s="1" t="s">
        <v>5</v>
      </c>
      <c r="G1" s="1" t="s">
        <v>6</v>
      </c>
    </row>
    <row r="2" spans="1:7" ht="47.4" thickBot="1" x14ac:dyDescent="0.35">
      <c r="A2" s="3" t="s">
        <v>333</v>
      </c>
      <c r="B2" s="4">
        <v>352499</v>
      </c>
      <c r="C2" s="3" t="s">
        <v>429</v>
      </c>
      <c r="D2" s="5" t="s">
        <v>1334</v>
      </c>
      <c r="E2" s="3" t="s">
        <v>10</v>
      </c>
      <c r="F2" s="6" t="s">
        <v>420</v>
      </c>
      <c r="G2" s="5" t="s">
        <v>1335</v>
      </c>
    </row>
    <row r="3" spans="1:7" x14ac:dyDescent="0.3">
      <c r="A3" s="287"/>
      <c r="D3" s="7" t="s">
        <v>1336</v>
      </c>
    </row>
    <row r="4" spans="1:7" ht="46.8" x14ac:dyDescent="0.3">
      <c r="A4" s="288" t="s">
        <v>1337</v>
      </c>
      <c r="G4" s="1" t="s">
        <v>7</v>
      </c>
    </row>
    <row r="5" spans="1:7" ht="47.4" thickBot="1" x14ac:dyDescent="0.35">
      <c r="A5" s="289" t="s">
        <v>1338</v>
      </c>
      <c r="B5" s="10" t="s">
        <v>9</v>
      </c>
      <c r="G5" s="5" t="s">
        <v>1335</v>
      </c>
    </row>
    <row r="6" spans="1:7" ht="16.2" thickBot="1" x14ac:dyDescent="0.35">
      <c r="A6" s="290" t="s">
        <v>13</v>
      </c>
      <c r="B6" s="12" t="s">
        <v>1335</v>
      </c>
    </row>
    <row r="7" spans="1:7" ht="16.2" thickBot="1" x14ac:dyDescent="0.35">
      <c r="A7" s="290" t="s">
        <v>1339</v>
      </c>
      <c r="B7" s="12">
        <v>309884</v>
      </c>
    </row>
    <row r="8" spans="1:7" ht="16.2" thickBot="1" x14ac:dyDescent="0.35">
      <c r="A8" s="290" t="s">
        <v>1340</v>
      </c>
      <c r="B8" s="12">
        <v>15415</v>
      </c>
    </row>
    <row r="9" spans="1:7" ht="16.2" thickBot="1" x14ac:dyDescent="0.35">
      <c r="A9" s="290" t="s">
        <v>1341</v>
      </c>
      <c r="B9" s="12">
        <v>27200</v>
      </c>
    </row>
    <row r="10" spans="1:7" ht="16.2" thickBot="1" x14ac:dyDescent="0.35">
      <c r="A10" s="291"/>
      <c r="B10" s="10"/>
      <c r="C10" s="12">
        <v>352499</v>
      </c>
    </row>
    <row r="11" spans="1:7" ht="46.8" x14ac:dyDescent="0.3">
      <c r="A11" s="1" t="s">
        <v>17</v>
      </c>
      <c r="B11" s="14" t="s">
        <v>18</v>
      </c>
      <c r="C11" s="1" t="s">
        <v>19</v>
      </c>
      <c r="D11" s="1" t="s">
        <v>20</v>
      </c>
      <c r="E11" s="292" t="s">
        <v>21</v>
      </c>
      <c r="G11" s="1" t="s">
        <v>22</v>
      </c>
    </row>
    <row r="12" spans="1:7" ht="16.2" thickBot="1" x14ac:dyDescent="0.35">
      <c r="A12" s="290" t="s">
        <v>23</v>
      </c>
      <c r="B12" s="16">
        <v>23417</v>
      </c>
      <c r="C12" s="16">
        <v>33417</v>
      </c>
      <c r="D12" s="293" t="s">
        <v>10</v>
      </c>
      <c r="E12" s="294" t="s">
        <v>1342</v>
      </c>
      <c r="G12" s="18"/>
    </row>
    <row r="13" spans="1:7" ht="16.2" thickBot="1" x14ac:dyDescent="0.35">
      <c r="A13" s="290" t="s">
        <v>25</v>
      </c>
      <c r="B13" s="12">
        <v>155642</v>
      </c>
      <c r="C13" s="12">
        <v>161642</v>
      </c>
      <c r="D13" s="295" t="s">
        <v>10</v>
      </c>
      <c r="E13" s="294" t="s">
        <v>1342</v>
      </c>
      <c r="G13" s="20"/>
    </row>
    <row r="14" spans="1:7" ht="16.2" thickBot="1" x14ac:dyDescent="0.35">
      <c r="A14" s="290" t="s">
        <v>26</v>
      </c>
      <c r="B14" s="12">
        <v>309884</v>
      </c>
      <c r="C14" s="12">
        <v>309884</v>
      </c>
      <c r="D14" s="295" t="s">
        <v>10</v>
      </c>
      <c r="E14" s="294" t="s">
        <v>1342</v>
      </c>
      <c r="G14" s="20"/>
    </row>
    <row r="15" spans="1:7" ht="16.2" thickBot="1" x14ac:dyDescent="0.35">
      <c r="A15" s="290" t="s">
        <v>27</v>
      </c>
      <c r="B15" s="12">
        <v>0</v>
      </c>
      <c r="C15" s="12">
        <v>0</v>
      </c>
      <c r="D15" s="295"/>
      <c r="E15" s="294"/>
      <c r="G15" s="20"/>
    </row>
    <row r="16" spans="1:7" ht="16.2" thickBot="1" x14ac:dyDescent="0.35">
      <c r="A16" s="290" t="s">
        <v>28</v>
      </c>
      <c r="B16" s="12">
        <v>0</v>
      </c>
      <c r="C16" s="12">
        <v>0</v>
      </c>
      <c r="D16" s="295"/>
      <c r="E16" s="294"/>
      <c r="G16" s="20"/>
    </row>
    <row r="17" spans="1:7" ht="16.2" thickBot="1" x14ac:dyDescent="0.35">
      <c r="A17" s="290" t="s">
        <v>29</v>
      </c>
      <c r="B17" s="12">
        <v>36735</v>
      </c>
      <c r="C17" s="12">
        <v>96735</v>
      </c>
      <c r="D17" s="295" t="s">
        <v>10</v>
      </c>
      <c r="E17" s="294" t="s">
        <v>1342</v>
      </c>
      <c r="G17" s="20"/>
    </row>
    <row r="18" spans="1:7" ht="16.2" thickBot="1" x14ac:dyDescent="0.35">
      <c r="A18" s="290" t="s">
        <v>30</v>
      </c>
      <c r="B18" s="12">
        <v>73531</v>
      </c>
      <c r="C18" s="12">
        <v>183531</v>
      </c>
      <c r="D18" s="295" t="s">
        <v>10</v>
      </c>
      <c r="E18" s="294" t="s">
        <v>1342</v>
      </c>
      <c r="G18" s="20"/>
    </row>
    <row r="19" spans="1:7" ht="16.2" thickBot="1" x14ac:dyDescent="0.35">
      <c r="A19" s="290" t="s">
        <v>1343</v>
      </c>
      <c r="B19" s="12">
        <v>16850</v>
      </c>
      <c r="C19" s="12">
        <v>16850</v>
      </c>
      <c r="D19" s="295" t="s">
        <v>10</v>
      </c>
      <c r="E19" s="294" t="s">
        <v>1342</v>
      </c>
      <c r="G19" s="20"/>
    </row>
    <row r="20" spans="1:7" ht="16.2" thickBot="1" x14ac:dyDescent="0.35">
      <c r="A20" s="291" t="s">
        <v>1344</v>
      </c>
      <c r="B20" s="12">
        <v>0</v>
      </c>
      <c r="C20" s="12">
        <v>164991</v>
      </c>
      <c r="D20" s="295" t="s">
        <v>10</v>
      </c>
      <c r="E20" s="294" t="s">
        <v>1342</v>
      </c>
      <c r="G20" s="20"/>
    </row>
    <row r="21" spans="1:7" ht="16.2" thickBot="1" x14ac:dyDescent="0.35">
      <c r="A21" s="291"/>
      <c r="B21" s="12">
        <v>0</v>
      </c>
      <c r="C21" s="12">
        <v>0</v>
      </c>
      <c r="D21" s="296"/>
      <c r="E21" s="294"/>
      <c r="G21" s="20"/>
    </row>
    <row r="22" spans="1:7" ht="16.2" thickBot="1" x14ac:dyDescent="0.35">
      <c r="A22" s="297"/>
      <c r="B22" s="12">
        <v>0</v>
      </c>
      <c r="C22" s="12">
        <v>0</v>
      </c>
      <c r="D22" s="296"/>
      <c r="E22" s="294"/>
      <c r="G22" s="20"/>
    </row>
    <row r="23" spans="1:7" ht="16.2" thickBot="1" x14ac:dyDescent="0.35">
      <c r="A23" s="298" t="s">
        <v>32</v>
      </c>
      <c r="B23" s="22">
        <v>616059</v>
      </c>
      <c r="C23" s="22">
        <v>967050</v>
      </c>
      <c r="D23" s="299"/>
      <c r="E23" s="59"/>
      <c r="G23" s="24"/>
    </row>
    <row r="25" spans="1:7" x14ac:dyDescent="0.3">
      <c r="B25" s="7" t="s">
        <v>2527</v>
      </c>
      <c r="C25" s="10">
        <v>-705516</v>
      </c>
    </row>
    <row r="26" spans="1:7" x14ac:dyDescent="0.3">
      <c r="B26" s="7" t="s">
        <v>747</v>
      </c>
      <c r="C26" s="396">
        <f>SUM(C23:C25)</f>
        <v>261534</v>
      </c>
    </row>
  </sheetData>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AAE-8FB0-4735-995F-598E2DCD85A5}">
  <dimension ref="A1:H29"/>
  <sheetViews>
    <sheetView workbookViewId="0">
      <selection activeCell="D7" sqref="D7"/>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334</v>
      </c>
      <c r="B2" s="390">
        <v>544665.69999999995</v>
      </c>
      <c r="C2" s="389" t="s">
        <v>2575</v>
      </c>
      <c r="D2" s="391">
        <v>2392761</v>
      </c>
      <c r="E2" s="389" t="s">
        <v>108</v>
      </c>
      <c r="F2" s="392" t="s">
        <v>2576</v>
      </c>
      <c r="G2" s="391">
        <v>0</v>
      </c>
      <c r="H2" s="391">
        <v>0</v>
      </c>
    </row>
    <row r="4" spans="1:8" x14ac:dyDescent="0.3">
      <c r="A4" s="386" t="s">
        <v>11</v>
      </c>
    </row>
    <row r="6" spans="1:8" ht="16.2" thickBot="1" x14ac:dyDescent="0.35">
      <c r="A6" s="752" t="s">
        <v>12</v>
      </c>
      <c r="B6" s="10" t="s">
        <v>9</v>
      </c>
    </row>
    <row r="7" spans="1:8" ht="16.2" thickBot="1" x14ac:dyDescent="0.35">
      <c r="A7" s="751" t="s">
        <v>51</v>
      </c>
      <c r="B7" s="374">
        <v>0</v>
      </c>
    </row>
    <row r="8" spans="1:8" ht="16.2" thickBot="1" x14ac:dyDescent="0.35">
      <c r="A8" s="751" t="s">
        <v>53</v>
      </c>
      <c r="B8" s="374" t="s">
        <v>2577</v>
      </c>
    </row>
    <row r="9" spans="1:8" ht="16.2" thickBot="1" x14ac:dyDescent="0.35">
      <c r="A9" s="751" t="s">
        <v>55</v>
      </c>
      <c r="B9" s="374">
        <v>0</v>
      </c>
    </row>
    <row r="10" spans="1:8" ht="16.2" thickBot="1" x14ac:dyDescent="0.35">
      <c r="A10" s="751" t="s">
        <v>57</v>
      </c>
      <c r="B10" s="374">
        <v>0</v>
      </c>
    </row>
    <row r="11" spans="1:8" ht="16.2" thickBot="1" x14ac:dyDescent="0.35">
      <c r="A11" s="751"/>
      <c r="B11" s="374">
        <v>0</v>
      </c>
    </row>
    <row r="12" spans="1:8" ht="16.2" thickBot="1" x14ac:dyDescent="0.35">
      <c r="A12" s="751"/>
      <c r="B12" s="10"/>
      <c r="C12" s="374">
        <f>SUM(B7:B11)</f>
        <v>0</v>
      </c>
    </row>
    <row r="13" spans="1:8" x14ac:dyDescent="0.3">
      <c r="A13" s="750"/>
      <c r="C13" s="10" t="s">
        <v>9</v>
      </c>
    </row>
    <row r="15" spans="1:8" ht="31.2" x14ac:dyDescent="0.3">
      <c r="A15" s="384" t="s">
        <v>17</v>
      </c>
      <c r="B15" s="385" t="s">
        <v>18</v>
      </c>
      <c r="C15" s="384" t="s">
        <v>19</v>
      </c>
      <c r="D15" s="384" t="s">
        <v>20</v>
      </c>
      <c r="E15" s="384" t="s">
        <v>21</v>
      </c>
      <c r="F15" s="384" t="s">
        <v>22</v>
      </c>
    </row>
    <row r="16" spans="1:8" ht="16.2" thickBot="1" x14ac:dyDescent="0.35">
      <c r="A16" s="749" t="s">
        <v>23</v>
      </c>
      <c r="B16" s="382">
        <v>1556.9</v>
      </c>
      <c r="C16" s="382">
        <v>2156.9</v>
      </c>
      <c r="D16" s="359" t="s">
        <v>2578</v>
      </c>
      <c r="E16" s="359" t="s">
        <v>79</v>
      </c>
      <c r="F16" s="383"/>
    </row>
    <row r="17" spans="1:6" ht="16.2" thickBot="1" x14ac:dyDescent="0.35">
      <c r="A17" s="749" t="s">
        <v>25</v>
      </c>
      <c r="B17" s="374">
        <v>629.99</v>
      </c>
      <c r="C17" s="374">
        <v>629.99</v>
      </c>
      <c r="D17" s="387" t="s">
        <v>24</v>
      </c>
      <c r="E17" s="387" t="s">
        <v>79</v>
      </c>
      <c r="F17" s="377"/>
    </row>
    <row r="18" spans="1:6" ht="16.2" thickBot="1" x14ac:dyDescent="0.35">
      <c r="A18" s="749" t="s">
        <v>26</v>
      </c>
      <c r="B18" s="374">
        <v>1187.1300000000001</v>
      </c>
      <c r="C18" s="374">
        <v>1687.13</v>
      </c>
      <c r="D18" s="387" t="s">
        <v>24</v>
      </c>
      <c r="E18" s="387" t="s">
        <v>79</v>
      </c>
      <c r="F18" s="377"/>
    </row>
    <row r="19" spans="1:6" ht="16.2" thickBot="1" x14ac:dyDescent="0.35">
      <c r="A19" s="749" t="s">
        <v>27</v>
      </c>
      <c r="B19" s="374">
        <v>0</v>
      </c>
      <c r="C19" s="374"/>
      <c r="D19" s="387"/>
      <c r="E19" s="387"/>
      <c r="F19" s="377"/>
    </row>
    <row r="20" spans="1:6" ht="16.2" thickBot="1" x14ac:dyDescent="0.35">
      <c r="A20" s="749" t="s">
        <v>28</v>
      </c>
      <c r="B20" s="374">
        <v>0</v>
      </c>
      <c r="C20" s="374">
        <v>0</v>
      </c>
      <c r="D20" s="387"/>
      <c r="E20" s="387"/>
      <c r="F20" s="377"/>
    </row>
    <row r="21" spans="1:6" ht="16.2" thickBot="1" x14ac:dyDescent="0.35">
      <c r="A21" s="749" t="s">
        <v>29</v>
      </c>
      <c r="B21" s="374">
        <v>0</v>
      </c>
      <c r="C21" s="374">
        <v>25000</v>
      </c>
      <c r="D21" s="387" t="s">
        <v>24</v>
      </c>
      <c r="E21" s="387" t="s">
        <v>79</v>
      </c>
      <c r="F21" s="377"/>
    </row>
    <row r="22" spans="1:6" ht="16.2" thickBot="1" x14ac:dyDescent="0.35">
      <c r="A22" s="749" t="s">
        <v>30</v>
      </c>
      <c r="B22" s="374">
        <v>174.36</v>
      </c>
      <c r="C22" s="374">
        <v>474.36</v>
      </c>
      <c r="D22" s="387" t="s">
        <v>24</v>
      </c>
      <c r="E22" s="387" t="s">
        <v>79</v>
      </c>
      <c r="F22" s="377"/>
    </row>
    <row r="23" spans="1:6" ht="16.2" thickBot="1" x14ac:dyDescent="0.35">
      <c r="A23" s="751"/>
      <c r="B23" s="374">
        <v>0</v>
      </c>
      <c r="C23" s="374">
        <v>0</v>
      </c>
      <c r="D23" s="387"/>
      <c r="E23" s="387"/>
      <c r="F23" s="377"/>
    </row>
    <row r="24" spans="1:6" ht="16.2" thickBot="1" x14ac:dyDescent="0.35">
      <c r="A24" s="751"/>
      <c r="B24" s="374">
        <v>0</v>
      </c>
      <c r="C24" s="374">
        <v>0</v>
      </c>
      <c r="D24" s="387"/>
      <c r="E24" s="387"/>
      <c r="F24" s="377"/>
    </row>
    <row r="25" spans="1:6" ht="16.2" thickBot="1" x14ac:dyDescent="0.35">
      <c r="A25" s="751"/>
      <c r="B25" s="374">
        <v>0</v>
      </c>
      <c r="C25" s="374">
        <v>0</v>
      </c>
      <c r="D25" s="387"/>
      <c r="E25" s="387"/>
      <c r="F25" s="377"/>
    </row>
    <row r="26" spans="1:6" ht="16.2" thickBot="1" x14ac:dyDescent="0.35">
      <c r="A26" s="751"/>
      <c r="B26" s="374">
        <v>0</v>
      </c>
      <c r="C26" s="374">
        <v>0</v>
      </c>
      <c r="D26" s="387"/>
      <c r="E26" s="387"/>
      <c r="F26" s="377"/>
    </row>
    <row r="27" spans="1:6" ht="16.2" thickBot="1" x14ac:dyDescent="0.35">
      <c r="A27" s="751"/>
      <c r="B27" s="374">
        <v>0</v>
      </c>
      <c r="C27" s="374">
        <v>0</v>
      </c>
      <c r="D27" s="387"/>
      <c r="E27" s="387"/>
      <c r="F27" s="377"/>
    </row>
    <row r="28" spans="1:6" ht="16.2" thickBot="1" x14ac:dyDescent="0.35">
      <c r="A28" s="378"/>
      <c r="B28" s="374">
        <v>0</v>
      </c>
      <c r="C28" s="374">
        <v>0</v>
      </c>
      <c r="D28" s="387"/>
      <c r="E28" s="387"/>
      <c r="F28" s="377"/>
    </row>
    <row r="29" spans="1:6" ht="16.2" thickBot="1" x14ac:dyDescent="0.35">
      <c r="A29" s="750" t="s">
        <v>32</v>
      </c>
      <c r="B29" s="379">
        <f>SUM(B16:B28)</f>
        <v>3548.3800000000006</v>
      </c>
      <c r="C29" s="379">
        <f>SUM(C16:C28)</f>
        <v>29948.38</v>
      </c>
      <c r="D29" s="388"/>
      <c r="E29" s="388"/>
      <c r="F29" s="380"/>
    </row>
  </sheetData>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5D8E-D866-4AA0-996B-EA9E4CBE7C5A}">
  <dimension ref="A1:H31"/>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53.66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1345</v>
      </c>
      <c r="B2" s="4">
        <v>-308000</v>
      </c>
      <c r="C2" s="3" t="s">
        <v>1346</v>
      </c>
      <c r="D2" s="5">
        <v>6084892</v>
      </c>
      <c r="E2" s="3" t="s">
        <v>24</v>
      </c>
      <c r="F2" s="6" t="s">
        <v>1347</v>
      </c>
      <c r="G2" s="5">
        <v>0</v>
      </c>
      <c r="H2" s="5">
        <v>-37000</v>
      </c>
    </row>
    <row r="4" spans="1:8" x14ac:dyDescent="0.3">
      <c r="A4" s="8" t="s">
        <v>11</v>
      </c>
    </row>
    <row r="6" spans="1:8" ht="16.2" thickBot="1" x14ac:dyDescent="0.35">
      <c r="A6" s="9" t="s">
        <v>12</v>
      </c>
      <c r="B6" s="10" t="s">
        <v>9</v>
      </c>
    </row>
    <row r="7" spans="1:8" ht="16.2" thickBot="1" x14ac:dyDescent="0.35">
      <c r="A7" s="11" t="s">
        <v>13</v>
      </c>
      <c r="B7" s="12">
        <v>-172000</v>
      </c>
      <c r="C7" s="7" t="s">
        <v>1348</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-172000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2293.29</v>
      </c>
      <c r="C15" s="16">
        <v>6000</v>
      </c>
      <c r="D15" s="29" t="s">
        <v>24</v>
      </c>
      <c r="E15" s="17" t="s">
        <v>79</v>
      </c>
      <c r="F15" s="18" t="s">
        <v>1349</v>
      </c>
    </row>
    <row r="16" spans="1:8" ht="16.2" thickBot="1" x14ac:dyDescent="0.35">
      <c r="A16" s="15" t="s">
        <v>25</v>
      </c>
      <c r="B16" s="12">
        <v>576.12</v>
      </c>
      <c r="C16" s="12">
        <v>1000</v>
      </c>
      <c r="D16" s="29" t="s">
        <v>24</v>
      </c>
      <c r="E16" s="17" t="s">
        <v>79</v>
      </c>
      <c r="F16" s="20" t="s">
        <v>1350</v>
      </c>
    </row>
    <row r="17" spans="1:6" ht="16.2" thickBot="1" x14ac:dyDescent="0.35">
      <c r="A17" s="15" t="s">
        <v>26</v>
      </c>
      <c r="B17" s="12">
        <v>80.290000000000006</v>
      </c>
      <c r="C17" s="12">
        <v>400</v>
      </c>
      <c r="D17" s="29" t="s">
        <v>24</v>
      </c>
      <c r="E17" s="17" t="s">
        <v>79</v>
      </c>
      <c r="F17" s="20" t="s">
        <v>1351</v>
      </c>
    </row>
    <row r="18" spans="1:6" ht="16.2" thickBot="1" x14ac:dyDescent="0.35">
      <c r="A18" s="15" t="s">
        <v>27</v>
      </c>
      <c r="B18" s="12">
        <v>0</v>
      </c>
      <c r="C18" s="12">
        <v>0</v>
      </c>
      <c r="D18" s="29" t="s">
        <v>24</v>
      </c>
      <c r="E18" s="17"/>
      <c r="F18" s="20"/>
    </row>
    <row r="19" spans="1:6" ht="16.2" thickBot="1" x14ac:dyDescent="0.35">
      <c r="A19" s="15" t="s">
        <v>28</v>
      </c>
      <c r="B19" s="12">
        <v>0</v>
      </c>
      <c r="C19" s="12">
        <v>0</v>
      </c>
      <c r="D19" s="29" t="s">
        <v>24</v>
      </c>
      <c r="E19" s="17"/>
      <c r="F19" s="20"/>
    </row>
    <row r="20" spans="1:6" ht="16.2" thickBot="1" x14ac:dyDescent="0.35">
      <c r="A20" s="15" t="s">
        <v>29</v>
      </c>
      <c r="B20" s="12">
        <v>9718.6299999999992</v>
      </c>
      <c r="C20" s="12">
        <v>25000</v>
      </c>
      <c r="D20" s="29" t="s">
        <v>24</v>
      </c>
      <c r="E20" s="17" t="s">
        <v>79</v>
      </c>
      <c r="F20" s="20" t="s">
        <v>1352</v>
      </c>
    </row>
    <row r="21" spans="1:6" ht="16.2" thickBot="1" x14ac:dyDescent="0.35">
      <c r="A21" s="15" t="s">
        <v>30</v>
      </c>
      <c r="B21" s="12">
        <v>1013.06</v>
      </c>
      <c r="C21" s="12">
        <v>3000</v>
      </c>
      <c r="D21" s="29" t="s">
        <v>24</v>
      </c>
      <c r="E21" s="17" t="s">
        <v>79</v>
      </c>
      <c r="F21" s="20" t="s">
        <v>1353</v>
      </c>
    </row>
    <row r="22" spans="1:6" ht="16.2" thickBot="1" x14ac:dyDescent="0.35">
      <c r="A22" s="15" t="s">
        <v>658</v>
      </c>
      <c r="B22" s="12">
        <v>164</v>
      </c>
      <c r="C22" s="12">
        <v>350</v>
      </c>
      <c r="D22" s="29" t="s">
        <v>24</v>
      </c>
      <c r="E22" s="17" t="s">
        <v>79</v>
      </c>
      <c r="F22" s="20" t="s">
        <v>1354</v>
      </c>
    </row>
    <row r="23" spans="1:6" ht="16.2" thickBot="1" x14ac:dyDescent="0.35">
      <c r="A23" s="15" t="s">
        <v>1355</v>
      </c>
      <c r="B23" s="12">
        <v>886.03</v>
      </c>
      <c r="C23" s="12">
        <v>1500</v>
      </c>
      <c r="D23" s="29" t="s">
        <v>24</v>
      </c>
      <c r="E23" s="17" t="s">
        <v>79</v>
      </c>
      <c r="F23" s="20" t="s">
        <v>1356</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14731.419999999998</v>
      </c>
      <c r="C28" s="22">
        <v>37250</v>
      </c>
      <c r="D28" s="23"/>
      <c r="E28" s="23"/>
      <c r="F28" s="24"/>
    </row>
    <row r="30" spans="1:6" x14ac:dyDescent="0.3">
      <c r="A30" s="7" t="s">
        <v>1357</v>
      </c>
    </row>
    <row r="31" spans="1:6" x14ac:dyDescent="0.3">
      <c r="A31" s="7" t="s">
        <v>1358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213A-2FE0-4A98-AA26-79055203C9DC}">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2325</v>
      </c>
      <c r="B2" s="390">
        <v>3750</v>
      </c>
      <c r="C2" s="389" t="s">
        <v>2326</v>
      </c>
      <c r="D2" s="391">
        <v>1352057</v>
      </c>
      <c r="E2" s="389" t="s">
        <v>115</v>
      </c>
      <c r="F2" s="392"/>
      <c r="G2" s="391">
        <v>0</v>
      </c>
      <c r="H2" s="391">
        <v>0</v>
      </c>
    </row>
    <row r="4" spans="1:8" x14ac:dyDescent="0.3">
      <c r="A4" s="386" t="s">
        <v>11</v>
      </c>
    </row>
    <row r="6" spans="1:8" ht="16.2" thickBot="1" x14ac:dyDescent="0.35">
      <c r="A6" s="567" t="s">
        <v>12</v>
      </c>
      <c r="B6" s="10" t="s">
        <v>9</v>
      </c>
    </row>
    <row r="7" spans="1:8" ht="16.2" thickBot="1" x14ac:dyDescent="0.35">
      <c r="A7" s="566" t="s">
        <v>51</v>
      </c>
      <c r="B7" s="374">
        <v>0</v>
      </c>
    </row>
    <row r="8" spans="1:8" ht="16.2" thickBot="1" x14ac:dyDescent="0.35">
      <c r="A8" s="566" t="s">
        <v>53</v>
      </c>
      <c r="B8" s="374">
        <v>0</v>
      </c>
    </row>
    <row r="9" spans="1:8" ht="16.2" thickBot="1" x14ac:dyDescent="0.35">
      <c r="A9" s="566" t="s">
        <v>55</v>
      </c>
      <c r="B9" s="374">
        <v>0</v>
      </c>
    </row>
    <row r="10" spans="1:8" ht="16.2" thickBot="1" x14ac:dyDescent="0.35">
      <c r="A10" s="566" t="s">
        <v>57</v>
      </c>
      <c r="B10" s="374">
        <v>0</v>
      </c>
    </row>
    <row r="11" spans="1:8" ht="16.2" thickBot="1" x14ac:dyDescent="0.35">
      <c r="A11" s="566"/>
      <c r="B11" s="374">
        <v>0</v>
      </c>
    </row>
    <row r="12" spans="1:8" ht="16.2" thickBot="1" x14ac:dyDescent="0.35">
      <c r="A12" s="566"/>
      <c r="B12" s="10"/>
      <c r="C12" s="374">
        <f>SUM(B7:B11)</f>
        <v>0</v>
      </c>
    </row>
    <row r="13" spans="1:8" x14ac:dyDescent="0.3">
      <c r="A13" s="565"/>
      <c r="C13" s="10" t="s">
        <v>9</v>
      </c>
    </row>
    <row r="15" spans="1:8" ht="31.2" x14ac:dyDescent="0.3">
      <c r="A15" s="384" t="s">
        <v>17</v>
      </c>
      <c r="B15" s="385" t="s">
        <v>18</v>
      </c>
      <c r="C15" s="384" t="s">
        <v>19</v>
      </c>
      <c r="D15" s="384" t="s">
        <v>20</v>
      </c>
      <c r="E15" s="384" t="s">
        <v>21</v>
      </c>
      <c r="F15" s="384" t="s">
        <v>22</v>
      </c>
    </row>
    <row r="16" spans="1:8" ht="16.2" thickBot="1" x14ac:dyDescent="0.35">
      <c r="A16" s="564" t="s">
        <v>23</v>
      </c>
      <c r="B16" s="382">
        <v>1000</v>
      </c>
      <c r="C16" s="382">
        <v>0</v>
      </c>
      <c r="D16" s="359" t="s">
        <v>24</v>
      </c>
      <c r="E16" s="359" t="s">
        <v>657</v>
      </c>
      <c r="F16" s="383" t="s">
        <v>2327</v>
      </c>
    </row>
    <row r="17" spans="1:6" ht="16.2" thickBot="1" x14ac:dyDescent="0.35">
      <c r="A17" s="564" t="s">
        <v>25</v>
      </c>
      <c r="B17" s="374">
        <v>1000</v>
      </c>
      <c r="C17" s="374">
        <v>0</v>
      </c>
      <c r="D17" s="387" t="s">
        <v>24</v>
      </c>
      <c r="E17" s="359" t="s">
        <v>657</v>
      </c>
      <c r="F17" s="377" t="s">
        <v>2328</v>
      </c>
    </row>
    <row r="18" spans="1:6" ht="16.2" thickBot="1" x14ac:dyDescent="0.35">
      <c r="A18" s="564" t="s">
        <v>26</v>
      </c>
      <c r="B18" s="374">
        <v>1500</v>
      </c>
      <c r="C18" s="374">
        <v>0</v>
      </c>
      <c r="D18" s="387" t="s">
        <v>24</v>
      </c>
      <c r="E18" s="359" t="s">
        <v>657</v>
      </c>
      <c r="F18" s="377" t="s">
        <v>2329</v>
      </c>
    </row>
    <row r="19" spans="1:6" ht="16.2" thickBot="1" x14ac:dyDescent="0.35">
      <c r="A19" s="564" t="s">
        <v>27</v>
      </c>
      <c r="B19" s="374">
        <v>0</v>
      </c>
      <c r="C19" s="374">
        <v>0</v>
      </c>
      <c r="D19" s="387"/>
      <c r="E19" s="387"/>
      <c r="F19" s="377"/>
    </row>
    <row r="20" spans="1:6" ht="16.2" thickBot="1" x14ac:dyDescent="0.35">
      <c r="A20" s="564" t="s">
        <v>28</v>
      </c>
      <c r="B20" s="374">
        <v>0</v>
      </c>
      <c r="C20" s="374">
        <v>0</v>
      </c>
      <c r="D20" s="387"/>
      <c r="E20" s="387"/>
      <c r="F20" s="377"/>
    </row>
    <row r="21" spans="1:6" ht="16.2" thickBot="1" x14ac:dyDescent="0.35">
      <c r="A21" s="564" t="s">
        <v>29</v>
      </c>
      <c r="B21" s="374">
        <v>0</v>
      </c>
      <c r="C21" s="374">
        <v>0</v>
      </c>
      <c r="D21" s="387"/>
      <c r="E21" s="387"/>
      <c r="F21" s="377"/>
    </row>
    <row r="22" spans="1:6" ht="16.2" thickBot="1" x14ac:dyDescent="0.35">
      <c r="A22" s="564" t="s">
        <v>30</v>
      </c>
      <c r="B22" s="374">
        <v>250</v>
      </c>
      <c r="C22" s="374">
        <v>0</v>
      </c>
      <c r="D22" s="387" t="s">
        <v>24</v>
      </c>
      <c r="E22" s="359" t="s">
        <v>657</v>
      </c>
      <c r="F22" s="377" t="s">
        <v>133</v>
      </c>
    </row>
    <row r="23" spans="1:6" ht="16.2" thickBot="1" x14ac:dyDescent="0.35">
      <c r="A23" s="566"/>
      <c r="B23" s="374">
        <v>0</v>
      </c>
      <c r="C23" s="374">
        <v>0</v>
      </c>
      <c r="D23" s="387"/>
      <c r="E23" s="387"/>
      <c r="F23" s="377"/>
    </row>
    <row r="24" spans="1:6" ht="16.2" thickBot="1" x14ac:dyDescent="0.35">
      <c r="A24" s="566"/>
      <c r="B24" s="374">
        <v>0</v>
      </c>
      <c r="C24" s="374">
        <v>0</v>
      </c>
      <c r="D24" s="387"/>
      <c r="E24" s="387"/>
      <c r="F24" s="377"/>
    </row>
    <row r="25" spans="1:6" ht="16.2" thickBot="1" x14ac:dyDescent="0.35">
      <c r="A25" s="566"/>
      <c r="B25" s="374">
        <v>0</v>
      </c>
      <c r="C25" s="374">
        <v>0</v>
      </c>
      <c r="D25" s="387"/>
      <c r="E25" s="387"/>
      <c r="F25" s="377"/>
    </row>
    <row r="26" spans="1:6" ht="16.2" thickBot="1" x14ac:dyDescent="0.35">
      <c r="A26" s="566"/>
      <c r="B26" s="374">
        <v>0</v>
      </c>
      <c r="C26" s="374">
        <v>0</v>
      </c>
      <c r="D26" s="387"/>
      <c r="E26" s="387"/>
      <c r="F26" s="377"/>
    </row>
    <row r="27" spans="1:6" ht="16.2" thickBot="1" x14ac:dyDescent="0.35">
      <c r="A27" s="566"/>
      <c r="B27" s="374">
        <v>0</v>
      </c>
      <c r="C27" s="374">
        <v>0</v>
      </c>
      <c r="D27" s="387"/>
      <c r="E27" s="387"/>
      <c r="F27" s="377"/>
    </row>
    <row r="28" spans="1:6" ht="16.2" thickBot="1" x14ac:dyDescent="0.35">
      <c r="A28" s="378"/>
      <c r="B28" s="374">
        <v>0</v>
      </c>
      <c r="C28" s="374">
        <v>0</v>
      </c>
      <c r="D28" s="387"/>
      <c r="E28" s="387"/>
      <c r="F28" s="377"/>
    </row>
    <row r="29" spans="1:6" ht="16.2" thickBot="1" x14ac:dyDescent="0.35">
      <c r="A29" s="565" t="s">
        <v>32</v>
      </c>
      <c r="B29" s="379">
        <f>SUM(B16:B28)</f>
        <v>3750</v>
      </c>
      <c r="C29" s="379">
        <f>SUM(C16:C28)</f>
        <v>0</v>
      </c>
      <c r="D29" s="388"/>
      <c r="E29" s="388"/>
      <c r="F29" s="380"/>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149A-AAE1-48BB-82B8-347730B0B175}">
  <dimension ref="A1:H33"/>
  <sheetViews>
    <sheetView topLeftCell="A25"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39.66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94.2" thickBot="1" x14ac:dyDescent="0.35">
      <c r="A2" s="3" t="s">
        <v>335</v>
      </c>
      <c r="B2" s="4">
        <v>-2830000</v>
      </c>
      <c r="C2" s="3" t="s">
        <v>1359</v>
      </c>
      <c r="D2" s="5">
        <v>20583597.32</v>
      </c>
      <c r="E2" s="3" t="s">
        <v>10</v>
      </c>
      <c r="F2" s="6" t="s">
        <v>1360</v>
      </c>
      <c r="G2" s="5">
        <v>0</v>
      </c>
      <c r="H2" s="5">
        <v>-1800000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1361</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4" spans="1:8" x14ac:dyDescent="0.3">
      <c r="A14" s="764" t="s">
        <v>1362</v>
      </c>
      <c r="B14" s="772"/>
      <c r="C14" s="772"/>
      <c r="D14" s="772"/>
      <c r="E14" s="772"/>
      <c r="F14" s="772"/>
      <c r="G14" s="772"/>
      <c r="H14" s="772"/>
    </row>
    <row r="16" spans="1:8" ht="31.2" x14ac:dyDescent="0.3">
      <c r="A16" s="1" t="s">
        <v>17</v>
      </c>
      <c r="B16" s="14" t="s">
        <v>18</v>
      </c>
      <c r="C16" s="1" t="s">
        <v>19</v>
      </c>
      <c r="D16" s="1" t="s">
        <v>20</v>
      </c>
      <c r="E16" s="1" t="s">
        <v>21</v>
      </c>
      <c r="F16" s="1" t="s">
        <v>22</v>
      </c>
    </row>
    <row r="17" spans="1:6" ht="63" thickBot="1" x14ac:dyDescent="0.35">
      <c r="A17" s="15" t="s">
        <v>23</v>
      </c>
      <c r="B17" s="16">
        <v>31618.52</v>
      </c>
      <c r="C17" s="16">
        <v>58692.14</v>
      </c>
      <c r="D17" s="17" t="s">
        <v>24</v>
      </c>
      <c r="E17" s="17" t="s">
        <v>1363</v>
      </c>
      <c r="F17" s="32" t="s">
        <v>1364</v>
      </c>
    </row>
    <row r="18" spans="1:6" ht="78.599999999999994" thickBot="1" x14ac:dyDescent="0.35">
      <c r="A18" s="15" t="s">
        <v>25</v>
      </c>
      <c r="B18" s="12">
        <v>135929.99</v>
      </c>
      <c r="C18" s="12">
        <v>1335586.1399999999</v>
      </c>
      <c r="D18" s="19" t="s">
        <v>24</v>
      </c>
      <c r="E18" s="17" t="s">
        <v>1363</v>
      </c>
      <c r="F18" s="33" t="s">
        <v>1365</v>
      </c>
    </row>
    <row r="19" spans="1:6" ht="16.2" thickBot="1" x14ac:dyDescent="0.35">
      <c r="A19" s="15" t="s">
        <v>26</v>
      </c>
      <c r="B19" s="12">
        <v>24768</v>
      </c>
      <c r="C19" s="12">
        <v>83268</v>
      </c>
      <c r="D19" s="19" t="s">
        <v>24</v>
      </c>
      <c r="E19" s="17" t="s">
        <v>1363</v>
      </c>
      <c r="F19" s="33" t="s">
        <v>1366</v>
      </c>
    </row>
    <row r="20" spans="1:6" ht="31.8" thickBot="1" x14ac:dyDescent="0.35">
      <c r="A20" s="15" t="s">
        <v>27</v>
      </c>
      <c r="B20" s="12">
        <v>97609.86</v>
      </c>
      <c r="C20" s="12">
        <v>347609.86</v>
      </c>
      <c r="D20" s="19" t="s">
        <v>24</v>
      </c>
      <c r="E20" s="17" t="s">
        <v>1367</v>
      </c>
      <c r="F20" s="33" t="s">
        <v>1368</v>
      </c>
    </row>
    <row r="21" spans="1:6" ht="16.2" thickBot="1" x14ac:dyDescent="0.35">
      <c r="A21" s="15" t="s">
        <v>28</v>
      </c>
      <c r="B21" s="12">
        <v>8900</v>
      </c>
      <c r="C21" s="12">
        <v>35600</v>
      </c>
      <c r="D21" s="19" t="s">
        <v>24</v>
      </c>
      <c r="E21" s="17" t="s">
        <v>1363</v>
      </c>
      <c r="F21" s="33" t="s">
        <v>1369</v>
      </c>
    </row>
    <row r="22" spans="1:6" ht="31.8" thickBot="1" x14ac:dyDescent="0.35">
      <c r="A22" s="15" t="s">
        <v>29</v>
      </c>
      <c r="B22" s="12">
        <v>530284.28</v>
      </c>
      <c r="C22" s="12">
        <v>1276099.93</v>
      </c>
      <c r="D22" s="19" t="s">
        <v>441</v>
      </c>
      <c r="E22" s="17" t="s">
        <v>1363</v>
      </c>
      <c r="F22" s="33" t="s">
        <v>1370</v>
      </c>
    </row>
    <row r="23" spans="1:6" ht="63" thickBot="1" x14ac:dyDescent="0.35">
      <c r="A23" s="15" t="s">
        <v>30</v>
      </c>
      <c r="B23" s="12">
        <v>60499.94</v>
      </c>
      <c r="C23" s="12">
        <v>106604.85</v>
      </c>
      <c r="D23" s="19" t="s">
        <v>24</v>
      </c>
      <c r="E23" s="17" t="s">
        <v>1363</v>
      </c>
      <c r="F23" s="33" t="s">
        <v>1371</v>
      </c>
    </row>
    <row r="24" spans="1:6" ht="47.4" thickBot="1" x14ac:dyDescent="0.35">
      <c r="A24" s="15" t="s">
        <v>1372</v>
      </c>
      <c r="B24" s="12">
        <v>186921.53</v>
      </c>
      <c r="C24" s="12">
        <v>440701.3</v>
      </c>
      <c r="D24" s="19" t="s">
        <v>441</v>
      </c>
      <c r="E24" s="17" t="s">
        <v>1363</v>
      </c>
      <c r="F24" s="33" t="s">
        <v>1373</v>
      </c>
    </row>
    <row r="25" spans="1:6" ht="47.4" thickBot="1" x14ac:dyDescent="0.35">
      <c r="A25" s="15" t="s">
        <v>1374</v>
      </c>
      <c r="B25" s="12">
        <v>0</v>
      </c>
      <c r="C25" s="12">
        <v>30000</v>
      </c>
      <c r="D25" s="19" t="s">
        <v>24</v>
      </c>
      <c r="E25" s="17" t="s">
        <v>1363</v>
      </c>
      <c r="F25" s="33" t="s">
        <v>1375</v>
      </c>
    </row>
    <row r="26" spans="1:6" ht="31.8" thickBot="1" x14ac:dyDescent="0.35">
      <c r="A26" s="15" t="s">
        <v>553</v>
      </c>
      <c r="B26" s="12">
        <v>18318</v>
      </c>
      <c r="C26" s="12">
        <v>48318</v>
      </c>
      <c r="D26" s="19" t="s">
        <v>24</v>
      </c>
      <c r="E26" s="17" t="s">
        <v>1363</v>
      </c>
      <c r="F26" s="33" t="s">
        <v>1376</v>
      </c>
    </row>
    <row r="27" spans="1:6" ht="16.2" thickBot="1" x14ac:dyDescent="0.35">
      <c r="A27" s="15" t="s">
        <v>1377</v>
      </c>
      <c r="B27" s="12">
        <v>40000</v>
      </c>
      <c r="C27" s="12">
        <v>120000</v>
      </c>
      <c r="D27" s="19" t="s">
        <v>24</v>
      </c>
      <c r="E27" s="17" t="s">
        <v>1363</v>
      </c>
      <c r="F27" s="33" t="s">
        <v>1378</v>
      </c>
    </row>
    <row r="28" spans="1:6" ht="16.2" thickBot="1" x14ac:dyDescent="0.35">
      <c r="A28" s="11"/>
      <c r="B28" s="12">
        <v>0</v>
      </c>
      <c r="C28" s="12">
        <v>0</v>
      </c>
      <c r="D28" s="19"/>
      <c r="E28" s="19"/>
      <c r="F28" s="20"/>
    </row>
    <row r="29" spans="1:6" ht="16.2" thickBot="1" x14ac:dyDescent="0.35">
      <c r="A29" s="21"/>
      <c r="B29" s="12">
        <v>0</v>
      </c>
      <c r="C29" s="12">
        <v>0</v>
      </c>
      <c r="D29" s="19"/>
      <c r="E29" s="19"/>
      <c r="F29" s="20"/>
    </row>
    <row r="30" spans="1:6" ht="16.2" thickBot="1" x14ac:dyDescent="0.35">
      <c r="A30" s="13" t="s">
        <v>32</v>
      </c>
      <c r="B30" s="22">
        <v>1134850.1200000001</v>
      </c>
      <c r="C30" s="22">
        <v>3882480.2199999993</v>
      </c>
      <c r="D30" s="23"/>
      <c r="E30" s="23"/>
      <c r="F30" s="24"/>
    </row>
    <row r="33" spans="3:3" x14ac:dyDescent="0.3">
      <c r="C33" s="396"/>
    </row>
  </sheetData>
  <mergeCells count="1">
    <mergeCell ref="A14:H14"/>
  </mergeCells>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0688-BACC-4A74-AF83-54C5CA7C7DEF}">
  <dimension ref="A1:H29"/>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39.66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1379</v>
      </c>
      <c r="B2" s="4">
        <v>-2308783.2400000002</v>
      </c>
      <c r="C2" s="300" t="s">
        <v>1380</v>
      </c>
      <c r="D2" s="5">
        <v>1225000</v>
      </c>
      <c r="E2" s="3" t="s">
        <v>10</v>
      </c>
      <c r="F2" s="6"/>
      <c r="G2" s="5">
        <v>0</v>
      </c>
      <c r="H2" s="5">
        <v>-1100000</v>
      </c>
    </row>
    <row r="4" spans="1:8" x14ac:dyDescent="0.3">
      <c r="A4" s="8" t="s">
        <v>11</v>
      </c>
      <c r="D4" s="62"/>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0</v>
      </c>
      <c r="C16" s="16">
        <v>0</v>
      </c>
      <c r="D16" s="17"/>
      <c r="E16" s="17"/>
      <c r="F16" s="18"/>
    </row>
    <row r="17" spans="1:6" ht="16.2" thickBot="1" x14ac:dyDescent="0.35">
      <c r="A17" s="15" t="s">
        <v>25</v>
      </c>
      <c r="B17" s="12">
        <v>0</v>
      </c>
      <c r="C17" s="12">
        <v>0</v>
      </c>
      <c r="D17" s="19"/>
      <c r="E17" s="19"/>
      <c r="F17" s="20"/>
    </row>
    <row r="18" spans="1:6" ht="250.2" thickBot="1" x14ac:dyDescent="0.35">
      <c r="A18" s="15" t="s">
        <v>26</v>
      </c>
      <c r="B18" s="12">
        <v>954585.32</v>
      </c>
      <c r="C18" s="12">
        <v>2863755.96</v>
      </c>
      <c r="D18" s="19" t="s">
        <v>10</v>
      </c>
      <c r="E18" s="19" t="s">
        <v>1363</v>
      </c>
      <c r="F18" s="33" t="s">
        <v>1381</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34420.58</v>
      </c>
      <c r="C21" s="12">
        <v>46000</v>
      </c>
      <c r="D21" s="19" t="s">
        <v>24</v>
      </c>
      <c r="E21" s="19" t="s">
        <v>1363</v>
      </c>
      <c r="F21" s="20" t="s">
        <v>1382</v>
      </c>
    </row>
    <row r="22" spans="1:6" ht="16.2" thickBot="1" x14ac:dyDescent="0.35">
      <c r="A22" s="15" t="s">
        <v>30</v>
      </c>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989005.89999999991</v>
      </c>
      <c r="C29" s="22">
        <v>2909755.96</v>
      </c>
      <c r="D29" s="23"/>
      <c r="E29" s="23"/>
      <c r="F29" s="24"/>
    </row>
  </sheetData>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1A99F-3325-4686-B72D-EB4E79C2BEB0}">
  <dimension ref="A1:H24"/>
  <sheetViews>
    <sheetView topLeftCell="A10" workbookViewId="0">
      <selection activeCell="E11" sqref="E11:J11"/>
    </sheetView>
  </sheetViews>
  <sheetFormatPr defaultColWidth="9.109375" defaultRowHeight="15.6" x14ac:dyDescent="0.3"/>
  <cols>
    <col min="1" max="1" width="41.109375" style="7" customWidth="1"/>
    <col min="2" max="3" width="16.88671875" style="7" customWidth="1"/>
    <col min="4" max="4" width="16.44140625" style="7" customWidth="1"/>
    <col min="5" max="5" width="25.5546875" style="7" customWidth="1"/>
    <col min="6" max="6" width="26.109375" style="7" customWidth="1"/>
    <col min="7" max="7" width="16" style="7" customWidth="1"/>
    <col min="8" max="8" width="14.6640625" style="7" customWidth="1"/>
    <col min="9" max="16384" width="9.109375" style="7"/>
  </cols>
  <sheetData>
    <row r="1" spans="1:8" s="2" customFormat="1" ht="47.4" thickBot="1" x14ac:dyDescent="0.35">
      <c r="A1" s="1" t="s">
        <v>0</v>
      </c>
      <c r="B1" s="1" t="s">
        <v>1</v>
      </c>
      <c r="C1" s="1" t="s">
        <v>2</v>
      </c>
      <c r="D1" s="1" t="s">
        <v>1383</v>
      </c>
      <c r="E1" s="1" t="s">
        <v>4</v>
      </c>
      <c r="F1" s="1" t="s">
        <v>5</v>
      </c>
      <c r="G1" s="1" t="s">
        <v>6</v>
      </c>
      <c r="H1" s="1" t="s">
        <v>7</v>
      </c>
    </row>
    <row r="2" spans="1:8" ht="31.8" thickBot="1" x14ac:dyDescent="0.35">
      <c r="A2" s="3" t="s">
        <v>1384</v>
      </c>
      <c r="B2" s="4">
        <v>0</v>
      </c>
      <c r="C2" s="3"/>
      <c r="D2" s="5" t="s">
        <v>1385</v>
      </c>
      <c r="E2" s="3" t="s">
        <v>108</v>
      </c>
      <c r="F2" s="6" t="s">
        <v>1386</v>
      </c>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t="s">
        <v>1387</v>
      </c>
      <c r="B9" s="12">
        <v>23495.05</v>
      </c>
    </row>
    <row r="10" spans="1:8" ht="16.2" thickBot="1" x14ac:dyDescent="0.35">
      <c r="A10" s="11"/>
      <c r="B10" s="12">
        <v>0</v>
      </c>
    </row>
    <row r="11" spans="1:8" ht="16.2" thickBot="1" x14ac:dyDescent="0.35">
      <c r="A11" s="11"/>
      <c r="B11" s="10"/>
      <c r="C11" s="12">
        <v>23495.05</v>
      </c>
    </row>
    <row r="12" spans="1:8" x14ac:dyDescent="0.3">
      <c r="A12" s="13"/>
      <c r="C12" s="10" t="s">
        <v>9</v>
      </c>
    </row>
    <row r="14" spans="1:8" ht="46.8" x14ac:dyDescent="0.3">
      <c r="A14" s="1" t="s">
        <v>17</v>
      </c>
      <c r="B14" s="14" t="s">
        <v>18</v>
      </c>
      <c r="C14" s="1" t="s">
        <v>19</v>
      </c>
      <c r="D14" s="1" t="s">
        <v>20</v>
      </c>
      <c r="E14" s="1" t="s">
        <v>21</v>
      </c>
      <c r="F14" s="1" t="s">
        <v>22</v>
      </c>
    </row>
    <row r="15" spans="1:8" ht="16.2" thickBot="1" x14ac:dyDescent="0.35">
      <c r="A15" s="15" t="s">
        <v>1388</v>
      </c>
      <c r="B15" s="16">
        <v>7928.57</v>
      </c>
      <c r="C15" s="16">
        <v>9038.57</v>
      </c>
      <c r="D15" s="29" t="s">
        <v>24</v>
      </c>
      <c r="E15" s="17" t="s">
        <v>872</v>
      </c>
      <c r="F15" s="18" t="s">
        <v>1389</v>
      </c>
    </row>
    <row r="16" spans="1:8" ht="16.2" thickBot="1" x14ac:dyDescent="0.35">
      <c r="A16" s="15" t="s">
        <v>1390</v>
      </c>
      <c r="B16" s="16">
        <v>125</v>
      </c>
      <c r="C16" s="16">
        <v>605</v>
      </c>
      <c r="D16" s="29" t="s">
        <v>24</v>
      </c>
      <c r="E16" s="17" t="s">
        <v>872</v>
      </c>
      <c r="F16" s="18" t="s">
        <v>1389</v>
      </c>
    </row>
    <row r="17" spans="1:6" ht="16.2" thickBot="1" x14ac:dyDescent="0.35">
      <c r="A17" s="15" t="s">
        <v>25</v>
      </c>
      <c r="B17" s="12">
        <v>6542.31</v>
      </c>
      <c r="C17" s="12">
        <v>33542.31</v>
      </c>
      <c r="D17" s="29" t="s">
        <v>24</v>
      </c>
      <c r="E17" s="17" t="s">
        <v>872</v>
      </c>
      <c r="F17" s="18" t="s">
        <v>1389</v>
      </c>
    </row>
    <row r="18" spans="1:6" ht="16.2" thickBot="1" x14ac:dyDescent="0.35">
      <c r="A18" s="15" t="s">
        <v>1391</v>
      </c>
      <c r="B18" s="12">
        <v>1928.63</v>
      </c>
      <c r="C18" s="12">
        <v>3928.63</v>
      </c>
      <c r="D18" s="29" t="s">
        <v>24</v>
      </c>
      <c r="E18" s="19" t="s">
        <v>420</v>
      </c>
      <c r="F18" s="20"/>
    </row>
    <row r="19" spans="1:6" ht="16.2" thickBot="1" x14ac:dyDescent="0.35">
      <c r="A19" s="15" t="s">
        <v>30</v>
      </c>
      <c r="B19" s="12">
        <v>1198.6300000000001</v>
      </c>
      <c r="C19" s="12">
        <v>6198.63</v>
      </c>
      <c r="D19" s="29" t="s">
        <v>24</v>
      </c>
      <c r="E19" s="19" t="s">
        <v>872</v>
      </c>
      <c r="F19" s="18" t="s">
        <v>1389</v>
      </c>
    </row>
    <row r="20" spans="1:6" ht="16.2" thickBot="1" x14ac:dyDescent="0.35">
      <c r="A20" s="15" t="s">
        <v>1392</v>
      </c>
      <c r="B20" s="12">
        <v>4079.98</v>
      </c>
      <c r="C20" s="12">
        <v>5079.9799999999996</v>
      </c>
      <c r="D20" s="29" t="s">
        <v>24</v>
      </c>
      <c r="E20" s="19" t="s">
        <v>872</v>
      </c>
      <c r="F20" s="18" t="s">
        <v>1389</v>
      </c>
    </row>
    <row r="21" spans="1:6" ht="47.4" thickBot="1" x14ac:dyDescent="0.35">
      <c r="A21" s="121" t="s">
        <v>1393</v>
      </c>
      <c r="B21" s="12">
        <v>16317.7</v>
      </c>
      <c r="C21" s="12">
        <v>19517.7</v>
      </c>
      <c r="D21" s="29" t="s">
        <v>24</v>
      </c>
      <c r="E21" s="19" t="s">
        <v>872</v>
      </c>
      <c r="F21" s="18" t="s">
        <v>1389</v>
      </c>
    </row>
    <row r="22" spans="1:6" ht="16.2" thickBot="1" x14ac:dyDescent="0.35">
      <c r="A22" s="15" t="s">
        <v>1394</v>
      </c>
      <c r="B22" s="12">
        <v>36078.21</v>
      </c>
      <c r="C22" s="12">
        <v>46781.8</v>
      </c>
      <c r="D22" s="29" t="s">
        <v>24</v>
      </c>
      <c r="E22" s="19" t="s">
        <v>872</v>
      </c>
      <c r="F22" s="18" t="s">
        <v>1389</v>
      </c>
    </row>
    <row r="23" spans="1:6" ht="16.2" thickBot="1" x14ac:dyDescent="0.35">
      <c r="A23" s="21"/>
      <c r="B23" s="12">
        <v>0</v>
      </c>
      <c r="C23" s="12">
        <v>0</v>
      </c>
      <c r="D23" s="19"/>
      <c r="E23" s="19"/>
      <c r="F23" s="20"/>
    </row>
    <row r="24" spans="1:6" ht="16.2" thickBot="1" x14ac:dyDescent="0.35">
      <c r="A24" s="13" t="s">
        <v>32</v>
      </c>
      <c r="B24" s="22">
        <v>74199.03</v>
      </c>
      <c r="C24" s="22">
        <v>124692.62</v>
      </c>
      <c r="D24" s="23"/>
      <c r="E24" s="23"/>
      <c r="F24" s="24"/>
    </row>
  </sheetData>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D0FE-E0F5-4057-A114-75CF401A6A2A}">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2206</v>
      </c>
      <c r="B2" s="390">
        <v>52948</v>
      </c>
      <c r="C2" s="389" t="s">
        <v>2207</v>
      </c>
      <c r="D2" s="391">
        <v>6798000</v>
      </c>
      <c r="E2" s="389" t="s">
        <v>10</v>
      </c>
      <c r="F2" s="392"/>
      <c r="G2" s="391">
        <v>0</v>
      </c>
      <c r="H2" s="391">
        <v>0</v>
      </c>
    </row>
    <row r="4" spans="1:8" x14ac:dyDescent="0.3">
      <c r="A4" s="386" t="s">
        <v>11</v>
      </c>
    </row>
    <row r="6" spans="1:8" ht="16.2" thickBot="1" x14ac:dyDescent="0.35">
      <c r="A6" s="524" t="s">
        <v>12</v>
      </c>
      <c r="B6" s="10" t="s">
        <v>9</v>
      </c>
    </row>
    <row r="7" spans="1:8" ht="16.2" thickBot="1" x14ac:dyDescent="0.35">
      <c r="A7" s="523" t="s">
        <v>13</v>
      </c>
      <c r="B7" s="374">
        <v>52948</v>
      </c>
    </row>
    <row r="8" spans="1:8" ht="16.2" thickBot="1" x14ac:dyDescent="0.35">
      <c r="A8" s="523" t="s">
        <v>14</v>
      </c>
      <c r="B8" s="374">
        <v>0</v>
      </c>
    </row>
    <row r="9" spans="1:8" ht="16.2" thickBot="1" x14ac:dyDescent="0.35">
      <c r="A9" s="523"/>
      <c r="B9" s="374">
        <v>0</v>
      </c>
    </row>
    <row r="10" spans="1:8" ht="16.2" thickBot="1" x14ac:dyDescent="0.35">
      <c r="A10" s="523"/>
      <c r="B10" s="374">
        <v>0</v>
      </c>
    </row>
    <row r="11" spans="1:8" ht="16.2" thickBot="1" x14ac:dyDescent="0.35">
      <c r="A11" s="523"/>
      <c r="B11" s="10"/>
      <c r="C11" s="374">
        <f>SUM(B7:B10)</f>
        <v>52948</v>
      </c>
    </row>
    <row r="12" spans="1:8" x14ac:dyDescent="0.3">
      <c r="A12" s="522"/>
      <c r="C12" s="10" t="s">
        <v>9</v>
      </c>
    </row>
    <row r="14" spans="1:8" ht="31.2" x14ac:dyDescent="0.3">
      <c r="A14" s="384" t="s">
        <v>17</v>
      </c>
      <c r="B14" s="385" t="s">
        <v>18</v>
      </c>
      <c r="C14" s="384" t="s">
        <v>19</v>
      </c>
      <c r="D14" s="384" t="s">
        <v>20</v>
      </c>
      <c r="E14" s="384" t="s">
        <v>21</v>
      </c>
      <c r="F14" s="384" t="s">
        <v>22</v>
      </c>
    </row>
    <row r="15" spans="1:8" ht="16.2" thickBot="1" x14ac:dyDescent="0.35">
      <c r="A15" s="521" t="s">
        <v>23</v>
      </c>
      <c r="B15" s="382">
        <v>4000</v>
      </c>
      <c r="C15" s="382">
        <v>6000</v>
      </c>
      <c r="D15" s="359" t="s">
        <v>24</v>
      </c>
      <c r="E15" s="359" t="s">
        <v>79</v>
      </c>
      <c r="F15" s="383" t="s">
        <v>2208</v>
      </c>
    </row>
    <row r="16" spans="1:8" ht="16.2" thickBot="1" x14ac:dyDescent="0.35">
      <c r="A16" s="521" t="s">
        <v>25</v>
      </c>
      <c r="B16" s="374">
        <v>15000</v>
      </c>
      <c r="C16" s="374">
        <v>15000</v>
      </c>
      <c r="D16" s="387" t="s">
        <v>24</v>
      </c>
      <c r="E16" s="387" t="s">
        <v>79</v>
      </c>
      <c r="F16" s="377" t="s">
        <v>2209</v>
      </c>
    </row>
    <row r="17" spans="1:6" ht="16.2" thickBot="1" x14ac:dyDescent="0.35">
      <c r="A17" s="521" t="s">
        <v>26</v>
      </c>
      <c r="B17" s="374">
        <v>0</v>
      </c>
      <c r="C17" s="374">
        <v>0</v>
      </c>
      <c r="D17" s="387"/>
      <c r="E17" s="387"/>
      <c r="F17" s="377"/>
    </row>
    <row r="18" spans="1:6" ht="16.2" thickBot="1" x14ac:dyDescent="0.35">
      <c r="A18" s="521" t="s">
        <v>27</v>
      </c>
      <c r="B18" s="374">
        <v>0</v>
      </c>
      <c r="C18" s="374">
        <v>0</v>
      </c>
      <c r="D18" s="387"/>
      <c r="E18" s="387"/>
      <c r="F18" s="377"/>
    </row>
    <row r="19" spans="1:6" ht="16.2" thickBot="1" x14ac:dyDescent="0.35">
      <c r="A19" s="521" t="s">
        <v>28</v>
      </c>
      <c r="B19" s="374">
        <v>1200</v>
      </c>
      <c r="C19" s="374">
        <v>1200</v>
      </c>
      <c r="D19" s="387" t="s">
        <v>24</v>
      </c>
      <c r="E19" s="387"/>
      <c r="F19" s="377" t="s">
        <v>2210</v>
      </c>
    </row>
    <row r="20" spans="1:6" ht="16.2" thickBot="1" x14ac:dyDescent="0.35">
      <c r="A20" s="521" t="s">
        <v>29</v>
      </c>
      <c r="B20" s="374">
        <v>30044</v>
      </c>
      <c r="C20" s="374">
        <v>40000</v>
      </c>
      <c r="D20" s="387" t="s">
        <v>24</v>
      </c>
      <c r="E20" s="387"/>
      <c r="F20" s="377" t="s">
        <v>2211</v>
      </c>
    </row>
    <row r="21" spans="1:6" ht="16.2" thickBot="1" x14ac:dyDescent="0.35">
      <c r="A21" s="521" t="s">
        <v>30</v>
      </c>
      <c r="B21" s="374">
        <v>4000</v>
      </c>
      <c r="C21" s="374">
        <v>6500</v>
      </c>
      <c r="D21" s="387" t="s">
        <v>24</v>
      </c>
      <c r="E21" s="387"/>
      <c r="F21" s="377" t="s">
        <v>2212</v>
      </c>
    </row>
    <row r="22" spans="1:6" ht="16.2" thickBot="1" x14ac:dyDescent="0.35">
      <c r="A22" s="523"/>
      <c r="B22" s="374">
        <v>0</v>
      </c>
      <c r="C22" s="374">
        <v>0</v>
      </c>
      <c r="D22" s="387"/>
      <c r="E22" s="387"/>
      <c r="F22" s="377"/>
    </row>
    <row r="23" spans="1:6" ht="16.2" thickBot="1" x14ac:dyDescent="0.35">
      <c r="A23" s="523"/>
      <c r="B23" s="374">
        <v>0</v>
      </c>
      <c r="C23" s="374">
        <v>0</v>
      </c>
      <c r="D23" s="387"/>
      <c r="E23" s="387"/>
      <c r="F23" s="377"/>
    </row>
    <row r="24" spans="1:6" ht="16.2" thickBot="1" x14ac:dyDescent="0.35">
      <c r="A24" s="523"/>
      <c r="B24" s="374">
        <v>0</v>
      </c>
      <c r="C24" s="374">
        <v>0</v>
      </c>
      <c r="D24" s="387"/>
      <c r="E24" s="387"/>
      <c r="F24" s="377"/>
    </row>
    <row r="25" spans="1:6" ht="16.2" thickBot="1" x14ac:dyDescent="0.35">
      <c r="A25" s="523"/>
      <c r="B25" s="374">
        <v>0</v>
      </c>
      <c r="C25" s="374">
        <v>0</v>
      </c>
      <c r="D25" s="387"/>
      <c r="E25" s="387"/>
      <c r="F25" s="377"/>
    </row>
    <row r="26" spans="1:6" ht="16.2" thickBot="1" x14ac:dyDescent="0.35">
      <c r="A26" s="523"/>
      <c r="B26" s="374">
        <v>0</v>
      </c>
      <c r="C26" s="374">
        <v>0</v>
      </c>
      <c r="D26" s="387"/>
      <c r="E26" s="387"/>
      <c r="F26" s="377"/>
    </row>
    <row r="27" spans="1:6" ht="16.2" thickBot="1" x14ac:dyDescent="0.35">
      <c r="A27" s="378"/>
      <c r="B27" s="374">
        <v>0</v>
      </c>
      <c r="C27" s="374">
        <v>0</v>
      </c>
      <c r="D27" s="387"/>
      <c r="E27" s="387"/>
      <c r="F27" s="377"/>
    </row>
    <row r="28" spans="1:6" ht="16.2" thickBot="1" x14ac:dyDescent="0.35">
      <c r="A28" s="522" t="s">
        <v>32</v>
      </c>
      <c r="B28" s="379">
        <f>SUM(B15:B27)</f>
        <v>54244</v>
      </c>
      <c r="C28" s="379">
        <f>SUM(C15:C27)</f>
        <v>68700</v>
      </c>
      <c r="D28" s="388"/>
      <c r="E28" s="388"/>
      <c r="F28" s="380"/>
    </row>
  </sheetData>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4D72-D761-4A27-993E-C71E09B683D1}">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17.6640625" style="372" bestFit="1" customWidth="1"/>
    <col min="3" max="3" width="35" style="372" bestFit="1" customWidth="1"/>
    <col min="4" max="4" width="20.33203125" style="372" bestFit="1" customWidth="1"/>
    <col min="5" max="5" width="29.33203125" style="372" bestFit="1" customWidth="1"/>
    <col min="6" max="6" width="17.33203125" style="372" bestFit="1"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340</v>
      </c>
      <c r="B2" s="390">
        <f>12050+10000+2000</f>
        <v>24050</v>
      </c>
      <c r="C2" s="389" t="s">
        <v>2317</v>
      </c>
      <c r="D2" s="391">
        <v>5190345</v>
      </c>
      <c r="E2" s="389" t="s">
        <v>10</v>
      </c>
      <c r="F2" s="392"/>
      <c r="G2" s="391">
        <v>0</v>
      </c>
      <c r="H2" s="391">
        <v>0</v>
      </c>
    </row>
    <row r="4" spans="1:8" x14ac:dyDescent="0.3">
      <c r="A4" s="386" t="s">
        <v>11</v>
      </c>
    </row>
    <row r="6" spans="1:8" ht="16.2" thickBot="1" x14ac:dyDescent="0.35">
      <c r="A6" s="563" t="s">
        <v>12</v>
      </c>
      <c r="B6" s="10" t="s">
        <v>9</v>
      </c>
    </row>
    <row r="7" spans="1:8" ht="16.2" thickBot="1" x14ac:dyDescent="0.35">
      <c r="A7" s="562" t="s">
        <v>51</v>
      </c>
      <c r="B7" s="374">
        <v>0</v>
      </c>
    </row>
    <row r="8" spans="1:8" ht="16.2" thickBot="1" x14ac:dyDescent="0.35">
      <c r="A8" s="562" t="s">
        <v>53</v>
      </c>
      <c r="B8" s="374">
        <v>0</v>
      </c>
    </row>
    <row r="9" spans="1:8" ht="16.2" thickBot="1" x14ac:dyDescent="0.35">
      <c r="A9" s="562" t="s">
        <v>55</v>
      </c>
      <c r="B9" s="374">
        <v>2000</v>
      </c>
    </row>
    <row r="10" spans="1:8" ht="16.2" thickBot="1" x14ac:dyDescent="0.35">
      <c r="A10" s="562" t="s">
        <v>57</v>
      </c>
      <c r="B10" s="374">
        <v>11000</v>
      </c>
    </row>
    <row r="11" spans="1:8" ht="16.2" thickBot="1" x14ac:dyDescent="0.35">
      <c r="A11" s="562"/>
      <c r="B11" s="374">
        <v>0</v>
      </c>
    </row>
    <row r="12" spans="1:8" ht="16.2" thickBot="1" x14ac:dyDescent="0.35">
      <c r="A12" s="562"/>
      <c r="B12" s="10"/>
      <c r="C12" s="374">
        <f>SUM(B7:B11)</f>
        <v>13000</v>
      </c>
    </row>
    <row r="13" spans="1:8" x14ac:dyDescent="0.3">
      <c r="A13" s="561"/>
      <c r="C13" s="10" t="s">
        <v>9</v>
      </c>
    </row>
    <row r="15" spans="1:8" ht="31.2" x14ac:dyDescent="0.3">
      <c r="A15" s="384" t="s">
        <v>17</v>
      </c>
      <c r="B15" s="385" t="s">
        <v>18</v>
      </c>
      <c r="C15" s="384" t="s">
        <v>19</v>
      </c>
      <c r="D15" s="384" t="s">
        <v>20</v>
      </c>
      <c r="E15" s="384" t="s">
        <v>21</v>
      </c>
      <c r="F15" s="384" t="s">
        <v>22</v>
      </c>
    </row>
    <row r="16" spans="1:8" ht="16.2" thickBot="1" x14ac:dyDescent="0.35">
      <c r="A16" s="560" t="s">
        <v>23</v>
      </c>
      <c r="B16" s="382">
        <f>108652.43+2000</f>
        <v>110652.43</v>
      </c>
      <c r="C16" s="382">
        <f>20255.98+8000+10000+B16</f>
        <v>148908.40999999997</v>
      </c>
      <c r="D16" s="359" t="s">
        <v>24</v>
      </c>
      <c r="E16" s="359"/>
      <c r="F16" s="383"/>
    </row>
    <row r="17" spans="1:6" ht="16.2" thickBot="1" x14ac:dyDescent="0.35">
      <c r="A17" s="560" t="s">
        <v>25</v>
      </c>
      <c r="B17" s="374">
        <f>10200+4000</f>
        <v>14200</v>
      </c>
      <c r="C17" s="374">
        <f>12700+5000+10000+B17</f>
        <v>41900</v>
      </c>
      <c r="D17" s="359" t="s">
        <v>24</v>
      </c>
      <c r="E17" s="387"/>
      <c r="F17" s="377"/>
    </row>
    <row r="18" spans="1:6" ht="16.2" thickBot="1" x14ac:dyDescent="0.35">
      <c r="A18" s="560" t="s">
        <v>26</v>
      </c>
      <c r="B18" s="374">
        <v>25618.29</v>
      </c>
      <c r="C18" s="374">
        <f>40210.15+B18</f>
        <v>65828.44</v>
      </c>
      <c r="D18" s="359" t="s">
        <v>24</v>
      </c>
      <c r="E18" s="387"/>
      <c r="F18" s="377"/>
    </row>
    <row r="19" spans="1:6" ht="16.2" thickBot="1" x14ac:dyDescent="0.35">
      <c r="A19" s="560" t="s">
        <v>27</v>
      </c>
      <c r="B19" s="374">
        <v>1100</v>
      </c>
      <c r="C19" s="374">
        <f>1000+2000+B19</f>
        <v>4100</v>
      </c>
      <c r="D19" s="359" t="s">
        <v>24</v>
      </c>
      <c r="E19" s="387"/>
      <c r="F19" s="377"/>
    </row>
    <row r="20" spans="1:6" ht="16.2" thickBot="1" x14ac:dyDescent="0.35">
      <c r="A20" s="560" t="s">
        <v>28</v>
      </c>
      <c r="B20" s="374">
        <v>0</v>
      </c>
      <c r="C20" s="374">
        <v>0</v>
      </c>
      <c r="D20" s="387"/>
      <c r="E20" s="387"/>
      <c r="F20" s="377"/>
    </row>
    <row r="21" spans="1:6" ht="16.2" thickBot="1" x14ac:dyDescent="0.35">
      <c r="A21" s="560" t="s">
        <v>29</v>
      </c>
      <c r="B21" s="374">
        <v>1200</v>
      </c>
      <c r="C21" s="374">
        <f>53400+18640+14121+9500+19000+B21</f>
        <v>115861</v>
      </c>
      <c r="D21" s="359" t="s">
        <v>24</v>
      </c>
      <c r="E21" s="387"/>
      <c r="F21" s="377"/>
    </row>
    <row r="22" spans="1:6" ht="16.2" thickBot="1" x14ac:dyDescent="0.35">
      <c r="A22" s="560" t="s">
        <v>30</v>
      </c>
      <c r="B22" s="374">
        <f>18718.85+2000</f>
        <v>20718.849999999999</v>
      </c>
      <c r="C22" s="374">
        <f>29018.85+5000+5000+10000+B22</f>
        <v>69737.7</v>
      </c>
      <c r="D22" s="359" t="s">
        <v>24</v>
      </c>
      <c r="E22" s="387"/>
      <c r="F22" s="377"/>
    </row>
    <row r="23" spans="1:6" ht="16.2" thickBot="1" x14ac:dyDescent="0.35">
      <c r="A23" s="562"/>
      <c r="B23" s="374">
        <v>0</v>
      </c>
      <c r="C23" s="374">
        <v>0</v>
      </c>
      <c r="D23" s="387"/>
      <c r="E23" s="387"/>
      <c r="F23" s="377"/>
    </row>
    <row r="24" spans="1:6" ht="16.2" thickBot="1" x14ac:dyDescent="0.35">
      <c r="A24" s="562"/>
      <c r="B24" s="374">
        <v>0</v>
      </c>
      <c r="C24" s="374">
        <v>0</v>
      </c>
      <c r="D24" s="387"/>
      <c r="E24" s="387"/>
      <c r="F24" s="377"/>
    </row>
    <row r="25" spans="1:6" ht="16.2" thickBot="1" x14ac:dyDescent="0.35">
      <c r="A25" s="562"/>
      <c r="B25" s="374">
        <v>0</v>
      </c>
      <c r="C25" s="374">
        <v>0</v>
      </c>
      <c r="D25" s="387"/>
      <c r="E25" s="387"/>
      <c r="F25" s="377"/>
    </row>
    <row r="26" spans="1:6" ht="16.2" thickBot="1" x14ac:dyDescent="0.35">
      <c r="A26" s="562"/>
      <c r="B26" s="374">
        <v>0</v>
      </c>
      <c r="C26" s="374">
        <v>0</v>
      </c>
      <c r="D26" s="387"/>
      <c r="E26" s="387"/>
      <c r="F26" s="377"/>
    </row>
    <row r="27" spans="1:6" ht="16.2" thickBot="1" x14ac:dyDescent="0.35">
      <c r="A27" s="562"/>
      <c r="B27" s="374">
        <v>0</v>
      </c>
      <c r="C27" s="374">
        <v>0</v>
      </c>
      <c r="D27" s="387"/>
      <c r="E27" s="387"/>
      <c r="F27" s="377"/>
    </row>
    <row r="28" spans="1:6" ht="16.2" thickBot="1" x14ac:dyDescent="0.35">
      <c r="A28" s="378"/>
      <c r="B28" s="374">
        <v>0</v>
      </c>
      <c r="C28" s="374">
        <v>0</v>
      </c>
      <c r="D28" s="387"/>
      <c r="E28" s="387"/>
      <c r="F28" s="377"/>
    </row>
    <row r="29" spans="1:6" ht="16.2" thickBot="1" x14ac:dyDescent="0.35">
      <c r="A29" s="561" t="s">
        <v>32</v>
      </c>
      <c r="B29" s="379">
        <f>SUM(B16:B28)</f>
        <v>173489.57</v>
      </c>
      <c r="C29" s="379">
        <f>SUM(C16:C28)</f>
        <v>446335.55</v>
      </c>
      <c r="D29" s="388"/>
      <c r="E29" s="388"/>
      <c r="F29" s="380"/>
    </row>
  </sheetData>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1A36-F42F-4F5E-B4DC-D9044C327AD8}">
  <dimension ref="A1:H29"/>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1395</v>
      </c>
      <c r="F1" s="1" t="s">
        <v>1396</v>
      </c>
      <c r="G1" s="1" t="s">
        <v>6</v>
      </c>
      <c r="H1" s="1" t="s">
        <v>7</v>
      </c>
    </row>
    <row r="2" spans="1:8" ht="172.2" thickBot="1" x14ac:dyDescent="0.35">
      <c r="A2" s="3" t="s">
        <v>1397</v>
      </c>
      <c r="B2" s="4" t="s">
        <v>1398</v>
      </c>
      <c r="C2" s="3" t="s">
        <v>1399</v>
      </c>
      <c r="D2" s="198">
        <v>26373671</v>
      </c>
      <c r="E2" s="3" t="s">
        <v>1400</v>
      </c>
      <c r="F2" s="6" t="s">
        <v>1401</v>
      </c>
      <c r="G2" s="5" t="s">
        <v>1402</v>
      </c>
      <c r="H2" s="5" t="s">
        <v>1402</v>
      </c>
    </row>
    <row r="3" spans="1:8" hidden="1" x14ac:dyDescent="0.3"/>
    <row r="4" spans="1:8" x14ac:dyDescent="0.3">
      <c r="A4" s="8" t="s">
        <v>11</v>
      </c>
    </row>
    <row r="6" spans="1:8" ht="16.2" thickBot="1" x14ac:dyDescent="0.35">
      <c r="A6" s="9" t="s">
        <v>12</v>
      </c>
      <c r="B6" s="10" t="s">
        <v>9</v>
      </c>
    </row>
    <row r="7" spans="1:8" ht="16.2" thickBot="1" x14ac:dyDescent="0.35">
      <c r="A7" s="11" t="s">
        <v>13</v>
      </c>
      <c r="B7" s="12"/>
    </row>
    <row r="8" spans="1:8" ht="16.2" thickBot="1" x14ac:dyDescent="0.35">
      <c r="A8" s="11" t="s">
        <v>14</v>
      </c>
      <c r="B8" s="12"/>
    </row>
    <row r="9" spans="1:8" ht="16.2" thickBot="1" x14ac:dyDescent="0.35">
      <c r="A9" s="11"/>
      <c r="B9" s="12">
        <v>210000</v>
      </c>
    </row>
    <row r="10" spans="1:8" ht="16.2" thickBot="1" x14ac:dyDescent="0.35">
      <c r="A10" s="11"/>
      <c r="B10" s="12"/>
    </row>
    <row r="11" spans="1:8" ht="16.2" thickBot="1" x14ac:dyDescent="0.35">
      <c r="A11" s="11"/>
      <c r="B11" s="10"/>
      <c r="C11" s="12">
        <v>2750000</v>
      </c>
    </row>
    <row r="12" spans="1:8" x14ac:dyDescent="0.3">
      <c r="A12" s="13"/>
      <c r="C12" s="301" t="s">
        <v>1403</v>
      </c>
    </row>
    <row r="14" spans="1:8" ht="31.2" x14ac:dyDescent="0.3">
      <c r="A14" s="1" t="s">
        <v>17</v>
      </c>
      <c r="B14" s="14" t="s">
        <v>18</v>
      </c>
      <c r="C14" s="1" t="s">
        <v>19</v>
      </c>
      <c r="D14" s="1" t="s">
        <v>20</v>
      </c>
      <c r="E14" s="1" t="s">
        <v>21</v>
      </c>
      <c r="F14" s="1" t="s">
        <v>22</v>
      </c>
    </row>
    <row r="15" spans="1:8" ht="16.2" thickBot="1" x14ac:dyDescent="0.35">
      <c r="A15" s="15" t="s">
        <v>23</v>
      </c>
      <c r="B15" s="16">
        <v>17595.29</v>
      </c>
      <c r="C15" s="16">
        <v>6652.26</v>
      </c>
      <c r="D15" s="17" t="s">
        <v>423</v>
      </c>
      <c r="E15" s="17" t="s">
        <v>1404</v>
      </c>
      <c r="F15" s="18" t="s">
        <v>1405</v>
      </c>
    </row>
    <row r="16" spans="1:8" ht="16.2" thickBot="1" x14ac:dyDescent="0.35">
      <c r="A16" s="15" t="s">
        <v>25</v>
      </c>
      <c r="B16" s="12">
        <v>27237.17</v>
      </c>
      <c r="C16" s="12">
        <v>41373.11</v>
      </c>
      <c r="D16" s="17" t="s">
        <v>423</v>
      </c>
      <c r="E16" s="19" t="s">
        <v>1404</v>
      </c>
      <c r="F16" s="18" t="s">
        <v>1405</v>
      </c>
    </row>
    <row r="17" spans="1:6" ht="16.2" thickBot="1" x14ac:dyDescent="0.35">
      <c r="A17" s="15" t="s">
        <v>26</v>
      </c>
      <c r="B17" s="12">
        <v>7373</v>
      </c>
      <c r="C17" s="12">
        <v>5156.38</v>
      </c>
      <c r="D17" s="17" t="s">
        <v>423</v>
      </c>
      <c r="E17" s="19" t="s">
        <v>1404</v>
      </c>
      <c r="F17" s="18" t="s">
        <v>1405</v>
      </c>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143303.35</v>
      </c>
      <c r="C20" s="12" t="s">
        <v>665</v>
      </c>
      <c r="D20" s="19" t="s">
        <v>1406</v>
      </c>
      <c r="E20" s="19" t="s">
        <v>1404</v>
      </c>
      <c r="F20" s="18" t="s">
        <v>1405</v>
      </c>
    </row>
    <row r="21" spans="1:6" ht="16.2" thickBot="1" x14ac:dyDescent="0.35">
      <c r="A21" s="15" t="s">
        <v>30</v>
      </c>
      <c r="B21" s="12">
        <v>31526.980000000003</v>
      </c>
      <c r="C21" s="12">
        <v>36553.449999999997</v>
      </c>
      <c r="D21" s="17" t="s">
        <v>423</v>
      </c>
      <c r="E21" s="19" t="s">
        <v>1404</v>
      </c>
      <c r="F21" s="18" t="s">
        <v>1405</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227035.79</v>
      </c>
      <c r="C28" s="22">
        <v>89735.2</v>
      </c>
      <c r="D28" s="23"/>
      <c r="E28" s="23"/>
      <c r="F28" s="24"/>
    </row>
    <row r="29" spans="1:6" x14ac:dyDescent="0.3">
      <c r="C29" s="396">
        <f>SUM(B28:C28)</f>
        <v>316770.99</v>
      </c>
    </row>
  </sheetData>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348B5-299A-40A9-9E3A-7A8581530936}">
  <dimension ref="A1:H28"/>
  <sheetViews>
    <sheetView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c r="B2" s="390">
        <v>0</v>
      </c>
      <c r="C2" s="389" t="s">
        <v>9</v>
      </c>
      <c r="D2" s="391">
        <v>0</v>
      </c>
      <c r="E2" s="389"/>
      <c r="F2" s="392"/>
      <c r="G2" s="391">
        <v>0</v>
      </c>
      <c r="H2" s="391">
        <v>0</v>
      </c>
    </row>
    <row r="4" spans="1:8" x14ac:dyDescent="0.3">
      <c r="A4" s="386" t="s">
        <v>11</v>
      </c>
    </row>
    <row r="6" spans="1:8" ht="16.2" thickBot="1" x14ac:dyDescent="0.35">
      <c r="A6" s="381" t="s">
        <v>12</v>
      </c>
      <c r="B6" s="10" t="s">
        <v>9</v>
      </c>
    </row>
    <row r="7" spans="1:8" ht="16.2" thickBot="1" x14ac:dyDescent="0.35">
      <c r="A7" s="373" t="s">
        <v>13</v>
      </c>
      <c r="B7" s="374">
        <v>0</v>
      </c>
    </row>
    <row r="8" spans="1:8" ht="16.2" thickBot="1" x14ac:dyDescent="0.35">
      <c r="A8" s="373" t="s">
        <v>14</v>
      </c>
      <c r="B8" s="374">
        <v>0</v>
      </c>
    </row>
    <row r="9" spans="1:8" ht="16.2" thickBot="1" x14ac:dyDescent="0.35">
      <c r="A9" s="373"/>
      <c r="B9" s="374">
        <v>0</v>
      </c>
    </row>
    <row r="10" spans="1:8" ht="16.2" thickBot="1" x14ac:dyDescent="0.35">
      <c r="A10" s="373"/>
      <c r="B10" s="374">
        <v>0</v>
      </c>
    </row>
    <row r="11" spans="1:8" ht="16.2" thickBot="1" x14ac:dyDescent="0.35">
      <c r="A11" s="373"/>
      <c r="B11" s="10"/>
      <c r="C11" s="374">
        <f>SUM(B7:B10)</f>
        <v>0</v>
      </c>
    </row>
    <row r="12" spans="1:8" x14ac:dyDescent="0.3">
      <c r="A12" s="371"/>
      <c r="C12" s="10" t="s">
        <v>9</v>
      </c>
    </row>
    <row r="14" spans="1:8" ht="31.2" x14ac:dyDescent="0.3">
      <c r="A14" s="384" t="s">
        <v>17</v>
      </c>
      <c r="B14" s="385" t="s">
        <v>18</v>
      </c>
      <c r="C14" s="384" t="s">
        <v>19</v>
      </c>
      <c r="D14" s="384" t="s">
        <v>20</v>
      </c>
      <c r="E14" s="384" t="s">
        <v>21</v>
      </c>
      <c r="F14" s="384" t="s">
        <v>22</v>
      </c>
    </row>
    <row r="15" spans="1:8" ht="16.2" thickBot="1" x14ac:dyDescent="0.35">
      <c r="A15" s="376" t="s">
        <v>23</v>
      </c>
      <c r="B15" s="382">
        <v>41529.31</v>
      </c>
      <c r="C15" s="382" t="s">
        <v>665</v>
      </c>
      <c r="D15" s="359" t="s">
        <v>423</v>
      </c>
      <c r="E15" s="359" t="s">
        <v>79</v>
      </c>
      <c r="F15" s="383" t="s">
        <v>1405</v>
      </c>
    </row>
    <row r="16" spans="1:8" ht="16.2" thickBot="1" x14ac:dyDescent="0.35">
      <c r="A16" s="376" t="s">
        <v>25</v>
      </c>
      <c r="B16" s="374">
        <v>660</v>
      </c>
      <c r="C16" s="374">
        <v>663851.25</v>
      </c>
      <c r="D16" s="387" t="s">
        <v>423</v>
      </c>
      <c r="E16" s="359" t="s">
        <v>2002</v>
      </c>
      <c r="F16" s="383" t="s">
        <v>2003</v>
      </c>
    </row>
    <row r="17" spans="1:6" ht="16.2" thickBot="1" x14ac:dyDescent="0.35">
      <c r="A17" s="376" t="s">
        <v>26</v>
      </c>
      <c r="B17" s="374">
        <v>0</v>
      </c>
      <c r="C17" s="374">
        <v>0</v>
      </c>
      <c r="D17" s="387"/>
      <c r="E17" s="387"/>
      <c r="F17" s="377"/>
    </row>
    <row r="18" spans="1:6" ht="16.2" thickBot="1" x14ac:dyDescent="0.35">
      <c r="A18" s="376" t="s">
        <v>27</v>
      </c>
      <c r="B18" s="374">
        <v>0</v>
      </c>
      <c r="C18" s="374">
        <v>0</v>
      </c>
      <c r="D18" s="387"/>
      <c r="E18" s="387"/>
      <c r="F18" s="377"/>
    </row>
    <row r="19" spans="1:6" ht="16.2" thickBot="1" x14ac:dyDescent="0.35">
      <c r="A19" s="376" t="s">
        <v>28</v>
      </c>
      <c r="B19" s="374">
        <v>0</v>
      </c>
      <c r="C19" s="374">
        <v>0</v>
      </c>
      <c r="D19" s="387"/>
      <c r="E19" s="387"/>
      <c r="F19" s="377"/>
    </row>
    <row r="20" spans="1:6" ht="16.2" thickBot="1" x14ac:dyDescent="0.35">
      <c r="A20" s="376" t="s">
        <v>29</v>
      </c>
      <c r="B20" s="374">
        <v>15953.63</v>
      </c>
      <c r="C20" s="382" t="s">
        <v>665</v>
      </c>
      <c r="D20" s="387" t="s">
        <v>423</v>
      </c>
      <c r="E20" s="359" t="s">
        <v>79</v>
      </c>
      <c r="F20" s="383" t="s">
        <v>1405</v>
      </c>
    </row>
    <row r="21" spans="1:6" ht="16.2" thickBot="1" x14ac:dyDescent="0.35">
      <c r="A21" s="376" t="s">
        <v>30</v>
      </c>
      <c r="B21" s="374">
        <v>0</v>
      </c>
      <c r="C21" s="374">
        <v>0</v>
      </c>
      <c r="D21" s="387"/>
      <c r="E21" s="387"/>
      <c r="F21" s="377"/>
    </row>
    <row r="22" spans="1:6" ht="16.2" thickBot="1" x14ac:dyDescent="0.35">
      <c r="A22" s="373"/>
      <c r="B22" s="374">
        <v>0</v>
      </c>
      <c r="C22" s="374">
        <v>0</v>
      </c>
      <c r="D22" s="387"/>
      <c r="E22" s="387"/>
      <c r="F22" s="377"/>
    </row>
    <row r="23" spans="1:6" ht="16.2" thickBot="1" x14ac:dyDescent="0.35">
      <c r="A23" s="373"/>
      <c r="B23" s="374">
        <v>0</v>
      </c>
      <c r="C23" s="374">
        <v>0</v>
      </c>
      <c r="D23" s="387"/>
      <c r="E23" s="387"/>
      <c r="F23" s="377"/>
    </row>
    <row r="24" spans="1:6" ht="16.2" thickBot="1" x14ac:dyDescent="0.35">
      <c r="A24" s="373"/>
      <c r="B24" s="374">
        <v>0</v>
      </c>
      <c r="C24" s="374">
        <v>0</v>
      </c>
      <c r="D24" s="387"/>
      <c r="E24" s="387"/>
      <c r="F24" s="377"/>
    </row>
    <row r="25" spans="1:6" ht="16.2" thickBot="1" x14ac:dyDescent="0.35">
      <c r="A25" s="373"/>
      <c r="B25" s="374">
        <v>0</v>
      </c>
      <c r="C25" s="374">
        <v>0</v>
      </c>
      <c r="D25" s="387"/>
      <c r="E25" s="387"/>
      <c r="F25" s="377"/>
    </row>
    <row r="26" spans="1:6" ht="16.2" thickBot="1" x14ac:dyDescent="0.35">
      <c r="A26" s="373"/>
      <c r="B26" s="374">
        <v>0</v>
      </c>
      <c r="C26" s="374">
        <v>0</v>
      </c>
      <c r="D26" s="387"/>
      <c r="E26" s="387"/>
      <c r="F26" s="377"/>
    </row>
    <row r="27" spans="1:6" ht="16.2" thickBot="1" x14ac:dyDescent="0.35">
      <c r="A27" s="378"/>
      <c r="B27" s="374">
        <v>0</v>
      </c>
      <c r="C27" s="374">
        <v>0</v>
      </c>
      <c r="D27" s="387"/>
      <c r="E27" s="387"/>
      <c r="F27" s="377"/>
    </row>
    <row r="28" spans="1:6" ht="16.2" thickBot="1" x14ac:dyDescent="0.35">
      <c r="A28" s="371" t="s">
        <v>32</v>
      </c>
      <c r="B28" s="379">
        <f>SUM(B15:B27)</f>
        <v>58142.939999999995</v>
      </c>
      <c r="C28" s="379">
        <f>SUM(C15:C27)</f>
        <v>663851.25</v>
      </c>
      <c r="D28" s="388"/>
      <c r="E28" s="388"/>
      <c r="F28" s="380"/>
    </row>
  </sheetData>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F352-768A-46D2-B4E7-A43ECB59C83C}">
  <dimension ref="A1:H28"/>
  <sheetViews>
    <sheetView topLeftCell="A19"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121.5" customHeight="1" thickBot="1" x14ac:dyDescent="0.35">
      <c r="A2" s="389" t="s">
        <v>2332</v>
      </c>
      <c r="B2" s="390">
        <v>459000</v>
      </c>
      <c r="C2" s="389" t="s">
        <v>2333</v>
      </c>
      <c r="D2" s="391">
        <v>1358000</v>
      </c>
      <c r="E2" s="389" t="s">
        <v>423</v>
      </c>
      <c r="F2" s="392" t="s">
        <v>2334</v>
      </c>
      <c r="G2" s="391">
        <v>1</v>
      </c>
      <c r="H2" s="391">
        <v>1</v>
      </c>
    </row>
    <row r="4" spans="1:8" x14ac:dyDescent="0.3">
      <c r="A4" s="386" t="s">
        <v>11</v>
      </c>
    </row>
    <row r="6" spans="1:8" ht="16.2" thickBot="1" x14ac:dyDescent="0.35">
      <c r="A6" s="581" t="s">
        <v>12</v>
      </c>
      <c r="B6" s="10" t="s">
        <v>9</v>
      </c>
    </row>
    <row r="7" spans="1:8" ht="16.2" thickBot="1" x14ac:dyDescent="0.35">
      <c r="A7" s="580" t="s">
        <v>13</v>
      </c>
      <c r="B7" s="374">
        <v>1</v>
      </c>
      <c r="C7" s="372" t="s">
        <v>2335</v>
      </c>
    </row>
    <row r="8" spans="1:8" ht="16.2" thickBot="1" x14ac:dyDescent="0.35">
      <c r="A8" s="580" t="s">
        <v>14</v>
      </c>
      <c r="B8" s="374">
        <v>75000</v>
      </c>
    </row>
    <row r="9" spans="1:8" ht="16.2" thickBot="1" x14ac:dyDescent="0.35">
      <c r="A9" s="580"/>
      <c r="B9" s="374">
        <v>0</v>
      </c>
    </row>
    <row r="10" spans="1:8" ht="16.2" thickBot="1" x14ac:dyDescent="0.35">
      <c r="A10" s="580"/>
      <c r="B10" s="374">
        <v>0</v>
      </c>
    </row>
    <row r="11" spans="1:8" ht="16.2" thickBot="1" x14ac:dyDescent="0.35">
      <c r="A11" s="580"/>
      <c r="B11" s="10"/>
      <c r="C11" s="374">
        <f>SUM(B7:B10)</f>
        <v>75001</v>
      </c>
    </row>
    <row r="12" spans="1:8" x14ac:dyDescent="0.3">
      <c r="A12" s="579"/>
      <c r="C12" s="10" t="s">
        <v>9</v>
      </c>
    </row>
    <row r="14" spans="1:8" ht="31.2" x14ac:dyDescent="0.3">
      <c r="A14" s="384" t="s">
        <v>17</v>
      </c>
      <c r="B14" s="385" t="s">
        <v>18</v>
      </c>
      <c r="C14" s="384" t="s">
        <v>19</v>
      </c>
      <c r="D14" s="384" t="s">
        <v>20</v>
      </c>
      <c r="E14" s="384" t="s">
        <v>21</v>
      </c>
      <c r="F14" s="384" t="s">
        <v>22</v>
      </c>
    </row>
    <row r="15" spans="1:8" ht="16.2" thickBot="1" x14ac:dyDescent="0.35">
      <c r="A15" s="578" t="s">
        <v>23</v>
      </c>
      <c r="B15" s="573">
        <v>52378</v>
      </c>
      <c r="C15" s="573">
        <f>SUM(B15/5*6)</f>
        <v>62853.600000000006</v>
      </c>
      <c r="D15" s="574" t="s">
        <v>543</v>
      </c>
      <c r="E15" s="574" t="s">
        <v>2336</v>
      </c>
      <c r="F15" s="32" t="s">
        <v>2337</v>
      </c>
    </row>
    <row r="16" spans="1:8" ht="47.4" thickBot="1" x14ac:dyDescent="0.35">
      <c r="A16" s="578" t="s">
        <v>25</v>
      </c>
      <c r="B16" s="575">
        <v>23310</v>
      </c>
      <c r="C16" s="575">
        <f t="shared" ref="C16:C27" si="0">SUM(B16/5*6)</f>
        <v>27972</v>
      </c>
      <c r="D16" s="265" t="s">
        <v>543</v>
      </c>
      <c r="E16" s="265" t="s">
        <v>2336</v>
      </c>
      <c r="F16" s="340" t="s">
        <v>2380</v>
      </c>
    </row>
    <row r="17" spans="1:6" ht="16.2" thickBot="1" x14ac:dyDescent="0.35">
      <c r="A17" s="578" t="s">
        <v>26</v>
      </c>
      <c r="B17" s="575">
        <v>130635</v>
      </c>
      <c r="C17" s="575">
        <f t="shared" si="0"/>
        <v>156762</v>
      </c>
      <c r="D17" s="265" t="s">
        <v>543</v>
      </c>
      <c r="E17" s="265" t="s">
        <v>2336</v>
      </c>
      <c r="F17" s="340" t="s">
        <v>2338</v>
      </c>
    </row>
    <row r="18" spans="1:6" ht="16.2" thickBot="1" x14ac:dyDescent="0.35">
      <c r="A18" s="578" t="s">
        <v>27</v>
      </c>
      <c r="B18" s="575">
        <v>29050</v>
      </c>
      <c r="C18" s="575">
        <f t="shared" si="0"/>
        <v>34860</v>
      </c>
      <c r="D18" s="265" t="s">
        <v>543</v>
      </c>
      <c r="E18" s="265" t="s">
        <v>2339</v>
      </c>
      <c r="F18" s="340" t="s">
        <v>2340</v>
      </c>
    </row>
    <row r="19" spans="1:6" ht="31.8" thickBot="1" x14ac:dyDescent="0.35">
      <c r="A19" s="578" t="s">
        <v>28</v>
      </c>
      <c r="B19" s="575">
        <v>0</v>
      </c>
      <c r="C19" s="575">
        <f t="shared" si="0"/>
        <v>0</v>
      </c>
      <c r="D19" s="265"/>
      <c r="E19" s="265"/>
      <c r="F19" s="340" t="s">
        <v>2341</v>
      </c>
    </row>
    <row r="20" spans="1:6" ht="31.8" thickBot="1" x14ac:dyDescent="0.35">
      <c r="A20" s="578" t="s">
        <v>29</v>
      </c>
      <c r="B20" s="575">
        <v>88633</v>
      </c>
      <c r="C20" s="575">
        <f t="shared" si="0"/>
        <v>106359.59999999999</v>
      </c>
      <c r="D20" s="265" t="s">
        <v>543</v>
      </c>
      <c r="E20" s="265" t="s">
        <v>2336</v>
      </c>
      <c r="F20" s="340" t="s">
        <v>2342</v>
      </c>
    </row>
    <row r="21" spans="1:6" ht="47.4" thickBot="1" x14ac:dyDescent="0.35">
      <c r="A21" s="578" t="s">
        <v>30</v>
      </c>
      <c r="B21" s="575">
        <v>8000</v>
      </c>
      <c r="C21" s="575">
        <f t="shared" si="0"/>
        <v>9600</v>
      </c>
      <c r="D21" s="265" t="s">
        <v>543</v>
      </c>
      <c r="E21" s="265" t="s">
        <v>2343</v>
      </c>
      <c r="F21" s="340" t="s">
        <v>2344</v>
      </c>
    </row>
    <row r="22" spans="1:6" ht="63" thickBot="1" x14ac:dyDescent="0.35">
      <c r="A22" s="578" t="s">
        <v>1281</v>
      </c>
      <c r="B22" s="575">
        <v>40235</v>
      </c>
      <c r="C22" s="575">
        <f t="shared" si="0"/>
        <v>48282</v>
      </c>
      <c r="D22" s="265" t="s">
        <v>543</v>
      </c>
      <c r="E22" s="265" t="s">
        <v>2345</v>
      </c>
      <c r="F22" s="340" t="s">
        <v>2346</v>
      </c>
    </row>
    <row r="23" spans="1:6" ht="16.2" thickBot="1" x14ac:dyDescent="0.35">
      <c r="A23" s="578" t="s">
        <v>2347</v>
      </c>
      <c r="B23" s="575">
        <v>6122</v>
      </c>
      <c r="C23" s="575">
        <f t="shared" si="0"/>
        <v>7346.4000000000005</v>
      </c>
      <c r="D23" s="265" t="s">
        <v>543</v>
      </c>
      <c r="E23" s="265" t="s">
        <v>2345</v>
      </c>
      <c r="F23" s="340"/>
    </row>
    <row r="24" spans="1:6" ht="16.2" thickBot="1" x14ac:dyDescent="0.35">
      <c r="A24" s="578" t="s">
        <v>2381</v>
      </c>
      <c r="B24" s="575">
        <v>19200</v>
      </c>
      <c r="C24" s="575">
        <f t="shared" si="0"/>
        <v>23040</v>
      </c>
      <c r="D24" s="265"/>
      <c r="E24" s="265"/>
      <c r="F24" s="340"/>
    </row>
    <row r="25" spans="1:6" ht="16.2" thickBot="1" x14ac:dyDescent="0.35">
      <c r="A25" s="580"/>
      <c r="B25" s="575">
        <v>0</v>
      </c>
      <c r="C25" s="575">
        <f t="shared" si="0"/>
        <v>0</v>
      </c>
      <c r="D25" s="265"/>
      <c r="E25" s="265"/>
      <c r="F25" s="340"/>
    </row>
    <row r="26" spans="1:6" ht="16.2" thickBot="1" x14ac:dyDescent="0.35">
      <c r="A26" s="580"/>
      <c r="B26" s="575">
        <v>0</v>
      </c>
      <c r="C26" s="575">
        <f t="shared" si="0"/>
        <v>0</v>
      </c>
      <c r="D26" s="265"/>
      <c r="E26" s="265"/>
      <c r="F26" s="340"/>
    </row>
    <row r="27" spans="1:6" ht="16.2" thickBot="1" x14ac:dyDescent="0.35">
      <c r="A27" s="378"/>
      <c r="B27" s="575">
        <v>0</v>
      </c>
      <c r="C27" s="575">
        <f t="shared" si="0"/>
        <v>0</v>
      </c>
      <c r="D27" s="265"/>
      <c r="E27" s="265"/>
      <c r="F27" s="340"/>
    </row>
    <row r="28" spans="1:6" ht="16.2" thickBot="1" x14ac:dyDescent="0.35">
      <c r="A28" s="579" t="s">
        <v>32</v>
      </c>
      <c r="B28" s="576">
        <f>SUM(B15:B27)</f>
        <v>397563</v>
      </c>
      <c r="C28" s="576">
        <f>SUM(C15:C27)</f>
        <v>477075.6</v>
      </c>
      <c r="D28" s="577"/>
      <c r="E28" s="577"/>
      <c r="F28" s="35"/>
    </row>
  </sheetData>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899E-03E5-4F57-A727-3677CCE6D158}">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341</v>
      </c>
      <c r="B2" s="4">
        <v>15000000</v>
      </c>
      <c r="C2" s="3" t="s">
        <v>1407</v>
      </c>
      <c r="D2" s="5">
        <v>14552669</v>
      </c>
      <c r="E2" s="3" t="s">
        <v>1408</v>
      </c>
      <c r="F2" s="6" t="s">
        <v>1409</v>
      </c>
      <c r="G2" s="5">
        <v>0</v>
      </c>
      <c r="H2" s="5">
        <v>0</v>
      </c>
    </row>
    <row r="3" spans="1:8" x14ac:dyDescent="0.3">
      <c r="G3" s="7" t="s">
        <v>9</v>
      </c>
      <c r="H3" s="7" t="s">
        <v>1410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15000000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15000000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4584</v>
      </c>
      <c r="C16" s="16">
        <v>16000</v>
      </c>
      <c r="D16" s="29" t="s">
        <v>24</v>
      </c>
      <c r="E16" s="29" t="s">
        <v>79</v>
      </c>
      <c r="F16" s="18" t="s">
        <v>1411</v>
      </c>
    </row>
    <row r="17" spans="1:6" ht="16.2" thickBot="1" x14ac:dyDescent="0.35">
      <c r="A17" s="15" t="s">
        <v>25</v>
      </c>
      <c r="B17" s="12">
        <v>5347</v>
      </c>
      <c r="C17" s="12">
        <v>7000</v>
      </c>
      <c r="D17" s="29" t="s">
        <v>24</v>
      </c>
      <c r="E17" s="29" t="s">
        <v>79</v>
      </c>
      <c r="F17" s="20" t="s">
        <v>1412</v>
      </c>
    </row>
    <row r="18" spans="1:6" ht="16.2" thickBot="1" x14ac:dyDescent="0.35">
      <c r="A18" s="15" t="s">
        <v>26</v>
      </c>
      <c r="B18" s="12">
        <v>2618</v>
      </c>
      <c r="C18" s="12">
        <v>5000</v>
      </c>
      <c r="D18" s="29" t="s">
        <v>24</v>
      </c>
      <c r="E18" s="29" t="s">
        <v>79</v>
      </c>
      <c r="F18" s="20" t="s">
        <v>1413</v>
      </c>
    </row>
    <row r="19" spans="1:6" ht="16.2" thickBot="1" x14ac:dyDescent="0.35">
      <c r="A19" s="15" t="s">
        <v>27</v>
      </c>
      <c r="B19" s="12">
        <v>0</v>
      </c>
      <c r="C19" s="12">
        <v>0</v>
      </c>
      <c r="D19" s="29" t="s">
        <v>24</v>
      </c>
      <c r="E19" s="29" t="s">
        <v>79</v>
      </c>
      <c r="F19" s="20" t="s">
        <v>1414</v>
      </c>
    </row>
    <row r="20" spans="1:6" ht="16.2" thickBot="1" x14ac:dyDescent="0.35">
      <c r="A20" s="15" t="s">
        <v>28</v>
      </c>
      <c r="B20" s="12">
        <v>0</v>
      </c>
      <c r="C20" s="12">
        <v>0</v>
      </c>
      <c r="D20" s="29" t="s">
        <v>24</v>
      </c>
      <c r="E20" s="29" t="s">
        <v>79</v>
      </c>
      <c r="F20" s="20"/>
    </row>
    <row r="21" spans="1:6" ht="16.2" thickBot="1" x14ac:dyDescent="0.35">
      <c r="A21" s="15" t="s">
        <v>29</v>
      </c>
      <c r="B21" s="12">
        <v>32975</v>
      </c>
      <c r="C21" s="12">
        <v>50000</v>
      </c>
      <c r="D21" s="29" t="s">
        <v>24</v>
      </c>
      <c r="E21" s="29" t="s">
        <v>79</v>
      </c>
      <c r="F21" s="20" t="s">
        <v>1415</v>
      </c>
    </row>
    <row r="22" spans="1:6" ht="16.2" thickBot="1" x14ac:dyDescent="0.35">
      <c r="A22" s="15" t="s">
        <v>30</v>
      </c>
      <c r="B22" s="12">
        <v>3920</v>
      </c>
      <c r="C22" s="12">
        <v>5000</v>
      </c>
      <c r="D22" s="29" t="s">
        <v>24</v>
      </c>
      <c r="E22" s="29" t="s">
        <v>79</v>
      </c>
      <c r="F22" s="20" t="s">
        <v>1416</v>
      </c>
    </row>
    <row r="23" spans="1:6" ht="16.2" thickBot="1" x14ac:dyDescent="0.35">
      <c r="A23" s="11" t="s">
        <v>1417</v>
      </c>
      <c r="B23" s="12">
        <v>4250</v>
      </c>
      <c r="C23" s="12">
        <v>6000</v>
      </c>
      <c r="D23" s="29" t="s">
        <v>24</v>
      </c>
      <c r="E23" s="29" t="s">
        <v>79</v>
      </c>
      <c r="F23" s="20" t="s">
        <v>1418</v>
      </c>
    </row>
    <row r="24" spans="1:6" ht="16.2" thickBot="1" x14ac:dyDescent="0.35">
      <c r="A24" s="15" t="s">
        <v>1419</v>
      </c>
      <c r="B24" s="12">
        <v>2878</v>
      </c>
      <c r="C24" s="12">
        <v>4000</v>
      </c>
      <c r="D24" s="29" t="s">
        <v>24</v>
      </c>
      <c r="E24" s="29" t="s">
        <v>79</v>
      </c>
      <c r="F24" s="20" t="s">
        <v>1420</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56572</v>
      </c>
      <c r="C29" s="22">
        <v>93000</v>
      </c>
      <c r="D29" s="23"/>
      <c r="E29" s="23"/>
      <c r="F29" s="24"/>
    </row>
  </sheetData>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77819-3BC5-4B3D-96E4-500CADF82D93}">
  <dimension ref="A1:H33"/>
  <sheetViews>
    <sheetView topLeftCell="A10" workbookViewId="0">
      <selection activeCell="D11" sqref="D11"/>
    </sheetView>
  </sheetViews>
  <sheetFormatPr defaultColWidth="9.109375" defaultRowHeight="15.6" x14ac:dyDescent="0.3"/>
  <cols>
    <col min="1" max="1" width="35.44140625" style="714" bestFit="1" customWidth="1"/>
    <col min="2" max="2" width="20.44140625" style="714" customWidth="1"/>
    <col min="3" max="3" width="26.88671875" style="714" customWidth="1"/>
    <col min="4" max="4" width="25.33203125" style="714" customWidth="1"/>
    <col min="5" max="5" width="30.6640625" style="714" customWidth="1"/>
    <col min="6" max="6" width="28.33203125" style="714" customWidth="1"/>
    <col min="7" max="7" width="21.33203125" style="714" customWidth="1"/>
    <col min="8" max="8" width="20.6640625" style="714" customWidth="1"/>
    <col min="9" max="16384" width="9.109375" style="714"/>
  </cols>
  <sheetData>
    <row r="1" spans="1:8" s="708" customFormat="1" ht="31.8" thickBot="1" x14ac:dyDescent="0.35">
      <c r="A1" s="707" t="s">
        <v>0</v>
      </c>
      <c r="B1" s="707" t="s">
        <v>1</v>
      </c>
      <c r="C1" s="707" t="s">
        <v>2</v>
      </c>
      <c r="D1" s="707" t="s">
        <v>3</v>
      </c>
      <c r="E1" s="707" t="s">
        <v>4</v>
      </c>
      <c r="F1" s="707" t="s">
        <v>5</v>
      </c>
      <c r="G1" s="707" t="s">
        <v>6</v>
      </c>
      <c r="H1" s="707" t="s">
        <v>7</v>
      </c>
    </row>
    <row r="2" spans="1:8" ht="64.2" thickBot="1" x14ac:dyDescent="0.45">
      <c r="A2" s="709" t="s">
        <v>2559</v>
      </c>
      <c r="B2" s="710">
        <v>1500000</v>
      </c>
      <c r="C2" s="711" t="s">
        <v>2560</v>
      </c>
      <c r="D2" s="712">
        <v>30156000</v>
      </c>
      <c r="E2" s="711" t="s">
        <v>2561</v>
      </c>
      <c r="F2" s="713" t="s">
        <v>2562</v>
      </c>
      <c r="G2" s="712" t="s">
        <v>420</v>
      </c>
      <c r="H2" s="712" t="s">
        <v>420</v>
      </c>
    </row>
    <row r="4" spans="1:8" x14ac:dyDescent="0.3">
      <c r="A4" s="715" t="s">
        <v>11</v>
      </c>
    </row>
    <row r="6" spans="1:8" ht="16.2" thickBot="1" x14ac:dyDescent="0.35">
      <c r="A6" s="716" t="s">
        <v>12</v>
      </c>
      <c r="B6" s="717" t="s">
        <v>9</v>
      </c>
    </row>
    <row r="7" spans="1:8" ht="16.2" thickBot="1" x14ac:dyDescent="0.35">
      <c r="A7" s="718" t="s">
        <v>13</v>
      </c>
      <c r="B7" s="719">
        <f>[3]Analysis!$D$12+[3]Analysis!$I$12</f>
        <v>12500939.464999996</v>
      </c>
    </row>
    <row r="8" spans="1:8" ht="16.2" thickBot="1" x14ac:dyDescent="0.35">
      <c r="A8" s="718" t="s">
        <v>14</v>
      </c>
      <c r="B8" s="719">
        <v>0</v>
      </c>
      <c r="C8" s="714" t="s">
        <v>2563</v>
      </c>
    </row>
    <row r="9" spans="1:8" ht="16.2" thickBot="1" x14ac:dyDescent="0.35">
      <c r="A9" s="718" t="s">
        <v>2564</v>
      </c>
      <c r="B9" s="719">
        <f>[3]Analysis!$D$13+[3]Analysis!$I$13</f>
        <v>284657.7</v>
      </c>
    </row>
    <row r="10" spans="1:8" ht="16.2" thickBot="1" x14ac:dyDescent="0.35">
      <c r="A10" s="718"/>
      <c r="B10" s="719">
        <v>0</v>
      </c>
    </row>
    <row r="11" spans="1:8" ht="16.2" thickBot="1" x14ac:dyDescent="0.35">
      <c r="A11" s="718"/>
      <c r="B11" s="717"/>
      <c r="C11" s="719">
        <f>SUM(B7:B10)</f>
        <v>12785597.164999995</v>
      </c>
    </row>
    <row r="12" spans="1:8" x14ac:dyDescent="0.3">
      <c r="A12" s="720"/>
      <c r="C12" s="717" t="s">
        <v>9</v>
      </c>
    </row>
    <row r="14" spans="1:8" ht="31.2" x14ac:dyDescent="0.3">
      <c r="A14" s="707" t="s">
        <v>17</v>
      </c>
      <c r="B14" s="721" t="s">
        <v>18</v>
      </c>
      <c r="C14" s="707" t="s">
        <v>19</v>
      </c>
      <c r="D14" s="707" t="s">
        <v>20</v>
      </c>
      <c r="E14" s="707" t="s">
        <v>21</v>
      </c>
      <c r="F14" s="707" t="s">
        <v>22</v>
      </c>
    </row>
    <row r="15" spans="1:8" ht="47.4" thickBot="1" x14ac:dyDescent="0.35">
      <c r="A15" s="722" t="s">
        <v>23</v>
      </c>
      <c r="B15" s="723">
        <f>'[4]Journal Detail Export'!N138</f>
        <v>34946.629999999997</v>
      </c>
      <c r="C15" s="723">
        <f>25000+B15</f>
        <v>59946.63</v>
      </c>
      <c r="D15" s="724" t="s">
        <v>24</v>
      </c>
      <c r="E15" s="724" t="s">
        <v>79</v>
      </c>
      <c r="F15" s="725" t="s">
        <v>2565</v>
      </c>
    </row>
    <row r="16" spans="1:8" ht="47.4" thickBot="1" x14ac:dyDescent="0.35">
      <c r="A16" s="722" t="s">
        <v>25</v>
      </c>
      <c r="B16" s="719">
        <f>'[4]Journal Detail Export'!N144</f>
        <v>2058</v>
      </c>
      <c r="C16" s="719">
        <f>75000+B16</f>
        <v>77058</v>
      </c>
      <c r="D16" s="724" t="s">
        <v>24</v>
      </c>
      <c r="E16" s="726" t="s">
        <v>2566</v>
      </c>
      <c r="F16" s="725" t="s">
        <v>2565</v>
      </c>
    </row>
    <row r="17" spans="1:6" ht="47.4" thickBot="1" x14ac:dyDescent="0.35">
      <c r="A17" s="722" t="s">
        <v>26</v>
      </c>
      <c r="B17" s="719">
        <f>'[4]Journal Detail Export'!N149</f>
        <v>12238.05</v>
      </c>
      <c r="C17" s="719">
        <f>9000+B17</f>
        <v>21238.05</v>
      </c>
      <c r="D17" s="724" t="s">
        <v>24</v>
      </c>
      <c r="E17" s="724" t="s">
        <v>79</v>
      </c>
      <c r="F17" s="725" t="s">
        <v>2565</v>
      </c>
    </row>
    <row r="18" spans="1:6" ht="47.4" thickBot="1" x14ac:dyDescent="0.35">
      <c r="A18" s="722" t="s">
        <v>27</v>
      </c>
      <c r="B18" s="719">
        <v>0</v>
      </c>
      <c r="C18" s="719">
        <v>0</v>
      </c>
      <c r="D18" s="724" t="s">
        <v>24</v>
      </c>
      <c r="E18" s="724" t="s">
        <v>79</v>
      </c>
      <c r="F18" s="725" t="s">
        <v>2565</v>
      </c>
    </row>
    <row r="19" spans="1:6" ht="47.4" thickBot="1" x14ac:dyDescent="0.35">
      <c r="A19" s="722" t="s">
        <v>28</v>
      </c>
      <c r="B19" s="719">
        <v>0</v>
      </c>
      <c r="C19" s="719">
        <v>4000</v>
      </c>
      <c r="D19" s="724" t="s">
        <v>24</v>
      </c>
      <c r="E19" s="724" t="s">
        <v>79</v>
      </c>
      <c r="F19" s="725" t="s">
        <v>2565</v>
      </c>
    </row>
    <row r="20" spans="1:6" ht="47.4" thickBot="1" x14ac:dyDescent="0.35">
      <c r="A20" s="722" t="s">
        <v>29</v>
      </c>
      <c r="B20" s="719">
        <f>'[4]Journal Detail Export'!N155</f>
        <v>12583.78</v>
      </c>
      <c r="C20" s="719">
        <f>25000+B20</f>
        <v>37583.78</v>
      </c>
      <c r="D20" s="724" t="s">
        <v>24</v>
      </c>
      <c r="E20" s="724" t="s">
        <v>79</v>
      </c>
      <c r="F20" s="725" t="s">
        <v>2565</v>
      </c>
    </row>
    <row r="21" spans="1:6" ht="47.4" thickBot="1" x14ac:dyDescent="0.35">
      <c r="A21" s="722" t="s">
        <v>30</v>
      </c>
      <c r="B21" s="719">
        <f>'[4]Journal Detail Export'!N213</f>
        <v>36430.729999999996</v>
      </c>
      <c r="C21" s="719">
        <f>25000+B21</f>
        <v>61430.729999999996</v>
      </c>
      <c r="D21" s="724" t="s">
        <v>24</v>
      </c>
      <c r="E21" s="724" t="s">
        <v>79</v>
      </c>
      <c r="F21" s="725" t="s">
        <v>2565</v>
      </c>
    </row>
    <row r="22" spans="1:6" ht="47.4" thickBot="1" x14ac:dyDescent="0.35">
      <c r="A22" s="722" t="s">
        <v>2567</v>
      </c>
      <c r="B22" s="719">
        <f>'[4]Journal Detail Export'!N217</f>
        <v>43000</v>
      </c>
      <c r="C22" s="719">
        <f>7000+B22</f>
        <v>50000</v>
      </c>
      <c r="D22" s="724" t="s">
        <v>24</v>
      </c>
      <c r="E22" s="724" t="s">
        <v>79</v>
      </c>
      <c r="F22" s="725" t="s">
        <v>2565</v>
      </c>
    </row>
    <row r="23" spans="1:6" ht="47.4" thickBot="1" x14ac:dyDescent="0.35">
      <c r="A23" s="722" t="s">
        <v>2568</v>
      </c>
      <c r="B23" s="719">
        <f>'[4]Journal Detail Export'!N253</f>
        <v>54743.000000000007</v>
      </c>
      <c r="C23" s="719">
        <f>20000+B23</f>
        <v>74743</v>
      </c>
      <c r="D23" s="724" t="s">
        <v>24</v>
      </c>
      <c r="E23" s="724" t="s">
        <v>79</v>
      </c>
      <c r="F23" s="725" t="s">
        <v>2565</v>
      </c>
    </row>
    <row r="24" spans="1:6" ht="16.2" thickBot="1" x14ac:dyDescent="0.35">
      <c r="A24" s="718"/>
      <c r="B24" s="719">
        <v>0</v>
      </c>
      <c r="C24" s="719">
        <v>0</v>
      </c>
      <c r="D24" s="727"/>
      <c r="E24" s="728"/>
      <c r="F24" s="729"/>
    </row>
    <row r="25" spans="1:6" ht="16.2" thickBot="1" x14ac:dyDescent="0.35">
      <c r="A25" s="718"/>
      <c r="B25" s="719">
        <v>0</v>
      </c>
      <c r="C25" s="719">
        <v>0</v>
      </c>
      <c r="D25" s="727"/>
      <c r="E25" s="728"/>
      <c r="F25" s="729"/>
    </row>
    <row r="26" spans="1:6" ht="16.2" thickBot="1" x14ac:dyDescent="0.35">
      <c r="A26" s="718"/>
      <c r="B26" s="719">
        <v>0</v>
      </c>
      <c r="C26" s="719">
        <v>0</v>
      </c>
      <c r="D26" s="727"/>
      <c r="E26" s="728"/>
      <c r="F26" s="729"/>
    </row>
    <row r="27" spans="1:6" ht="16.2" thickBot="1" x14ac:dyDescent="0.35">
      <c r="A27" s="730"/>
      <c r="B27" s="719">
        <v>0</v>
      </c>
      <c r="C27" s="719">
        <v>0</v>
      </c>
      <c r="D27" s="728"/>
      <c r="E27" s="728"/>
      <c r="F27" s="729"/>
    </row>
    <row r="28" spans="1:6" ht="16.2" thickBot="1" x14ac:dyDescent="0.35">
      <c r="A28" s="720" t="s">
        <v>32</v>
      </c>
      <c r="B28" s="731">
        <f>SUM(B15:B27)</f>
        <v>196000.19</v>
      </c>
      <c r="C28" s="731">
        <f>SUM(C15:C27)</f>
        <v>386000.19</v>
      </c>
      <c r="D28" s="732"/>
      <c r="E28" s="732"/>
      <c r="F28" s="733"/>
    </row>
    <row r="30" spans="1:6" x14ac:dyDescent="0.3">
      <c r="D30" s="720" t="s">
        <v>2569</v>
      </c>
      <c r="E30" s="720" t="s">
        <v>2570</v>
      </c>
    </row>
    <row r="31" spans="1:6" x14ac:dyDescent="0.3">
      <c r="A31" s="714" t="s">
        <v>2571</v>
      </c>
      <c r="C31" s="734">
        <f>C15+C17+C18+C19+C20+C21+C22+C23</f>
        <v>308942.19</v>
      </c>
      <c r="D31" s="734">
        <f>C31*0.75</f>
        <v>231706.64250000002</v>
      </c>
    </row>
    <row r="32" spans="1:6" x14ac:dyDescent="0.3">
      <c r="A32" s="722" t="s">
        <v>25</v>
      </c>
      <c r="C32" s="734">
        <f>C16</f>
        <v>77058</v>
      </c>
      <c r="D32" s="61">
        <v>35000</v>
      </c>
    </row>
    <row r="33" spans="1:5" ht="16.2" thickBot="1" x14ac:dyDescent="0.35">
      <c r="A33" s="714" t="s">
        <v>2572</v>
      </c>
      <c r="C33" s="735">
        <f>C31+C32</f>
        <v>386000.19</v>
      </c>
      <c r="D33" s="735">
        <f>SUM(D31:D32)</f>
        <v>266706.64250000002</v>
      </c>
      <c r="E33" s="735">
        <f>C33-D33</f>
        <v>119293.54749999999</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10B1-7E34-4D58-BC7C-F02AA9822A8D}">
  <dimension ref="A1:H32"/>
  <sheetViews>
    <sheetView topLeftCell="A13" workbookViewId="0">
      <selection activeCell="E11" sqref="E11:J11"/>
    </sheetView>
  </sheetViews>
  <sheetFormatPr defaultColWidth="9.109375" defaultRowHeight="15.6" x14ac:dyDescent="0.3"/>
  <cols>
    <col min="1" max="1" width="48.664062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9.599999999999994" thickBot="1" x14ac:dyDescent="0.35">
      <c r="A2" s="3" t="s">
        <v>113</v>
      </c>
      <c r="B2" s="55">
        <v>0</v>
      </c>
      <c r="C2" s="51" t="s">
        <v>114</v>
      </c>
      <c r="D2" s="5">
        <v>28769857</v>
      </c>
      <c r="E2" s="3" t="s">
        <v>115</v>
      </c>
      <c r="F2" s="6" t="s">
        <v>115</v>
      </c>
      <c r="G2" s="56">
        <v>0</v>
      </c>
      <c r="H2" s="56">
        <v>0</v>
      </c>
    </row>
    <row r="4" spans="1:8" x14ac:dyDescent="0.3">
      <c r="A4" s="8" t="s">
        <v>11</v>
      </c>
    </row>
    <row r="6" spans="1:8" ht="16.2" thickBot="1" x14ac:dyDescent="0.35">
      <c r="A6" s="9" t="s">
        <v>116</v>
      </c>
      <c r="B6" s="10" t="s">
        <v>9</v>
      </c>
    </row>
    <row r="7" spans="1:8" ht="16.2" thickBot="1" x14ac:dyDescent="0.35">
      <c r="A7" s="11" t="s">
        <v>51</v>
      </c>
      <c r="B7" s="12">
        <v>0</v>
      </c>
    </row>
    <row r="8" spans="1:8" ht="16.2" thickBot="1" x14ac:dyDescent="0.35">
      <c r="A8" s="11" t="s">
        <v>53</v>
      </c>
      <c r="B8" s="12">
        <v>95568</v>
      </c>
      <c r="C8" s="7" t="s">
        <v>117</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95568</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5909.8</v>
      </c>
      <c r="C16" s="16">
        <v>19153.39</v>
      </c>
      <c r="D16" s="29" t="s">
        <v>24</v>
      </c>
      <c r="E16" s="17"/>
      <c r="F16" s="18"/>
    </row>
    <row r="17" spans="1:6" ht="16.2" thickBot="1" x14ac:dyDescent="0.35">
      <c r="A17" s="15" t="s">
        <v>118</v>
      </c>
      <c r="B17" s="12">
        <v>10204.48</v>
      </c>
      <c r="C17" s="12">
        <v>25204.48</v>
      </c>
      <c r="D17" s="29" t="s">
        <v>24</v>
      </c>
      <c r="E17" s="19"/>
      <c r="F17" s="20"/>
    </row>
    <row r="18" spans="1:6" ht="16.2" thickBot="1" x14ac:dyDescent="0.35">
      <c r="A18" s="15" t="s">
        <v>26</v>
      </c>
      <c r="B18" s="12">
        <v>0</v>
      </c>
      <c r="C18" s="12">
        <v>0</v>
      </c>
      <c r="D18" s="29"/>
      <c r="E18" s="19"/>
      <c r="F18" s="20"/>
    </row>
    <row r="19" spans="1:6" ht="16.2" thickBot="1" x14ac:dyDescent="0.35">
      <c r="A19" s="15" t="s">
        <v>27</v>
      </c>
      <c r="B19" s="12">
        <v>0</v>
      </c>
      <c r="C19" s="12">
        <v>0</v>
      </c>
      <c r="D19" s="29"/>
      <c r="E19" s="19"/>
      <c r="F19" s="20"/>
    </row>
    <row r="20" spans="1:6" ht="16.2" thickBot="1" x14ac:dyDescent="0.35">
      <c r="A20" s="15" t="s">
        <v>28</v>
      </c>
      <c r="B20" s="12">
        <v>0</v>
      </c>
      <c r="C20" s="12">
        <v>0</v>
      </c>
      <c r="D20" s="29"/>
      <c r="E20" s="19"/>
      <c r="F20" s="20"/>
    </row>
    <row r="21" spans="1:6" ht="16.2" thickBot="1" x14ac:dyDescent="0.35">
      <c r="A21" s="15" t="s">
        <v>29</v>
      </c>
      <c r="B21" s="12">
        <v>0</v>
      </c>
      <c r="C21" s="12">
        <v>0</v>
      </c>
      <c r="D21" s="29"/>
      <c r="E21" s="19"/>
      <c r="F21" s="20"/>
    </row>
    <row r="22" spans="1:6" ht="16.2" thickBot="1" x14ac:dyDescent="0.35">
      <c r="A22" s="15" t="s">
        <v>30</v>
      </c>
      <c r="B22" s="12">
        <v>2520.3000000000002</v>
      </c>
      <c r="C22" s="12">
        <v>28008.18</v>
      </c>
      <c r="D22" s="29" t="s">
        <v>24</v>
      </c>
      <c r="E22" s="19"/>
      <c r="F22" s="20"/>
    </row>
    <row r="23" spans="1:6" ht="16.2" thickBot="1" x14ac:dyDescent="0.35">
      <c r="A23" s="57" t="s">
        <v>119</v>
      </c>
      <c r="B23" s="12">
        <v>1872.78</v>
      </c>
      <c r="C23" s="12">
        <v>7064.88</v>
      </c>
      <c r="D23" s="29" t="s">
        <v>24</v>
      </c>
      <c r="E23" s="19"/>
      <c r="F23" s="20"/>
    </row>
    <row r="24" spans="1:6" ht="16.2" thickBot="1" x14ac:dyDescent="0.35">
      <c r="A24" s="15" t="s">
        <v>120</v>
      </c>
      <c r="B24" s="12">
        <v>11462.35</v>
      </c>
      <c r="C24" s="12">
        <v>21704.19</v>
      </c>
      <c r="D24" s="29" t="s">
        <v>24</v>
      </c>
      <c r="E24" s="19"/>
      <c r="F24" s="20"/>
    </row>
    <row r="25" spans="1:6" ht="16.2" thickBot="1" x14ac:dyDescent="0.35">
      <c r="A25" s="15" t="s">
        <v>121</v>
      </c>
      <c r="B25" s="12">
        <v>3249</v>
      </c>
      <c r="C25" s="12">
        <v>3249</v>
      </c>
      <c r="D25" s="29" t="s">
        <v>24</v>
      </c>
      <c r="E25" s="19"/>
      <c r="F25" s="20"/>
    </row>
    <row r="26" spans="1:6" ht="16.2" thickBot="1" x14ac:dyDescent="0.35">
      <c r="A26" s="15"/>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35218.71</v>
      </c>
      <c r="C28" s="22">
        <v>104384.12</v>
      </c>
      <c r="D28" s="23"/>
      <c r="E28" s="23"/>
      <c r="F28" s="24"/>
    </row>
    <row r="29" spans="1:6" x14ac:dyDescent="0.3">
      <c r="A29" s="13"/>
      <c r="B29" s="58"/>
      <c r="C29" s="58"/>
      <c r="D29" s="59"/>
      <c r="E29" s="59"/>
      <c r="F29" s="60"/>
    </row>
    <row r="30" spans="1:6" x14ac:dyDescent="0.3">
      <c r="A30" s="7" t="s">
        <v>122</v>
      </c>
      <c r="C30" s="61"/>
    </row>
    <row r="31" spans="1:6" x14ac:dyDescent="0.3">
      <c r="A31" s="7" t="s">
        <v>123</v>
      </c>
    </row>
    <row r="32" spans="1:6" x14ac:dyDescent="0.3">
      <c r="A32" s="7" t="s">
        <v>124</v>
      </c>
      <c r="C32" s="62"/>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35EF-1922-4540-B447-5AEB5BAD57C0}">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0.6640625" style="372" customWidth="1"/>
    <col min="4" max="4" width="18.33203125" style="372" customWidth="1"/>
    <col min="5" max="5" width="19.33203125" style="372" customWidth="1"/>
    <col min="6" max="6" width="21.44140625" style="372" customWidth="1"/>
    <col min="7" max="7" width="17.109375" style="372" customWidth="1"/>
    <col min="8" max="8" width="15.441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94.2" thickBot="1" x14ac:dyDescent="0.35">
      <c r="A2" s="395" t="s">
        <v>343</v>
      </c>
      <c r="B2" s="37">
        <f>60000+75000+75000+15000+60000</f>
        <v>285000</v>
      </c>
      <c r="C2" s="395" t="s">
        <v>2037</v>
      </c>
      <c r="D2" s="39">
        <v>13072824</v>
      </c>
      <c r="E2" s="395" t="s">
        <v>1122</v>
      </c>
      <c r="F2" s="76"/>
      <c r="G2" s="39">
        <v>0</v>
      </c>
      <c r="H2" s="39">
        <v>0</v>
      </c>
    </row>
    <row r="4" spans="1:8" x14ac:dyDescent="0.3">
      <c r="A4" s="386" t="s">
        <v>11</v>
      </c>
    </row>
    <row r="6" spans="1:8" ht="16.2" thickBot="1" x14ac:dyDescent="0.35">
      <c r="A6" s="381" t="s">
        <v>12</v>
      </c>
      <c r="B6" s="10" t="s">
        <v>9</v>
      </c>
    </row>
    <row r="7" spans="1:8" ht="16.2" thickBot="1" x14ac:dyDescent="0.35">
      <c r="A7" s="443" t="s">
        <v>51</v>
      </c>
      <c r="B7" s="374">
        <v>0</v>
      </c>
    </row>
    <row r="8" spans="1:8" ht="16.2" thickBot="1" x14ac:dyDescent="0.35">
      <c r="A8" s="443" t="s">
        <v>53</v>
      </c>
      <c r="B8" s="374">
        <v>0</v>
      </c>
    </row>
    <row r="9" spans="1:8" ht="16.2" thickBot="1" x14ac:dyDescent="0.35">
      <c r="A9" s="443" t="s">
        <v>55</v>
      </c>
      <c r="B9" s="374">
        <v>25000</v>
      </c>
    </row>
    <row r="10" spans="1:8" ht="16.2" thickBot="1" x14ac:dyDescent="0.35">
      <c r="A10" s="443" t="s">
        <v>57</v>
      </c>
      <c r="B10" s="374">
        <v>35000</v>
      </c>
    </row>
    <row r="11" spans="1:8" ht="16.2" thickBot="1" x14ac:dyDescent="0.35">
      <c r="A11" s="439"/>
      <c r="B11" s="374">
        <v>0</v>
      </c>
    </row>
    <row r="12" spans="1:8" ht="16.2" thickBot="1" x14ac:dyDescent="0.35">
      <c r="A12" s="439"/>
      <c r="B12" s="10"/>
      <c r="C12" s="374">
        <f>SUM(B7:B11)</f>
        <v>60000</v>
      </c>
    </row>
    <row r="13" spans="1:8" x14ac:dyDescent="0.3">
      <c r="A13" s="438"/>
      <c r="C13" s="10" t="s">
        <v>9</v>
      </c>
    </row>
    <row r="15" spans="1:8" ht="46.8" x14ac:dyDescent="0.3">
      <c r="A15" s="384" t="s">
        <v>17</v>
      </c>
      <c r="B15" s="385" t="s">
        <v>18</v>
      </c>
      <c r="C15" s="384" t="s">
        <v>19</v>
      </c>
      <c r="D15" s="384" t="s">
        <v>20</v>
      </c>
      <c r="E15" s="384" t="s">
        <v>21</v>
      </c>
      <c r="F15" s="384" t="s">
        <v>22</v>
      </c>
    </row>
    <row r="16" spans="1:8" ht="16.2" thickBot="1" x14ac:dyDescent="0.35">
      <c r="A16" s="437" t="s">
        <v>23</v>
      </c>
      <c r="B16" s="382">
        <f>217+20010+10296+5963+1028.25</f>
        <v>37514.25</v>
      </c>
      <c r="C16" s="382">
        <f>5000+25000+1000+B16</f>
        <v>68514.25</v>
      </c>
      <c r="D16" s="397" t="s">
        <v>543</v>
      </c>
      <c r="E16" s="359"/>
      <c r="F16" s="383"/>
    </row>
    <row r="17" spans="1:7" ht="16.2" thickBot="1" x14ac:dyDescent="0.35">
      <c r="A17" s="437" t="s">
        <v>25</v>
      </c>
      <c r="B17" s="374">
        <v>6893</v>
      </c>
      <c r="C17" s="374">
        <f>1000+B17</f>
        <v>7893</v>
      </c>
      <c r="D17" s="394" t="s">
        <v>543</v>
      </c>
      <c r="E17" s="387"/>
      <c r="F17" s="377"/>
      <c r="G17" s="396"/>
    </row>
    <row r="18" spans="1:7" ht="16.2" thickBot="1" x14ac:dyDescent="0.35">
      <c r="A18" s="437" t="s">
        <v>26</v>
      </c>
      <c r="B18" s="374">
        <v>2104</v>
      </c>
      <c r="C18" s="374">
        <f>B18</f>
        <v>2104</v>
      </c>
      <c r="D18" s="394" t="s">
        <v>543</v>
      </c>
      <c r="E18" s="387"/>
      <c r="F18" s="377"/>
    </row>
    <row r="19" spans="1:7" ht="16.2" thickBot="1" x14ac:dyDescent="0.35">
      <c r="A19" s="437" t="s">
        <v>27</v>
      </c>
      <c r="B19" s="374">
        <v>0</v>
      </c>
      <c r="C19" s="374">
        <f>B19</f>
        <v>0</v>
      </c>
      <c r="D19" s="394"/>
      <c r="E19" s="387"/>
      <c r="F19" s="377"/>
    </row>
    <row r="20" spans="1:7" ht="16.2" thickBot="1" x14ac:dyDescent="0.35">
      <c r="A20" s="437" t="s">
        <v>28</v>
      </c>
      <c r="B20" s="374">
        <v>168</v>
      </c>
      <c r="C20" s="374">
        <f>B20</f>
        <v>168</v>
      </c>
      <c r="D20" s="394"/>
      <c r="E20" s="387"/>
      <c r="F20" s="377"/>
    </row>
    <row r="21" spans="1:7" ht="16.2" thickBot="1" x14ac:dyDescent="0.35">
      <c r="A21" s="437" t="s">
        <v>29</v>
      </c>
      <c r="B21" s="374">
        <f>3921.84+17006</f>
        <v>20927.84</v>
      </c>
      <c r="C21" s="374">
        <f>4500+B21</f>
        <v>25427.84</v>
      </c>
      <c r="D21" s="394" t="s">
        <v>543</v>
      </c>
      <c r="E21" s="387"/>
      <c r="F21" s="377"/>
    </row>
    <row r="22" spans="1:7" ht="16.2" thickBot="1" x14ac:dyDescent="0.35">
      <c r="A22" s="437" t="s">
        <v>30</v>
      </c>
      <c r="B22" s="374">
        <f>1324+3232+1252+145+720</f>
        <v>6673</v>
      </c>
      <c r="C22" s="374">
        <f>5000+2200+B22</f>
        <v>13873</v>
      </c>
      <c r="D22" s="394" t="s">
        <v>543</v>
      </c>
      <c r="E22" s="387"/>
      <c r="F22" s="377"/>
    </row>
    <row r="23" spans="1:7" ht="16.2" thickBot="1" x14ac:dyDescent="0.35">
      <c r="A23" s="439" t="s">
        <v>2038</v>
      </c>
      <c r="B23" s="374">
        <v>0</v>
      </c>
      <c r="C23" s="374">
        <v>12500</v>
      </c>
      <c r="D23" s="394" t="s">
        <v>543</v>
      </c>
      <c r="E23" s="387"/>
      <c r="F23" s="377"/>
    </row>
    <row r="24" spans="1:7" ht="16.2" thickBot="1" x14ac:dyDescent="0.35">
      <c r="A24" s="439"/>
      <c r="B24" s="374">
        <v>0</v>
      </c>
      <c r="C24" s="374">
        <v>0</v>
      </c>
      <c r="D24" s="394"/>
      <c r="E24" s="387"/>
      <c r="F24" s="377"/>
    </row>
    <row r="25" spans="1:7" ht="16.2" thickBot="1" x14ac:dyDescent="0.35">
      <c r="A25" s="439"/>
      <c r="B25" s="374">
        <v>0</v>
      </c>
      <c r="C25" s="374">
        <v>0</v>
      </c>
      <c r="D25" s="394"/>
      <c r="E25" s="387"/>
      <c r="F25" s="377"/>
    </row>
    <row r="26" spans="1:7" ht="16.2" thickBot="1" x14ac:dyDescent="0.35">
      <c r="A26" s="439"/>
      <c r="B26" s="374">
        <v>0</v>
      </c>
      <c r="C26" s="374">
        <v>0</v>
      </c>
      <c r="D26" s="394"/>
      <c r="E26" s="387"/>
      <c r="F26" s="377"/>
    </row>
    <row r="27" spans="1:7" ht="16.2" thickBot="1" x14ac:dyDescent="0.35">
      <c r="A27" s="439"/>
      <c r="B27" s="374">
        <v>0</v>
      </c>
      <c r="C27" s="374">
        <v>0</v>
      </c>
      <c r="D27" s="394"/>
      <c r="E27" s="387"/>
      <c r="F27" s="377"/>
    </row>
    <row r="28" spans="1:7" ht="16.2" thickBot="1" x14ac:dyDescent="0.35">
      <c r="A28" s="378"/>
      <c r="B28" s="374">
        <v>0</v>
      </c>
      <c r="C28" s="374">
        <v>0</v>
      </c>
      <c r="D28" s="394"/>
      <c r="E28" s="387"/>
      <c r="F28" s="377"/>
    </row>
    <row r="29" spans="1:7" ht="16.2" thickBot="1" x14ac:dyDescent="0.35">
      <c r="A29" s="438" t="s">
        <v>32</v>
      </c>
      <c r="B29" s="379">
        <f>SUM(B16:B28)</f>
        <v>74280.09</v>
      </c>
      <c r="C29" s="379">
        <f>SUM(C16:C28)</f>
        <v>130480.09</v>
      </c>
      <c r="D29" s="34"/>
      <c r="E29" s="388"/>
      <c r="F29" s="380"/>
    </row>
  </sheetData>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BE32B-C6D7-4D05-A5F1-1B2E2527B1AD}">
  <dimension ref="A1:H33"/>
  <sheetViews>
    <sheetView topLeftCell="A13"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31.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2478</v>
      </c>
      <c r="H1" s="384" t="s">
        <v>2479</v>
      </c>
    </row>
    <row r="2" spans="1:8" ht="56.25" customHeight="1" thickBot="1" x14ac:dyDescent="0.35">
      <c r="A2" s="389" t="s">
        <v>2480</v>
      </c>
      <c r="B2" s="390">
        <v>0</v>
      </c>
      <c r="C2" s="389" t="s">
        <v>9</v>
      </c>
      <c r="D2" s="391">
        <v>3921689</v>
      </c>
      <c r="E2" s="389" t="s">
        <v>10</v>
      </c>
      <c r="F2" s="392" t="s">
        <v>578</v>
      </c>
      <c r="G2" s="391">
        <v>0</v>
      </c>
      <c r="H2" s="391">
        <v>0</v>
      </c>
    </row>
    <row r="4" spans="1:8" x14ac:dyDescent="0.3">
      <c r="A4" s="386" t="s">
        <v>11</v>
      </c>
    </row>
    <row r="6" spans="1:8" ht="16.2" thickBot="1" x14ac:dyDescent="0.35">
      <c r="A6" s="655" t="s">
        <v>12</v>
      </c>
      <c r="B6" s="10" t="s">
        <v>9</v>
      </c>
    </row>
    <row r="7" spans="1:8" ht="16.2" thickBot="1" x14ac:dyDescent="0.35">
      <c r="A7" s="654" t="s">
        <v>13</v>
      </c>
      <c r="B7" s="374">
        <v>0</v>
      </c>
    </row>
    <row r="8" spans="1:8" ht="16.2" thickBot="1" x14ac:dyDescent="0.35">
      <c r="A8" s="654" t="s">
        <v>14</v>
      </c>
      <c r="B8" s="374">
        <v>0</v>
      </c>
    </row>
    <row r="9" spans="1:8" ht="16.2" thickBot="1" x14ac:dyDescent="0.35">
      <c r="A9" s="654"/>
      <c r="B9" s="374">
        <v>0</v>
      </c>
    </row>
    <row r="10" spans="1:8" ht="16.2" thickBot="1" x14ac:dyDescent="0.35">
      <c r="A10" s="654"/>
      <c r="B10" s="374">
        <v>0</v>
      </c>
    </row>
    <row r="11" spans="1:8" ht="16.2" thickBot="1" x14ac:dyDescent="0.35">
      <c r="A11" s="654"/>
      <c r="B11" s="10"/>
      <c r="C11" s="374">
        <f>SUM(B7:B10)</f>
        <v>0</v>
      </c>
    </row>
    <row r="12" spans="1:8" x14ac:dyDescent="0.3">
      <c r="A12" s="653"/>
      <c r="C12" s="10" t="s">
        <v>9</v>
      </c>
    </row>
    <row r="14" spans="1:8" ht="31.8" thickBot="1" x14ac:dyDescent="0.35">
      <c r="A14" s="384" t="s">
        <v>17</v>
      </c>
      <c r="B14" s="385" t="s">
        <v>18</v>
      </c>
      <c r="C14" s="384" t="s">
        <v>2481</v>
      </c>
      <c r="D14" s="384" t="s">
        <v>20</v>
      </c>
      <c r="E14" s="384" t="s">
        <v>21</v>
      </c>
      <c r="F14" s="384" t="s">
        <v>22</v>
      </c>
    </row>
    <row r="15" spans="1:8" ht="16.2" thickBot="1" x14ac:dyDescent="0.35">
      <c r="A15" s="652" t="s">
        <v>23</v>
      </c>
      <c r="B15" s="382">
        <v>253.48</v>
      </c>
      <c r="C15" s="382">
        <f>+B15+300+87.81</f>
        <v>641.29</v>
      </c>
      <c r="D15" s="394" t="s">
        <v>24</v>
      </c>
      <c r="E15" s="359"/>
      <c r="F15" s="383" t="s">
        <v>1421</v>
      </c>
    </row>
    <row r="16" spans="1:8" ht="47.4" thickBot="1" x14ac:dyDescent="0.35">
      <c r="A16" s="41" t="s">
        <v>25</v>
      </c>
      <c r="B16" s="45">
        <v>539.01</v>
      </c>
      <c r="C16" s="42">
        <f>+B16+4000+1012.95</f>
        <v>5551.96</v>
      </c>
      <c r="D16" s="46" t="s">
        <v>24</v>
      </c>
      <c r="E16" s="359"/>
      <c r="F16" s="340" t="s">
        <v>2482</v>
      </c>
    </row>
    <row r="17" spans="1:6" ht="16.2" thickBot="1" x14ac:dyDescent="0.35">
      <c r="A17" s="652" t="s">
        <v>1422</v>
      </c>
      <c r="B17" s="374"/>
      <c r="C17" s="382">
        <f>+B17+2562.5</f>
        <v>2562.5</v>
      </c>
      <c r="D17" s="394" t="s">
        <v>24</v>
      </c>
      <c r="E17" s="359"/>
      <c r="F17" s="377"/>
    </row>
    <row r="18" spans="1:6" ht="16.2" thickBot="1" x14ac:dyDescent="0.35">
      <c r="A18" s="652" t="s">
        <v>26</v>
      </c>
      <c r="B18" s="374">
        <v>4058.75</v>
      </c>
      <c r="C18" s="382">
        <f>+B18+10000+22.89</f>
        <v>14081.64</v>
      </c>
      <c r="D18" s="394" t="s">
        <v>24</v>
      </c>
      <c r="E18" s="359"/>
      <c r="F18" s="377"/>
    </row>
    <row r="19" spans="1:6" ht="16.2" thickBot="1" x14ac:dyDescent="0.35">
      <c r="A19" s="652" t="s">
        <v>27</v>
      </c>
      <c r="B19" s="374">
        <v>0</v>
      </c>
      <c r="C19" s="382">
        <f t="shared" ref="C19" si="0">+B19</f>
        <v>0</v>
      </c>
      <c r="D19" s="394" t="s">
        <v>24</v>
      </c>
      <c r="E19" s="359"/>
      <c r="F19" s="377"/>
    </row>
    <row r="20" spans="1:6" ht="31.8" thickBot="1" x14ac:dyDescent="0.35">
      <c r="A20" s="41" t="s">
        <v>28</v>
      </c>
      <c r="B20" s="45">
        <f>1125+44.95+35.24+17.98+39.58+19.79</f>
        <v>1282.54</v>
      </c>
      <c r="C20" s="42">
        <f>+B20+1000+472.96</f>
        <v>2755.5</v>
      </c>
      <c r="D20" s="46" t="s">
        <v>24</v>
      </c>
      <c r="E20" s="359"/>
      <c r="F20" s="340" t="s">
        <v>2483</v>
      </c>
    </row>
    <row r="21" spans="1:6" ht="16.2" thickBot="1" x14ac:dyDescent="0.35">
      <c r="A21" s="652" t="s">
        <v>29</v>
      </c>
      <c r="B21" s="374">
        <v>0</v>
      </c>
      <c r="C21" s="382">
        <v>4000</v>
      </c>
      <c r="D21" s="394" t="s">
        <v>24</v>
      </c>
      <c r="E21" s="359"/>
      <c r="F21" s="377"/>
    </row>
    <row r="22" spans="1:6" ht="16.2" thickBot="1" x14ac:dyDescent="0.35">
      <c r="A22" s="652" t="s">
        <v>30</v>
      </c>
      <c r="B22" s="374">
        <v>760.81</v>
      </c>
      <c r="C22" s="382">
        <f>+B22+4186.14</f>
        <v>4946.9500000000007</v>
      </c>
      <c r="D22" s="394" t="s">
        <v>24</v>
      </c>
      <c r="E22" s="359"/>
      <c r="F22" s="377" t="s">
        <v>2484</v>
      </c>
    </row>
    <row r="23" spans="1:6" ht="16.2" thickBot="1" x14ac:dyDescent="0.35">
      <c r="A23" s="652" t="s">
        <v>1423</v>
      </c>
      <c r="B23" s="374">
        <v>6363.91</v>
      </c>
      <c r="C23" s="374">
        <f>+B23+2200+527.19</f>
        <v>9091.1</v>
      </c>
      <c r="D23" s="394" t="s">
        <v>24</v>
      </c>
      <c r="E23" s="359"/>
      <c r="F23" s="377" t="s">
        <v>1424</v>
      </c>
    </row>
    <row r="24" spans="1:6" ht="16.2" thickBot="1" x14ac:dyDescent="0.35">
      <c r="A24" s="654" t="s">
        <v>1425</v>
      </c>
      <c r="B24" s="374">
        <v>0</v>
      </c>
      <c r="C24" s="374">
        <f>+B24+1375</f>
        <v>1375</v>
      </c>
      <c r="D24" s="394" t="s">
        <v>24</v>
      </c>
      <c r="E24" s="359"/>
      <c r="F24" s="377"/>
    </row>
    <row r="25" spans="1:6" ht="16.2" thickBot="1" x14ac:dyDescent="0.35">
      <c r="A25" s="652" t="s">
        <v>893</v>
      </c>
      <c r="B25" s="374">
        <v>0</v>
      </c>
      <c r="C25" s="374">
        <f>+B25+6968+10244</f>
        <v>17212</v>
      </c>
      <c r="D25" s="394" t="s">
        <v>24</v>
      </c>
      <c r="E25" s="359"/>
      <c r="F25" s="377"/>
    </row>
    <row r="26" spans="1:6" ht="16.2" thickBot="1" x14ac:dyDescent="0.35">
      <c r="A26" s="652" t="s">
        <v>1426</v>
      </c>
      <c r="B26" s="374">
        <v>1215</v>
      </c>
      <c r="C26" s="374">
        <f>+B26+500</f>
        <v>1715</v>
      </c>
      <c r="D26" s="394" t="s">
        <v>24</v>
      </c>
      <c r="E26" s="359"/>
      <c r="F26" s="377" t="s">
        <v>1427</v>
      </c>
    </row>
    <row r="27" spans="1:6" ht="16.2" thickBot="1" x14ac:dyDescent="0.35">
      <c r="A27" s="652" t="s">
        <v>658</v>
      </c>
      <c r="B27" s="374">
        <v>0</v>
      </c>
      <c r="C27" s="374">
        <v>2000</v>
      </c>
      <c r="D27" s="394" t="s">
        <v>24</v>
      </c>
      <c r="E27" s="359"/>
      <c r="F27" s="377" t="s">
        <v>1428</v>
      </c>
    </row>
    <row r="28" spans="1:6" ht="16.2" thickBot="1" x14ac:dyDescent="0.35">
      <c r="A28" s="263" t="s">
        <v>1429</v>
      </c>
      <c r="B28" s="374">
        <v>1629.38</v>
      </c>
      <c r="C28" s="374">
        <f t="shared" ref="C28" si="1">+B28</f>
        <v>1629.38</v>
      </c>
      <c r="D28" s="394" t="s">
        <v>24</v>
      </c>
      <c r="E28" s="359"/>
      <c r="F28" s="377"/>
    </row>
    <row r="29" spans="1:6" ht="16.2" thickBot="1" x14ac:dyDescent="0.35">
      <c r="A29" s="653" t="s">
        <v>32</v>
      </c>
      <c r="B29" s="379">
        <f>SUM(B15:B28)</f>
        <v>16102.880000000001</v>
      </c>
      <c r="C29" s="379">
        <f>SUM(C15:C28)</f>
        <v>67562.320000000007</v>
      </c>
      <c r="D29" s="394" t="s">
        <v>24</v>
      </c>
      <c r="E29" s="359"/>
      <c r="F29" s="380"/>
    </row>
    <row r="30" spans="1:6" x14ac:dyDescent="0.3">
      <c r="A30" s="653"/>
      <c r="D30" s="294"/>
      <c r="E30" s="294"/>
      <c r="F30" s="60"/>
    </row>
    <row r="31" spans="1:6" x14ac:dyDescent="0.3">
      <c r="A31" s="653"/>
      <c r="B31" s="58"/>
      <c r="C31" s="58"/>
      <c r="D31" s="294"/>
      <c r="E31" s="294"/>
      <c r="F31" s="60"/>
    </row>
    <row r="32" spans="1:6" x14ac:dyDescent="0.3">
      <c r="B32" s="58"/>
      <c r="C32" s="58"/>
    </row>
    <row r="33" spans="3:3" x14ac:dyDescent="0.3">
      <c r="C33" s="396"/>
    </row>
  </sheetData>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1A8A-92D5-4162-92C5-B17F7A64BAFB}">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68" style="7" bestFit="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1430</v>
      </c>
      <c r="B2" s="4">
        <v>150000</v>
      </c>
      <c r="C2" s="3" t="s">
        <v>1431</v>
      </c>
      <c r="D2" s="5">
        <v>24928847</v>
      </c>
      <c r="E2" s="3" t="s">
        <v>1432</v>
      </c>
      <c r="F2" s="6" t="s">
        <v>1433</v>
      </c>
      <c r="G2" s="5" t="s">
        <v>108</v>
      </c>
      <c r="H2" s="5" t="s">
        <v>1434</v>
      </c>
    </row>
    <row r="4" spans="1:8" x14ac:dyDescent="0.3">
      <c r="A4" s="8" t="s">
        <v>11</v>
      </c>
    </row>
    <row r="6" spans="1:8" ht="16.2" thickBot="1" x14ac:dyDescent="0.35">
      <c r="A6" s="9" t="s">
        <v>12</v>
      </c>
      <c r="B6" s="10" t="s">
        <v>9</v>
      </c>
    </row>
    <row r="7" spans="1:8" ht="16.2" thickBot="1" x14ac:dyDescent="0.35">
      <c r="A7" s="11" t="s">
        <v>13</v>
      </c>
      <c r="B7" s="12"/>
      <c r="C7" s="7" t="s">
        <v>1435</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12182.81</v>
      </c>
      <c r="C15" s="16">
        <v>40000</v>
      </c>
      <c r="D15" s="29" t="s">
        <v>24</v>
      </c>
      <c r="E15" s="17" t="s">
        <v>9</v>
      </c>
      <c r="F15" s="18" t="s">
        <v>1436</v>
      </c>
    </row>
    <row r="16" spans="1:8" ht="16.2" thickBot="1" x14ac:dyDescent="0.35">
      <c r="A16" s="15" t="s">
        <v>25</v>
      </c>
      <c r="B16" s="12">
        <v>3225.03</v>
      </c>
      <c r="C16" s="12">
        <v>10000</v>
      </c>
      <c r="D16" s="30" t="s">
        <v>24</v>
      </c>
      <c r="E16" s="19"/>
      <c r="F16" s="20" t="s">
        <v>1437</v>
      </c>
    </row>
    <row r="17" spans="1:6" ht="16.2" thickBot="1" x14ac:dyDescent="0.35">
      <c r="A17" s="15" t="s">
        <v>26</v>
      </c>
      <c r="B17" s="12">
        <v>7500</v>
      </c>
      <c r="C17" s="12">
        <v>25000</v>
      </c>
      <c r="D17" s="30" t="s">
        <v>24</v>
      </c>
      <c r="E17" s="19"/>
      <c r="F17" s="20" t="s">
        <v>1438</v>
      </c>
    </row>
    <row r="18" spans="1:6" ht="16.2" thickBot="1" x14ac:dyDescent="0.35">
      <c r="A18" s="15" t="s">
        <v>27</v>
      </c>
      <c r="B18" s="12">
        <v>37380.31</v>
      </c>
      <c r="C18" s="12">
        <v>130831.08</v>
      </c>
      <c r="D18" s="30"/>
      <c r="E18" s="19"/>
      <c r="F18" s="20" t="s">
        <v>1439</v>
      </c>
    </row>
    <row r="19" spans="1:6" ht="16.2" thickBot="1" x14ac:dyDescent="0.35">
      <c r="A19" s="15" t="s">
        <v>28</v>
      </c>
      <c r="B19" s="12">
        <v>16198.97</v>
      </c>
      <c r="C19" s="12">
        <v>26000</v>
      </c>
      <c r="D19" s="30" t="s">
        <v>24</v>
      </c>
      <c r="E19" s="19"/>
      <c r="F19" s="20" t="s">
        <v>1440</v>
      </c>
    </row>
    <row r="20" spans="1:6" ht="16.2" thickBot="1" x14ac:dyDescent="0.35">
      <c r="A20" s="15" t="s">
        <v>29</v>
      </c>
      <c r="B20" s="12">
        <v>41433.839999999997</v>
      </c>
      <c r="C20" s="12">
        <v>75000</v>
      </c>
      <c r="D20" s="30" t="s">
        <v>24</v>
      </c>
      <c r="E20" s="19"/>
      <c r="F20" s="20"/>
    </row>
    <row r="21" spans="1:6" ht="16.2" thickBot="1" x14ac:dyDescent="0.35">
      <c r="A21" s="15" t="s">
        <v>30</v>
      </c>
      <c r="B21" s="12">
        <v>3991.9</v>
      </c>
      <c r="C21" s="12">
        <v>6000</v>
      </c>
      <c r="D21" s="30" t="s">
        <v>24</v>
      </c>
      <c r="E21" s="19"/>
      <c r="F21" s="20" t="s">
        <v>875</v>
      </c>
    </row>
    <row r="22" spans="1:6" ht="16.2" thickBot="1" x14ac:dyDescent="0.35">
      <c r="A22" s="15" t="s">
        <v>1441</v>
      </c>
      <c r="B22" s="12">
        <v>2923.43</v>
      </c>
      <c r="C22" s="12">
        <v>5000</v>
      </c>
      <c r="D22" s="30" t="s">
        <v>24</v>
      </c>
      <c r="E22" s="19"/>
      <c r="F22" s="20" t="s">
        <v>1442</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124836.28999999998</v>
      </c>
      <c r="C28" s="22">
        <v>317831.08</v>
      </c>
      <c r="D28" s="23"/>
      <c r="E28" s="23"/>
      <c r="F28" s="24"/>
    </row>
  </sheetData>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7CE53-4FC8-486D-B37E-E6B47DFE6091}">
  <dimension ref="A1:H41"/>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5">
      <c r="A2" s="3" t="s">
        <v>1443</v>
      </c>
      <c r="B2" s="4">
        <v>-74818.543999999994</v>
      </c>
      <c r="C2" s="3" t="s">
        <v>1444</v>
      </c>
      <c r="D2" s="5">
        <v>6964634</v>
      </c>
      <c r="E2" s="3" t="s">
        <v>10</v>
      </c>
      <c r="F2" s="6" t="s">
        <v>63</v>
      </c>
      <c r="G2" s="5">
        <v>0</v>
      </c>
      <c r="H2" s="5">
        <v>0</v>
      </c>
    </row>
    <row r="3" spans="1:8" x14ac:dyDescent="0.3">
      <c r="D3" s="11" t="s">
        <v>1445</v>
      </c>
    </row>
    <row r="4" spans="1:8" x14ac:dyDescent="0.3">
      <c r="A4" s="8" t="s">
        <v>11</v>
      </c>
    </row>
    <row r="6" spans="1:8" ht="16.2" thickBot="1" x14ac:dyDescent="0.35">
      <c r="A6" s="9" t="s">
        <v>12</v>
      </c>
      <c r="B6" s="10" t="s">
        <v>9</v>
      </c>
    </row>
    <row r="7" spans="1:8" ht="16.2" thickBot="1" x14ac:dyDescent="0.35">
      <c r="A7" s="11" t="s">
        <v>51</v>
      </c>
      <c r="B7" s="12">
        <v>0</v>
      </c>
      <c r="C7" s="7" t="s">
        <v>63</v>
      </c>
    </row>
    <row r="8" spans="1:8" ht="16.2" thickBot="1" x14ac:dyDescent="0.35">
      <c r="A8" s="11" t="s">
        <v>53</v>
      </c>
      <c r="B8" s="12">
        <v>0</v>
      </c>
      <c r="C8" s="7" t="s">
        <v>63</v>
      </c>
    </row>
    <row r="9" spans="1:8" ht="16.2" thickBot="1" x14ac:dyDescent="0.35">
      <c r="A9" s="11" t="s">
        <v>55</v>
      </c>
      <c r="B9" s="12">
        <v>-10000</v>
      </c>
      <c r="C9" s="7" t="s">
        <v>1446</v>
      </c>
    </row>
    <row r="10" spans="1:8" ht="16.2" thickBot="1" x14ac:dyDescent="0.35">
      <c r="A10" s="11" t="s">
        <v>57</v>
      </c>
      <c r="B10" s="12">
        <v>0</v>
      </c>
      <c r="C10" s="7" t="s">
        <v>1446</v>
      </c>
    </row>
    <row r="11" spans="1:8" ht="16.2" thickBot="1" x14ac:dyDescent="0.35">
      <c r="A11" s="11"/>
      <c r="B11" s="12">
        <v>0</v>
      </c>
    </row>
    <row r="12" spans="1:8" ht="16.2" thickBot="1" x14ac:dyDescent="0.35">
      <c r="A12" s="11"/>
      <c r="B12" s="10"/>
      <c r="C12" s="12">
        <v>-10000</v>
      </c>
    </row>
    <row r="13" spans="1:8" x14ac:dyDescent="0.3">
      <c r="A13" s="13"/>
      <c r="C13" s="10" t="s">
        <v>9</v>
      </c>
    </row>
    <row r="15" spans="1:8" ht="31.2" x14ac:dyDescent="0.3">
      <c r="A15" s="1" t="s">
        <v>17</v>
      </c>
      <c r="B15" s="14" t="s">
        <v>1447</v>
      </c>
      <c r="C15" s="1" t="s">
        <v>19</v>
      </c>
      <c r="D15" s="1" t="s">
        <v>20</v>
      </c>
      <c r="E15" s="1" t="s">
        <v>21</v>
      </c>
      <c r="F15" s="1" t="s">
        <v>22</v>
      </c>
    </row>
    <row r="16" spans="1:8" ht="16.2" thickBot="1" x14ac:dyDescent="0.35">
      <c r="A16" s="15" t="s">
        <v>23</v>
      </c>
      <c r="B16" s="16">
        <v>1759</v>
      </c>
      <c r="C16" s="16">
        <v>18801</v>
      </c>
      <c r="D16" s="29" t="s">
        <v>24</v>
      </c>
      <c r="E16" s="29" t="s">
        <v>1448</v>
      </c>
      <c r="F16" s="18"/>
    </row>
    <row r="17" spans="1:6" ht="16.2" thickBot="1" x14ac:dyDescent="0.35">
      <c r="A17" s="15" t="s">
        <v>25</v>
      </c>
      <c r="B17" s="12">
        <v>6993</v>
      </c>
      <c r="C17" s="12">
        <v>20690</v>
      </c>
      <c r="D17" s="30" t="s">
        <v>24</v>
      </c>
      <c r="E17" s="29" t="s">
        <v>1448</v>
      </c>
      <c r="F17" s="20"/>
    </row>
    <row r="18" spans="1:6" ht="16.2" thickBot="1" x14ac:dyDescent="0.35">
      <c r="A18" s="15" t="s">
        <v>26</v>
      </c>
      <c r="B18" s="12">
        <v>0</v>
      </c>
      <c r="C18" s="12">
        <v>0</v>
      </c>
      <c r="D18" s="30"/>
      <c r="E18" s="19"/>
      <c r="F18" s="20"/>
    </row>
    <row r="19" spans="1:6" ht="16.2" thickBot="1" x14ac:dyDescent="0.35">
      <c r="A19" s="15" t="s">
        <v>27</v>
      </c>
      <c r="B19" s="12">
        <v>0</v>
      </c>
      <c r="C19" s="12">
        <v>0</v>
      </c>
      <c r="D19" s="30"/>
      <c r="E19" s="19"/>
      <c r="F19" s="20"/>
    </row>
    <row r="20" spans="1:6" ht="16.2" thickBot="1" x14ac:dyDescent="0.35">
      <c r="A20" s="15" t="s">
        <v>28</v>
      </c>
      <c r="B20" s="12">
        <v>0</v>
      </c>
      <c r="C20" s="12">
        <v>0</v>
      </c>
      <c r="D20" s="30"/>
      <c r="E20" s="19"/>
      <c r="F20" s="20"/>
    </row>
    <row r="21" spans="1:6" ht="16.2" thickBot="1" x14ac:dyDescent="0.35">
      <c r="A21" s="15" t="s">
        <v>29</v>
      </c>
      <c r="B21" s="12">
        <v>4850</v>
      </c>
      <c r="C21" s="12">
        <v>14551</v>
      </c>
      <c r="D21" s="30" t="s">
        <v>24</v>
      </c>
      <c r="E21" s="30" t="s">
        <v>1449</v>
      </c>
      <c r="F21" s="20"/>
    </row>
    <row r="22" spans="1:6" ht="16.2" thickBot="1" x14ac:dyDescent="0.35">
      <c r="A22" s="15" t="s">
        <v>30</v>
      </c>
      <c r="B22" s="12">
        <v>0</v>
      </c>
      <c r="C22" s="12">
        <v>9948</v>
      </c>
      <c r="D22" s="30" t="s">
        <v>24</v>
      </c>
      <c r="E22" s="29" t="s">
        <v>1448</v>
      </c>
      <c r="F22" s="20"/>
    </row>
    <row r="23" spans="1:6" ht="16.2" thickBot="1" x14ac:dyDescent="0.35">
      <c r="A23" s="15" t="s">
        <v>1450</v>
      </c>
      <c r="B23" s="12">
        <v>2143</v>
      </c>
      <c r="C23" s="12">
        <v>11497</v>
      </c>
      <c r="D23" s="30" t="s">
        <v>24</v>
      </c>
      <c r="E23" s="30" t="s">
        <v>1449</v>
      </c>
      <c r="F23" s="20"/>
    </row>
    <row r="24" spans="1:6" ht="16.2" thickBot="1" x14ac:dyDescent="0.35">
      <c r="A24" s="15" t="s">
        <v>1451</v>
      </c>
      <c r="B24" s="12">
        <v>0</v>
      </c>
      <c r="C24" s="12">
        <v>11497</v>
      </c>
      <c r="D24" s="30" t="s">
        <v>24</v>
      </c>
      <c r="E24" s="30" t="s">
        <v>1449</v>
      </c>
      <c r="F24" s="20"/>
    </row>
    <row r="25" spans="1:6" ht="16.2" thickBot="1" x14ac:dyDescent="0.35">
      <c r="A25" s="15" t="s">
        <v>1452</v>
      </c>
      <c r="B25" s="12">
        <v>0</v>
      </c>
      <c r="C25" s="12">
        <v>5000</v>
      </c>
      <c r="D25" s="30" t="s">
        <v>10</v>
      </c>
      <c r="E25" s="30" t="s">
        <v>1449</v>
      </c>
      <c r="F25" s="20"/>
    </row>
    <row r="26" spans="1:6" ht="16.2" thickBot="1" x14ac:dyDescent="0.35">
      <c r="A26" s="11"/>
      <c r="B26" s="12">
        <v>0</v>
      </c>
      <c r="C26" s="12">
        <v>0</v>
      </c>
      <c r="D26" s="30"/>
      <c r="E26" s="19"/>
      <c r="F26" s="20"/>
    </row>
    <row r="27" spans="1:6" ht="16.2" thickBot="1" x14ac:dyDescent="0.35">
      <c r="A27" s="11"/>
      <c r="B27" s="12">
        <v>0</v>
      </c>
      <c r="C27" s="12">
        <v>0</v>
      </c>
      <c r="D27" s="30"/>
      <c r="E27" s="19"/>
      <c r="F27" s="20"/>
    </row>
    <row r="28" spans="1:6" ht="16.2" thickBot="1" x14ac:dyDescent="0.35">
      <c r="A28" s="21"/>
      <c r="B28" s="12">
        <v>0</v>
      </c>
      <c r="C28" s="12">
        <v>0</v>
      </c>
      <c r="D28" s="30"/>
      <c r="E28" s="19"/>
      <c r="F28" s="20"/>
    </row>
    <row r="29" spans="1:6" ht="16.2" thickBot="1" x14ac:dyDescent="0.35">
      <c r="A29" s="13" t="s">
        <v>32</v>
      </c>
      <c r="B29" s="22">
        <v>15745</v>
      </c>
      <c r="C29" s="22">
        <v>91984</v>
      </c>
      <c r="D29" s="23"/>
      <c r="E29" s="23"/>
      <c r="F29" s="24"/>
    </row>
    <row r="33" spans="1:6" x14ac:dyDescent="0.3">
      <c r="B33" s="11" t="s">
        <v>1453</v>
      </c>
    </row>
    <row r="34" spans="1:6" x14ac:dyDescent="0.3">
      <c r="A34" s="302" t="s">
        <v>1454</v>
      </c>
      <c r="B34" s="303" t="s">
        <v>1455</v>
      </c>
      <c r="C34" s="302" t="s">
        <v>1456</v>
      </c>
      <c r="D34" s="302" t="s">
        <v>1457</v>
      </c>
      <c r="E34" s="302"/>
      <c r="F34" s="302"/>
    </row>
    <row r="35" spans="1:6" x14ac:dyDescent="0.3">
      <c r="A35" s="7" t="s">
        <v>1458</v>
      </c>
      <c r="B35" s="62">
        <v>-39513.200000000004</v>
      </c>
      <c r="C35" s="10">
        <v>98783</v>
      </c>
      <c r="D35" s="10">
        <v>59269.799999999996</v>
      </c>
    </row>
    <row r="36" spans="1:6" x14ac:dyDescent="0.3">
      <c r="A36" s="7" t="s">
        <v>1459</v>
      </c>
      <c r="B36" s="62">
        <v>-23305.343999999997</v>
      </c>
      <c r="C36" s="10">
        <v>60691</v>
      </c>
      <c r="D36" s="10">
        <v>37385.656000000003</v>
      </c>
    </row>
    <row r="37" spans="1:6" x14ac:dyDescent="0.3">
      <c r="A37" s="7" t="s">
        <v>1460</v>
      </c>
      <c r="B37" s="62">
        <v>-12000</v>
      </c>
      <c r="C37" s="7" t="s">
        <v>1461</v>
      </c>
    </row>
    <row r="40" spans="1:6" ht="16.2" thickBot="1" x14ac:dyDescent="0.35">
      <c r="B40" s="304">
        <v>-74818.543999999994</v>
      </c>
    </row>
    <row r="41" spans="1:6" ht="16.2" thickTop="1" x14ac:dyDescent="0.3"/>
  </sheetData>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F67A-B7D5-41CC-B356-8D246087C689}">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31"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3" thickBot="1" x14ac:dyDescent="0.35">
      <c r="A2" s="389" t="s">
        <v>2034</v>
      </c>
      <c r="B2" s="390">
        <v>90000</v>
      </c>
      <c r="C2" s="389" t="s">
        <v>1462</v>
      </c>
      <c r="D2" s="391">
        <v>7100000</v>
      </c>
      <c r="E2" s="389" t="s">
        <v>10</v>
      </c>
      <c r="F2" s="392"/>
      <c r="G2" s="391">
        <v>0</v>
      </c>
      <c r="H2" s="391">
        <v>0</v>
      </c>
    </row>
    <row r="4" spans="1:8" x14ac:dyDescent="0.3">
      <c r="A4" s="386" t="s">
        <v>11</v>
      </c>
    </row>
    <row r="6" spans="1:8" ht="16.2" thickBot="1" x14ac:dyDescent="0.35">
      <c r="A6" s="381" t="s">
        <v>12</v>
      </c>
      <c r="B6" s="10" t="s">
        <v>9</v>
      </c>
    </row>
    <row r="7" spans="1:8" ht="16.2" thickBot="1" x14ac:dyDescent="0.35">
      <c r="A7" s="430" t="s">
        <v>1463</v>
      </c>
      <c r="B7" s="374">
        <v>90000</v>
      </c>
    </row>
    <row r="8" spans="1:8" ht="16.2" thickBot="1" x14ac:dyDescent="0.35">
      <c r="A8" s="430" t="s">
        <v>1464</v>
      </c>
      <c r="B8" s="374">
        <v>0</v>
      </c>
      <c r="F8" s="305"/>
    </row>
    <row r="9" spans="1:8" ht="16.2" thickBot="1" x14ac:dyDescent="0.35">
      <c r="A9" s="430"/>
      <c r="B9" s="374">
        <v>0</v>
      </c>
    </row>
    <row r="10" spans="1:8" ht="16.2" thickBot="1" x14ac:dyDescent="0.35">
      <c r="A10" s="430"/>
      <c r="B10" s="374">
        <v>0</v>
      </c>
    </row>
    <row r="11" spans="1:8" ht="16.2" thickBot="1" x14ac:dyDescent="0.35">
      <c r="A11" s="430"/>
      <c r="B11" s="10"/>
      <c r="C11" s="374">
        <f>SUM(B7:B10)</f>
        <v>90000</v>
      </c>
    </row>
    <row r="12" spans="1:8" x14ac:dyDescent="0.3">
      <c r="A12" s="429"/>
      <c r="C12" s="10" t="s">
        <v>9</v>
      </c>
    </row>
    <row r="13" spans="1:8" x14ac:dyDescent="0.3">
      <c r="B13" s="306"/>
      <c r="C13" s="306"/>
    </row>
    <row r="14" spans="1:8" ht="31.2" x14ac:dyDescent="0.3">
      <c r="A14" s="384" t="s">
        <v>17</v>
      </c>
      <c r="B14" s="385" t="s">
        <v>18</v>
      </c>
      <c r="C14" s="384" t="s">
        <v>19</v>
      </c>
      <c r="D14" s="384" t="s">
        <v>20</v>
      </c>
      <c r="E14" s="384" t="s">
        <v>21</v>
      </c>
      <c r="F14" s="384" t="s">
        <v>22</v>
      </c>
    </row>
    <row r="15" spans="1:8" ht="16.2" thickBot="1" x14ac:dyDescent="0.35">
      <c r="A15" s="428" t="s">
        <v>23</v>
      </c>
      <c r="B15" s="382">
        <f>1987.8+249.9+779.85</f>
        <v>3017.5499999999997</v>
      </c>
      <c r="C15" s="382">
        <v>3017.5499999999997</v>
      </c>
      <c r="D15" s="359" t="s">
        <v>24</v>
      </c>
      <c r="E15" s="359" t="s">
        <v>1465</v>
      </c>
      <c r="F15" s="383" t="s">
        <v>1466</v>
      </c>
    </row>
    <row r="16" spans="1:8" ht="16.2" thickBot="1" x14ac:dyDescent="0.35">
      <c r="A16" s="428" t="s">
        <v>25</v>
      </c>
      <c r="B16" s="374">
        <f>363.86+2750+142.11+2809.31</f>
        <v>6065.2800000000007</v>
      </c>
      <c r="C16" s="374">
        <v>6065.2800000000007</v>
      </c>
      <c r="D16" s="387" t="s">
        <v>24</v>
      </c>
      <c r="E16" s="387" t="s">
        <v>1465</v>
      </c>
      <c r="F16" s="377" t="s">
        <v>1467</v>
      </c>
    </row>
    <row r="17" spans="1:6" ht="16.2" thickBot="1" x14ac:dyDescent="0.35">
      <c r="A17" s="428" t="s">
        <v>26</v>
      </c>
      <c r="B17" s="374">
        <v>91403.88</v>
      </c>
      <c r="C17" s="374">
        <v>170458.34000000003</v>
      </c>
      <c r="D17" s="387"/>
      <c r="E17" s="387" t="s">
        <v>1465</v>
      </c>
      <c r="F17" s="377" t="s">
        <v>1468</v>
      </c>
    </row>
    <row r="18" spans="1:6" ht="16.2" thickBot="1" x14ac:dyDescent="0.35">
      <c r="A18" s="428" t="s">
        <v>27</v>
      </c>
      <c r="B18" s="374">
        <v>0</v>
      </c>
      <c r="C18" s="374">
        <v>0</v>
      </c>
      <c r="D18" s="387"/>
      <c r="E18" s="387"/>
      <c r="F18" s="377"/>
    </row>
    <row r="19" spans="1:6" ht="16.2" thickBot="1" x14ac:dyDescent="0.35">
      <c r="A19" s="428" t="s">
        <v>28</v>
      </c>
      <c r="B19" s="374">
        <v>2119.56</v>
      </c>
      <c r="C19" s="374">
        <v>2119.56</v>
      </c>
      <c r="D19" s="387" t="s">
        <v>24</v>
      </c>
      <c r="E19" s="387" t="s">
        <v>1465</v>
      </c>
      <c r="F19" s="377" t="s">
        <v>1469</v>
      </c>
    </row>
    <row r="20" spans="1:6" ht="16.2" thickBot="1" x14ac:dyDescent="0.35">
      <c r="A20" s="428" t="s">
        <v>29</v>
      </c>
      <c r="B20" s="374">
        <v>74485</v>
      </c>
      <c r="C20" s="374">
        <v>124485</v>
      </c>
      <c r="D20" s="387" t="s">
        <v>24</v>
      </c>
      <c r="E20" s="359" t="s">
        <v>1465</v>
      </c>
      <c r="F20" s="377" t="s">
        <v>1470</v>
      </c>
    </row>
    <row r="21" spans="1:6" ht="16.2" thickBot="1" x14ac:dyDescent="0.35">
      <c r="A21" s="428" t="s">
        <v>30</v>
      </c>
      <c r="B21" s="374">
        <f>147.31</f>
        <v>147.31</v>
      </c>
      <c r="C21" s="374">
        <v>11884.31</v>
      </c>
      <c r="D21" s="387" t="s">
        <v>24</v>
      </c>
      <c r="E21" s="387" t="s">
        <v>1465</v>
      </c>
      <c r="F21" s="377" t="s">
        <v>1471</v>
      </c>
    </row>
    <row r="22" spans="1:6" ht="16.2" thickBot="1" x14ac:dyDescent="0.35">
      <c r="A22" s="428" t="s">
        <v>1472</v>
      </c>
      <c r="B22" s="374">
        <f>928.5+4868.5</f>
        <v>5797</v>
      </c>
      <c r="C22" s="374">
        <v>9297</v>
      </c>
      <c r="D22" s="387" t="s">
        <v>24</v>
      </c>
      <c r="E22" s="387" t="s">
        <v>1465</v>
      </c>
      <c r="F22" s="377" t="s">
        <v>1473</v>
      </c>
    </row>
    <row r="23" spans="1:6" ht="16.2" thickBot="1" x14ac:dyDescent="0.35">
      <c r="A23" s="428"/>
      <c r="B23" s="374">
        <v>0</v>
      </c>
      <c r="C23" s="374">
        <v>0</v>
      </c>
      <c r="D23" s="387"/>
      <c r="E23" s="387"/>
      <c r="F23" s="377" t="s">
        <v>1474</v>
      </c>
    </row>
    <row r="24" spans="1:6" ht="16.2" thickBot="1" x14ac:dyDescent="0.35">
      <c r="A24" s="430"/>
      <c r="B24" s="374">
        <v>0</v>
      </c>
      <c r="C24" s="374">
        <v>0</v>
      </c>
      <c r="D24" s="387"/>
      <c r="E24" s="387"/>
      <c r="F24" s="377" t="s">
        <v>1475</v>
      </c>
    </row>
    <row r="25" spans="1:6" ht="16.2" thickBot="1" x14ac:dyDescent="0.35">
      <c r="A25" s="430" t="s">
        <v>1476</v>
      </c>
      <c r="B25" s="374">
        <v>0</v>
      </c>
      <c r="C25" s="374">
        <v>5536</v>
      </c>
      <c r="D25" s="387"/>
      <c r="E25" s="387" t="s">
        <v>1465</v>
      </c>
      <c r="F25" s="377" t="s">
        <v>1477</v>
      </c>
    </row>
    <row r="26" spans="1:6" ht="16.2" thickBot="1" x14ac:dyDescent="0.35">
      <c r="A26" s="430"/>
      <c r="B26" s="374">
        <v>0</v>
      </c>
      <c r="C26" s="374">
        <v>0</v>
      </c>
      <c r="D26" s="387"/>
      <c r="E26" s="387"/>
      <c r="F26" s="377"/>
    </row>
    <row r="27" spans="1:6" ht="16.2" thickBot="1" x14ac:dyDescent="0.35">
      <c r="A27" s="378"/>
      <c r="B27" s="374">
        <v>0</v>
      </c>
      <c r="C27" s="374">
        <v>0</v>
      </c>
      <c r="D27" s="387"/>
      <c r="E27" s="387"/>
      <c r="F27" s="377"/>
    </row>
    <row r="28" spans="1:6" ht="16.2" thickBot="1" x14ac:dyDescent="0.35">
      <c r="A28" s="429" t="s">
        <v>32</v>
      </c>
      <c r="B28" s="379">
        <f>SUM(B15:B27)</f>
        <v>183035.58000000002</v>
      </c>
      <c r="C28" s="379">
        <v>332863.04000000004</v>
      </c>
      <c r="D28" s="388"/>
      <c r="E28" s="388"/>
      <c r="F28" s="380"/>
    </row>
  </sheetData>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74619-3E44-47AF-BD04-923F866F9726}">
  <dimension ref="A1:H27"/>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8.88671875" style="372" bestFit="1" customWidth="1"/>
    <col min="5" max="5" width="22.44140625" style="372" customWidth="1"/>
    <col min="6" max="6" width="15.88671875" style="372" customWidth="1"/>
    <col min="7" max="8" width="15.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25.4" thickBot="1" x14ac:dyDescent="0.35">
      <c r="A2" s="389" t="s">
        <v>2039</v>
      </c>
      <c r="B2" s="27">
        <v>600000</v>
      </c>
      <c r="C2" s="300" t="s">
        <v>2040</v>
      </c>
      <c r="D2" s="444">
        <v>25900614</v>
      </c>
      <c r="E2" s="389" t="s">
        <v>423</v>
      </c>
      <c r="F2" s="392" t="s">
        <v>2041</v>
      </c>
      <c r="G2" s="391" t="s">
        <v>2042</v>
      </c>
      <c r="H2" s="391" t="s">
        <v>2043</v>
      </c>
    </row>
    <row r="3" spans="1:8" x14ac:dyDescent="0.3">
      <c r="D3" s="445" t="s">
        <v>2044</v>
      </c>
    </row>
    <row r="4" spans="1:8" x14ac:dyDescent="0.3">
      <c r="A4" s="386" t="s">
        <v>11</v>
      </c>
      <c r="D4" s="445" t="s">
        <v>578</v>
      </c>
    </row>
    <row r="6" spans="1:8" ht="16.2" thickBot="1" x14ac:dyDescent="0.35">
      <c r="A6" s="381" t="s">
        <v>12</v>
      </c>
      <c r="B6" s="10" t="s">
        <v>9</v>
      </c>
    </row>
    <row r="7" spans="1:8" ht="16.2" thickBot="1" x14ac:dyDescent="0.35">
      <c r="A7" s="439" t="s">
        <v>51</v>
      </c>
      <c r="B7" s="374">
        <v>0</v>
      </c>
    </row>
    <row r="8" spans="1:8" ht="16.2" thickBot="1" x14ac:dyDescent="0.35">
      <c r="A8" s="439" t="s">
        <v>53</v>
      </c>
      <c r="B8" s="96">
        <v>100000</v>
      </c>
    </row>
    <row r="9" spans="1:8" ht="16.2" thickBot="1" x14ac:dyDescent="0.35">
      <c r="A9" s="439" t="s">
        <v>55</v>
      </c>
      <c r="B9" s="374">
        <v>0</v>
      </c>
    </row>
    <row r="10" spans="1:8" ht="16.2" thickBot="1" x14ac:dyDescent="0.35">
      <c r="A10" s="439" t="s">
        <v>57</v>
      </c>
      <c r="B10" s="374">
        <v>0</v>
      </c>
    </row>
    <row r="11" spans="1:8" ht="16.2" thickBot="1" x14ac:dyDescent="0.35">
      <c r="A11" s="439"/>
      <c r="B11" s="374">
        <v>0</v>
      </c>
    </row>
    <row r="12" spans="1:8" ht="16.2" thickBot="1" x14ac:dyDescent="0.35">
      <c r="A12" s="439"/>
      <c r="B12" s="10"/>
      <c r="C12" s="96">
        <f>SUM(B7:B11)</f>
        <v>100000</v>
      </c>
    </row>
    <row r="13" spans="1:8" x14ac:dyDescent="0.3">
      <c r="A13" s="438"/>
      <c r="C13" s="10" t="s">
        <v>9</v>
      </c>
    </row>
    <row r="15" spans="1:8" ht="31.2" x14ac:dyDescent="0.3">
      <c r="A15" s="384" t="s">
        <v>17</v>
      </c>
      <c r="B15" s="385" t="s">
        <v>18</v>
      </c>
      <c r="C15" s="384" t="s">
        <v>19</v>
      </c>
      <c r="D15" s="384" t="s">
        <v>20</v>
      </c>
      <c r="E15" s="384" t="s">
        <v>21</v>
      </c>
      <c r="F15" s="384" t="s">
        <v>22</v>
      </c>
    </row>
    <row r="16" spans="1:8" ht="16.2" thickBot="1" x14ac:dyDescent="0.35">
      <c r="A16" s="437" t="s">
        <v>23</v>
      </c>
      <c r="B16" s="100">
        <f>7400+610.58+2550</f>
        <v>10560.58</v>
      </c>
      <c r="C16" s="100">
        <f>3000+B16</f>
        <v>13560.58</v>
      </c>
      <c r="D16" s="359" t="s">
        <v>423</v>
      </c>
      <c r="E16" s="359" t="s">
        <v>2045</v>
      </c>
      <c r="F16" s="383"/>
      <c r="H16" s="97"/>
    </row>
    <row r="17" spans="1:8" ht="16.2" thickBot="1" x14ac:dyDescent="0.35">
      <c r="A17" s="437" t="s">
        <v>25</v>
      </c>
      <c r="B17" s="96">
        <f>5500+3597.07</f>
        <v>9097.07</v>
      </c>
      <c r="C17" s="96">
        <f>6000+2250+B17</f>
        <v>17347.07</v>
      </c>
      <c r="D17" s="359" t="s">
        <v>423</v>
      </c>
      <c r="E17" s="359" t="s">
        <v>2045</v>
      </c>
      <c r="F17" s="377"/>
      <c r="H17" s="97"/>
    </row>
    <row r="18" spans="1:8" ht="16.2" thickBot="1" x14ac:dyDescent="0.35">
      <c r="A18" s="437" t="s">
        <v>26</v>
      </c>
      <c r="B18" s="96">
        <v>0</v>
      </c>
      <c r="C18" s="96">
        <v>3500</v>
      </c>
      <c r="D18" s="359" t="s">
        <v>423</v>
      </c>
      <c r="E18" s="387" t="s">
        <v>2046</v>
      </c>
      <c r="F18" s="377"/>
      <c r="H18" s="97"/>
    </row>
    <row r="19" spans="1:8" ht="16.2" thickBot="1" x14ac:dyDescent="0.35">
      <c r="A19" s="437" t="s">
        <v>27</v>
      </c>
      <c r="B19" s="96">
        <v>0</v>
      </c>
      <c r="C19" s="96">
        <v>14400</v>
      </c>
      <c r="D19" s="359" t="s">
        <v>423</v>
      </c>
      <c r="E19" s="359" t="s">
        <v>2045</v>
      </c>
      <c r="F19" s="377"/>
      <c r="H19" s="97"/>
    </row>
    <row r="20" spans="1:8" ht="16.2" thickBot="1" x14ac:dyDescent="0.35">
      <c r="A20" s="437" t="s">
        <v>29</v>
      </c>
      <c r="B20" s="96">
        <v>29300</v>
      </c>
      <c r="C20" s="96">
        <v>29300</v>
      </c>
      <c r="D20" s="359" t="s">
        <v>423</v>
      </c>
      <c r="E20" s="359" t="s">
        <v>2045</v>
      </c>
      <c r="F20" s="377"/>
      <c r="H20" s="97"/>
    </row>
    <row r="21" spans="1:8" ht="16.2" thickBot="1" x14ac:dyDescent="0.35">
      <c r="A21" s="437" t="s">
        <v>30</v>
      </c>
      <c r="B21" s="96">
        <f>1740+961.64</f>
        <v>2701.64</v>
      </c>
      <c r="C21" s="96">
        <f>15000+2702</f>
        <v>17702</v>
      </c>
      <c r="D21" s="359" t="s">
        <v>423</v>
      </c>
      <c r="E21" s="359" t="s">
        <v>2045</v>
      </c>
      <c r="F21" s="377"/>
      <c r="H21" s="97"/>
    </row>
    <row r="22" spans="1:8" ht="16.2" thickBot="1" x14ac:dyDescent="0.35">
      <c r="A22" s="437" t="s">
        <v>1161</v>
      </c>
      <c r="B22" s="96">
        <f>2300+106.99</f>
        <v>2406.9899999999998</v>
      </c>
      <c r="C22" s="96">
        <f>3000+2407</f>
        <v>5407</v>
      </c>
      <c r="D22" s="359" t="s">
        <v>423</v>
      </c>
      <c r="E22" s="359" t="s">
        <v>2045</v>
      </c>
      <c r="F22" s="377"/>
      <c r="H22" s="97"/>
    </row>
    <row r="23" spans="1:8" ht="16.2" thickBot="1" x14ac:dyDescent="0.35">
      <c r="A23" s="437" t="s">
        <v>2047</v>
      </c>
      <c r="B23" s="96">
        <f>2300+392.88</f>
        <v>2692.88</v>
      </c>
      <c r="C23" s="96">
        <f>5000+2693</f>
        <v>7693</v>
      </c>
      <c r="D23" s="359" t="s">
        <v>423</v>
      </c>
      <c r="E23" s="359" t="s">
        <v>2045</v>
      </c>
      <c r="F23" s="377"/>
      <c r="H23" s="97"/>
    </row>
    <row r="24" spans="1:8" ht="16.2" thickBot="1" x14ac:dyDescent="0.35">
      <c r="A24" s="437" t="s">
        <v>2048</v>
      </c>
      <c r="B24" s="96">
        <v>0</v>
      </c>
      <c r="C24" s="96">
        <v>96000</v>
      </c>
      <c r="D24" s="359" t="s">
        <v>423</v>
      </c>
      <c r="E24" s="359" t="s">
        <v>89</v>
      </c>
      <c r="F24" s="377"/>
      <c r="H24" s="97"/>
    </row>
    <row r="25" spans="1:8" ht="16.2" thickBot="1" x14ac:dyDescent="0.35">
      <c r="A25" s="378"/>
      <c r="B25" s="96">
        <v>0</v>
      </c>
      <c r="C25" s="96">
        <v>0</v>
      </c>
      <c r="D25" s="387"/>
      <c r="E25" s="387"/>
      <c r="F25" s="377"/>
    </row>
    <row r="26" spans="1:8" ht="16.2" thickBot="1" x14ac:dyDescent="0.35">
      <c r="A26" s="202" t="s">
        <v>799</v>
      </c>
      <c r="B26" s="96">
        <f>SUM(B16:B25)</f>
        <v>56759.159999999996</v>
      </c>
      <c r="C26" s="96">
        <f>SUM(C16:C25)</f>
        <v>204909.65</v>
      </c>
      <c r="D26" s="388"/>
      <c r="E26" s="388"/>
      <c r="F26" s="380"/>
    </row>
    <row r="27" spans="1:8" x14ac:dyDescent="0.3">
      <c r="A27" s="446"/>
      <c r="B27" s="97"/>
      <c r="C27" s="447"/>
    </row>
  </sheetData>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4CFD-407D-40D1-8F95-32F036679F4B}">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1478</v>
      </c>
      <c r="B2" s="4">
        <v>19080394.261999998</v>
      </c>
      <c r="C2" s="3" t="s">
        <v>1479</v>
      </c>
      <c r="D2" s="5">
        <v>12292343</v>
      </c>
      <c r="E2" s="3" t="s">
        <v>525</v>
      </c>
      <c r="F2" s="6" t="s">
        <v>1480</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17048354.014999997</v>
      </c>
    </row>
    <row r="9" spans="1:8" ht="16.2" thickBot="1" x14ac:dyDescent="0.35">
      <c r="A9" s="11" t="s">
        <v>55</v>
      </c>
      <c r="B9" s="12">
        <v>0</v>
      </c>
    </row>
    <row r="10" spans="1:8" ht="16.2" thickBot="1" x14ac:dyDescent="0.35">
      <c r="A10" s="11" t="s">
        <v>57</v>
      </c>
      <c r="B10" s="12">
        <v>0</v>
      </c>
    </row>
    <row r="11" spans="1:8" ht="16.2" thickBot="1" x14ac:dyDescent="0.35">
      <c r="A11" s="307" t="s">
        <v>1481</v>
      </c>
      <c r="B11" s="12">
        <v>2032040.247</v>
      </c>
    </row>
    <row r="12" spans="1:8" ht="16.2" thickBot="1" x14ac:dyDescent="0.35">
      <c r="A12" s="11"/>
      <c r="B12" s="10"/>
      <c r="C12" s="12">
        <v>19080394.261999998</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6444.8799999999992</v>
      </c>
      <c r="C16" s="16">
        <v>13924.88</v>
      </c>
      <c r="D16" s="17" t="s">
        <v>525</v>
      </c>
      <c r="E16" s="17" t="s">
        <v>764</v>
      </c>
      <c r="F16" s="18"/>
    </row>
    <row r="17" spans="1:6" ht="16.2" thickBot="1" x14ac:dyDescent="0.35">
      <c r="A17" s="15" t="s">
        <v>25</v>
      </c>
      <c r="B17" s="12">
        <v>12038.66</v>
      </c>
      <c r="C17" s="12">
        <v>33238.660000000003</v>
      </c>
      <c r="D17" s="19" t="s">
        <v>525</v>
      </c>
      <c r="E17" s="19" t="s">
        <v>764</v>
      </c>
      <c r="F17" s="20"/>
    </row>
    <row r="18" spans="1:6" ht="16.2" thickBot="1" x14ac:dyDescent="0.35">
      <c r="A18" s="15" t="s">
        <v>26</v>
      </c>
      <c r="B18" s="12">
        <v>52577.21</v>
      </c>
      <c r="C18" s="12">
        <v>157368</v>
      </c>
      <c r="D18" s="19" t="s">
        <v>1482</v>
      </c>
      <c r="E18" s="19" t="s">
        <v>1483</v>
      </c>
      <c r="F18" s="20" t="s">
        <v>1484</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14000</v>
      </c>
      <c r="D21" s="19" t="s">
        <v>525</v>
      </c>
      <c r="E21" s="19" t="s">
        <v>764</v>
      </c>
      <c r="F21" s="20"/>
    </row>
    <row r="22" spans="1:6" ht="16.2" thickBot="1" x14ac:dyDescent="0.35">
      <c r="A22" s="15" t="s">
        <v>30</v>
      </c>
      <c r="B22" s="12">
        <v>6767.88</v>
      </c>
      <c r="C22" s="12">
        <v>10030</v>
      </c>
      <c r="D22" s="19" t="s">
        <v>525</v>
      </c>
      <c r="E22" s="19" t="s">
        <v>764</v>
      </c>
      <c r="F22" s="20"/>
    </row>
    <row r="23" spans="1:6" ht="16.2" thickBot="1" x14ac:dyDescent="0.35">
      <c r="A23" s="308" t="s">
        <v>1485</v>
      </c>
      <c r="B23" s="12">
        <v>5974.14</v>
      </c>
      <c r="C23" s="12">
        <v>1000</v>
      </c>
      <c r="D23" s="19" t="s">
        <v>525</v>
      </c>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83802.77</v>
      </c>
      <c r="C29" s="22">
        <v>229561.54</v>
      </c>
      <c r="D29" s="23"/>
      <c r="E29" s="23"/>
      <c r="F29" s="24"/>
    </row>
  </sheetData>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31B3-2DBD-4E6A-B6C1-FA36FB800296}">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1486</v>
      </c>
      <c r="B2" s="4">
        <v>2484774.1666666665</v>
      </c>
      <c r="C2" s="3" t="s">
        <v>1487</v>
      </c>
      <c r="D2" s="5" t="s">
        <v>1488</v>
      </c>
      <c r="E2" s="3" t="s">
        <v>690</v>
      </c>
      <c r="F2" s="6" t="s">
        <v>1489</v>
      </c>
      <c r="G2" s="5">
        <v>0</v>
      </c>
      <c r="H2" s="5">
        <v>2500000</v>
      </c>
    </row>
    <row r="4" spans="1:8" x14ac:dyDescent="0.3">
      <c r="A4" s="8" t="s">
        <v>11</v>
      </c>
    </row>
    <row r="6" spans="1:8" ht="16.2" thickBot="1" x14ac:dyDescent="0.35">
      <c r="A6" s="9" t="s">
        <v>12</v>
      </c>
      <c r="B6" s="10" t="s">
        <v>9</v>
      </c>
    </row>
    <row r="7" spans="1:8" ht="16.2" thickBot="1" x14ac:dyDescent="0.35">
      <c r="A7" s="11" t="s">
        <v>51</v>
      </c>
      <c r="B7" s="12">
        <v>250000</v>
      </c>
    </row>
    <row r="8" spans="1:8" ht="16.2" thickBot="1" x14ac:dyDescent="0.35">
      <c r="A8" s="11" t="s">
        <v>53</v>
      </c>
      <c r="B8" s="12">
        <v>2000000</v>
      </c>
    </row>
    <row r="9" spans="1:8" ht="16.2" thickBot="1" x14ac:dyDescent="0.35">
      <c r="A9" s="11" t="s">
        <v>55</v>
      </c>
      <c r="B9" s="116">
        <v>97574.166666666672</v>
      </c>
    </row>
    <row r="10" spans="1:8" ht="16.2" thickBot="1" x14ac:dyDescent="0.35">
      <c r="A10" s="11" t="s">
        <v>57</v>
      </c>
      <c r="B10" s="12">
        <v>0</v>
      </c>
    </row>
    <row r="11" spans="1:8" ht="16.2" thickBot="1" x14ac:dyDescent="0.35">
      <c r="A11" s="11" t="s">
        <v>1490</v>
      </c>
      <c r="B11" s="12">
        <v>137200</v>
      </c>
    </row>
    <row r="12" spans="1:8" ht="16.2" thickBot="1" x14ac:dyDescent="0.35">
      <c r="A12" s="11"/>
      <c r="B12" s="10"/>
      <c r="C12" s="12">
        <v>2484774.1666666665</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196.65</v>
      </c>
      <c r="C16" s="16">
        <v>5250</v>
      </c>
      <c r="D16" s="17" t="s">
        <v>24</v>
      </c>
      <c r="E16" s="17" t="s">
        <v>79</v>
      </c>
      <c r="F16" s="18" t="s">
        <v>1491</v>
      </c>
    </row>
    <row r="17" spans="1:6" ht="16.2" thickBot="1" x14ac:dyDescent="0.35">
      <c r="A17" s="15" t="s">
        <v>25</v>
      </c>
      <c r="B17" s="12">
        <v>1993.97</v>
      </c>
      <c r="C17" s="12">
        <v>16752.919999999998</v>
      </c>
      <c r="D17" s="19" t="s">
        <v>24</v>
      </c>
      <c r="E17" s="19" t="s">
        <v>79</v>
      </c>
      <c r="F17" s="20" t="s">
        <v>1492</v>
      </c>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600</v>
      </c>
      <c r="C21" s="12">
        <v>5000</v>
      </c>
      <c r="D21" s="19" t="s">
        <v>24</v>
      </c>
      <c r="E21" s="19" t="s">
        <v>79</v>
      </c>
      <c r="F21" s="20" t="s">
        <v>1493</v>
      </c>
    </row>
    <row r="22" spans="1:6" ht="16.2" thickBot="1" x14ac:dyDescent="0.35">
      <c r="A22" s="15" t="s">
        <v>30</v>
      </c>
      <c r="B22" s="12">
        <v>5164.1099999999997</v>
      </c>
      <c r="C22" s="12">
        <v>15000</v>
      </c>
      <c r="D22" s="19" t="s">
        <v>24</v>
      </c>
      <c r="E22" s="19" t="s">
        <v>79</v>
      </c>
      <c r="F22" s="20" t="s">
        <v>1494</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7954.73</v>
      </c>
      <c r="C29" s="22">
        <v>42002.92</v>
      </c>
      <c r="D29" s="23"/>
      <c r="E29" s="23"/>
      <c r="F29" s="24"/>
    </row>
  </sheetData>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8A29-029C-4F7D-93F7-1537103895CE}">
  <dimension ref="A1:H31"/>
  <sheetViews>
    <sheetView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69.441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1495</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2788</v>
      </c>
      <c r="C16" s="16">
        <v>2788</v>
      </c>
      <c r="D16" s="17" t="s">
        <v>24</v>
      </c>
      <c r="E16" s="17" t="s">
        <v>24</v>
      </c>
      <c r="F16" s="18" t="s">
        <v>1496</v>
      </c>
    </row>
    <row r="17" spans="1:6" ht="16.2" thickBot="1" x14ac:dyDescent="0.35">
      <c r="A17" s="15" t="s">
        <v>25</v>
      </c>
      <c r="B17" s="12">
        <v>3380</v>
      </c>
      <c r="C17" s="12">
        <v>5380</v>
      </c>
      <c r="D17" s="19" t="s">
        <v>24</v>
      </c>
      <c r="E17" s="19" t="s">
        <v>24</v>
      </c>
      <c r="F17" s="20" t="s">
        <v>1497</v>
      </c>
    </row>
    <row r="18" spans="1:6" ht="16.2" thickBot="1" x14ac:dyDescent="0.35">
      <c r="A18" s="15" t="s">
        <v>26</v>
      </c>
      <c r="B18" s="12">
        <v>75765</v>
      </c>
      <c r="C18" s="12">
        <v>151530</v>
      </c>
      <c r="D18" s="19" t="s">
        <v>24</v>
      </c>
      <c r="E18" s="19" t="s">
        <v>24</v>
      </c>
      <c r="F18" s="20" t="s">
        <v>1498</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3200</v>
      </c>
      <c r="C22" s="12">
        <v>4108</v>
      </c>
      <c r="D22" s="19" t="s">
        <v>24</v>
      </c>
      <c r="E22" s="19" t="s">
        <v>24</v>
      </c>
      <c r="F22" s="20" t="s">
        <v>1499</v>
      </c>
    </row>
    <row r="23" spans="1:6" ht="16.2" thickBot="1" x14ac:dyDescent="0.35">
      <c r="A23" s="11"/>
      <c r="B23" s="12">
        <v>0</v>
      </c>
      <c r="C23" s="12">
        <v>0</v>
      </c>
      <c r="D23" s="19"/>
      <c r="E23" s="19"/>
      <c r="F23" s="20"/>
    </row>
    <row r="24" spans="1:6" ht="16.2" thickBot="1" x14ac:dyDescent="0.35">
      <c r="A24" s="15" t="s">
        <v>1250</v>
      </c>
      <c r="B24" s="12">
        <v>0</v>
      </c>
      <c r="C24" s="12">
        <v>352120</v>
      </c>
      <c r="D24" s="19" t="s">
        <v>10</v>
      </c>
      <c r="E24" s="19" t="s">
        <v>106</v>
      </c>
      <c r="F24" s="20" t="s">
        <v>1251</v>
      </c>
    </row>
    <row r="25" spans="1:6" ht="16.2" thickBot="1" x14ac:dyDescent="0.35">
      <c r="A25" s="15" t="s">
        <v>1252</v>
      </c>
      <c r="B25" s="12"/>
      <c r="C25" s="12">
        <v>50000</v>
      </c>
      <c r="D25" s="19" t="s">
        <v>10</v>
      </c>
      <c r="E25" s="19" t="s">
        <v>106</v>
      </c>
      <c r="F25" s="20" t="s">
        <v>1251</v>
      </c>
    </row>
    <row r="26" spans="1:6" ht="16.2" thickBot="1" x14ac:dyDescent="0.35">
      <c r="A26" s="15" t="s">
        <v>1500</v>
      </c>
      <c r="B26" s="12">
        <v>39980</v>
      </c>
      <c r="C26" s="12">
        <v>79960</v>
      </c>
      <c r="D26" s="19" t="s">
        <v>24</v>
      </c>
      <c r="E26" s="19" t="s">
        <v>106</v>
      </c>
      <c r="F26" s="20" t="s">
        <v>1501</v>
      </c>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125113</v>
      </c>
      <c r="C29" s="22">
        <v>645886</v>
      </c>
      <c r="D29" s="23"/>
      <c r="E29" s="23"/>
      <c r="F29" s="24"/>
    </row>
    <row r="31" spans="1:6" x14ac:dyDescent="0.3">
      <c r="A31" s="7" t="s">
        <v>1253</v>
      </c>
    </row>
  </sheetData>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BEF67-E92B-4E36-9100-B192D9A702B9}">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3.88671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351</v>
      </c>
      <c r="B2" s="4">
        <v>5000</v>
      </c>
      <c r="C2" s="3" t="s">
        <v>1502</v>
      </c>
      <c r="D2" s="28">
        <v>6566843</v>
      </c>
      <c r="E2" s="3" t="s">
        <v>1503</v>
      </c>
      <c r="F2" s="6"/>
      <c r="G2" s="5">
        <v>0</v>
      </c>
      <c r="H2" s="5">
        <v>0</v>
      </c>
    </row>
    <row r="4" spans="1:8" x14ac:dyDescent="0.3">
      <c r="A4" s="8" t="s">
        <v>11</v>
      </c>
    </row>
    <row r="6" spans="1:8" ht="16.2" thickBot="1" x14ac:dyDescent="0.35">
      <c r="A6" s="9" t="s">
        <v>12</v>
      </c>
      <c r="B6" s="10" t="s">
        <v>9</v>
      </c>
    </row>
    <row r="7" spans="1:8" ht="16.2" thickBot="1" x14ac:dyDescent="0.35">
      <c r="A7" s="11" t="s">
        <v>13</v>
      </c>
      <c r="B7" s="12">
        <v>5000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309">
        <v>8224.380000000001</v>
      </c>
      <c r="C15" s="309">
        <v>11342.18</v>
      </c>
      <c r="D15" s="17"/>
      <c r="E15" s="17"/>
      <c r="F15" s="18"/>
    </row>
    <row r="16" spans="1:8" ht="16.2" thickBot="1" x14ac:dyDescent="0.35">
      <c r="A16" s="15" t="s">
        <v>25</v>
      </c>
      <c r="B16" s="309">
        <v>0</v>
      </c>
      <c r="C16" s="309">
        <v>16120.96</v>
      </c>
      <c r="D16" s="19"/>
      <c r="E16" s="19"/>
      <c r="F16" s="20"/>
    </row>
    <row r="17" spans="1:6" ht="16.2" thickBot="1" x14ac:dyDescent="0.35">
      <c r="A17" s="15" t="s">
        <v>26</v>
      </c>
      <c r="B17" s="309">
        <v>0</v>
      </c>
      <c r="C17" s="309">
        <v>0</v>
      </c>
      <c r="D17" s="19"/>
      <c r="E17" s="19"/>
      <c r="F17" s="20"/>
    </row>
    <row r="18" spans="1:6" ht="16.2" thickBot="1" x14ac:dyDescent="0.35">
      <c r="A18" s="15" t="s">
        <v>27</v>
      </c>
      <c r="B18" s="309">
        <v>0</v>
      </c>
      <c r="C18" s="309">
        <v>0</v>
      </c>
      <c r="D18" s="19"/>
      <c r="E18" s="19"/>
      <c r="F18" s="20"/>
    </row>
    <row r="19" spans="1:6" ht="16.2" thickBot="1" x14ac:dyDescent="0.35">
      <c r="A19" s="15" t="s">
        <v>28</v>
      </c>
      <c r="B19" s="309">
        <v>0</v>
      </c>
      <c r="C19" s="309">
        <v>0</v>
      </c>
      <c r="D19" s="19"/>
      <c r="E19" s="19"/>
      <c r="F19" s="20"/>
    </row>
    <row r="20" spans="1:6" ht="16.2" thickBot="1" x14ac:dyDescent="0.35">
      <c r="A20" s="15" t="s">
        <v>29</v>
      </c>
      <c r="B20" s="309">
        <v>21032.11</v>
      </c>
      <c r="C20" s="309">
        <v>60379.5</v>
      </c>
      <c r="D20" s="19"/>
      <c r="E20" s="19"/>
      <c r="F20" s="20"/>
    </row>
    <row r="21" spans="1:6" ht="16.2" thickBot="1" x14ac:dyDescent="0.35">
      <c r="A21" s="15" t="s">
        <v>30</v>
      </c>
      <c r="B21" s="12">
        <v>7665.38</v>
      </c>
      <c r="C21" s="12">
        <v>10121.65</v>
      </c>
      <c r="D21" s="19"/>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36921.870000000003</v>
      </c>
      <c r="C28" s="22">
        <v>97964.29</v>
      </c>
      <c r="D28" s="23"/>
      <c r="E28" s="23"/>
      <c r="F28" s="2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0840-21C2-425A-8CB9-5F85476388FE}">
  <sheetPr>
    <pageSetUpPr fitToPage="1"/>
  </sheetPr>
  <dimension ref="A1:E171"/>
  <sheetViews>
    <sheetView tabSelected="1" workbookViewId="0"/>
  </sheetViews>
  <sheetFormatPr defaultColWidth="17.6640625" defaultRowHeight="15.6" x14ac:dyDescent="0.3"/>
  <cols>
    <col min="1" max="1" width="7.88671875" style="700" bestFit="1" customWidth="1"/>
    <col min="2" max="2" width="35.5546875" style="93" bestFit="1" customWidth="1"/>
    <col min="3" max="3" width="17.33203125" style="663" bestFit="1" customWidth="1"/>
    <col min="4" max="4" width="17.6640625" style="10"/>
    <col min="5" max="5" width="53.33203125" style="700" bestFit="1" customWidth="1"/>
    <col min="6" max="16384" width="17.6640625" style="372"/>
  </cols>
  <sheetData>
    <row r="1" spans="1:5" s="662" customFormat="1" x14ac:dyDescent="0.3">
      <c r="A1" s="384" t="s">
        <v>354</v>
      </c>
      <c r="B1" s="418" t="s">
        <v>2485</v>
      </c>
      <c r="C1" s="385" t="s">
        <v>2499</v>
      </c>
      <c r="D1" s="385" t="s">
        <v>2501</v>
      </c>
      <c r="E1" s="384" t="s">
        <v>2500</v>
      </c>
    </row>
    <row r="2" spans="1:5" x14ac:dyDescent="0.3">
      <c r="A2" s="82">
        <v>1</v>
      </c>
      <c r="B2" s="82" t="s">
        <v>355</v>
      </c>
      <c r="C2" s="663">
        <v>6974</v>
      </c>
      <c r="D2" s="10">
        <v>6974</v>
      </c>
    </row>
    <row r="3" spans="1:5" x14ac:dyDescent="0.3">
      <c r="A3" s="82">
        <v>2</v>
      </c>
      <c r="B3" s="92" t="s">
        <v>223</v>
      </c>
      <c r="C3" s="663">
        <v>251000</v>
      </c>
      <c r="D3" s="10">
        <v>251000</v>
      </c>
    </row>
    <row r="4" spans="1:5" x14ac:dyDescent="0.3">
      <c r="A4" s="82">
        <v>3</v>
      </c>
      <c r="B4" s="82" t="s">
        <v>356</v>
      </c>
      <c r="C4" s="663">
        <v>82901.61</v>
      </c>
      <c r="D4" s="10">
        <v>82902</v>
      </c>
    </row>
    <row r="5" spans="1:5" x14ac:dyDescent="0.3">
      <c r="A5" s="82">
        <v>4</v>
      </c>
      <c r="B5" s="82" t="s">
        <v>224</v>
      </c>
      <c r="C5" s="663">
        <v>18751.05</v>
      </c>
      <c r="D5" s="10">
        <v>18751</v>
      </c>
    </row>
    <row r="6" spans="1:5" x14ac:dyDescent="0.3">
      <c r="A6" s="82">
        <v>5</v>
      </c>
      <c r="B6" s="82" t="s">
        <v>62</v>
      </c>
      <c r="C6" s="663">
        <v>40286</v>
      </c>
      <c r="D6" s="10">
        <v>40286</v>
      </c>
    </row>
    <row r="7" spans="1:5" x14ac:dyDescent="0.3">
      <c r="A7" s="82">
        <v>6</v>
      </c>
      <c r="B7" s="82" t="s">
        <v>357</v>
      </c>
      <c r="C7" s="663">
        <v>37000</v>
      </c>
      <c r="D7" s="10">
        <v>37000</v>
      </c>
    </row>
    <row r="8" spans="1:5" x14ac:dyDescent="0.3">
      <c r="A8" s="82">
        <v>7</v>
      </c>
      <c r="B8" s="82" t="s">
        <v>358</v>
      </c>
      <c r="C8" s="663">
        <v>236684.5</v>
      </c>
      <c r="D8" s="10">
        <v>135475</v>
      </c>
      <c r="E8" s="700" t="s">
        <v>2544</v>
      </c>
    </row>
    <row r="9" spans="1:5" x14ac:dyDescent="0.3">
      <c r="A9" s="82">
        <v>8</v>
      </c>
      <c r="B9" s="82" t="s">
        <v>225</v>
      </c>
      <c r="C9" s="663">
        <v>25029.19</v>
      </c>
      <c r="D9" s="10">
        <v>25029</v>
      </c>
    </row>
    <row r="10" spans="1:5" x14ac:dyDescent="0.3">
      <c r="A10" s="82">
        <v>9</v>
      </c>
      <c r="B10" s="82" t="s">
        <v>359</v>
      </c>
      <c r="C10" s="663">
        <v>130954.42</v>
      </c>
      <c r="D10" s="10">
        <v>130954</v>
      </c>
    </row>
    <row r="11" spans="1:5" x14ac:dyDescent="0.3">
      <c r="A11" s="82">
        <v>10</v>
      </c>
      <c r="B11" s="82" t="s">
        <v>226</v>
      </c>
      <c r="C11" s="663">
        <v>11627.7</v>
      </c>
      <c r="D11" s="10">
        <v>11628</v>
      </c>
    </row>
    <row r="12" spans="1:5" x14ac:dyDescent="0.3">
      <c r="A12" s="82">
        <v>11</v>
      </c>
      <c r="B12" s="82" t="s">
        <v>109</v>
      </c>
      <c r="C12" s="663">
        <v>41064</v>
      </c>
      <c r="D12" s="10">
        <v>41064</v>
      </c>
    </row>
    <row r="13" spans="1:5" x14ac:dyDescent="0.3">
      <c r="A13" s="82">
        <v>12</v>
      </c>
      <c r="B13" s="82" t="s">
        <v>360</v>
      </c>
      <c r="C13" s="663">
        <v>17957.73</v>
      </c>
      <c r="D13" s="10">
        <v>17958</v>
      </c>
      <c r="E13" s="700" t="s">
        <v>9</v>
      </c>
    </row>
    <row r="14" spans="1:5" x14ac:dyDescent="0.3">
      <c r="A14" s="82">
        <v>13</v>
      </c>
      <c r="B14" s="82" t="s">
        <v>227</v>
      </c>
      <c r="C14" s="663">
        <v>3750</v>
      </c>
      <c r="D14" s="10">
        <v>3750</v>
      </c>
    </row>
    <row r="15" spans="1:5" x14ac:dyDescent="0.3">
      <c r="A15" s="82">
        <v>14</v>
      </c>
      <c r="B15" s="82" t="s">
        <v>228</v>
      </c>
      <c r="C15" s="663">
        <v>104384.12</v>
      </c>
      <c r="D15" s="10">
        <v>104384</v>
      </c>
    </row>
    <row r="16" spans="1:5" x14ac:dyDescent="0.3">
      <c r="A16" s="82">
        <v>15</v>
      </c>
      <c r="B16" s="82" t="s">
        <v>229</v>
      </c>
      <c r="C16" s="663">
        <v>1685000</v>
      </c>
      <c r="D16" s="10">
        <v>1185000</v>
      </c>
      <c r="E16" s="700" t="s">
        <v>2545</v>
      </c>
    </row>
    <row r="17" spans="1:5" x14ac:dyDescent="0.3">
      <c r="A17" s="82">
        <v>16</v>
      </c>
      <c r="B17" s="82" t="s">
        <v>230</v>
      </c>
      <c r="C17" s="663">
        <v>0</v>
      </c>
      <c r="D17" s="10">
        <v>0</v>
      </c>
    </row>
    <row r="18" spans="1:5" x14ac:dyDescent="0.3">
      <c r="A18" s="82">
        <v>17</v>
      </c>
      <c r="B18" s="82" t="s">
        <v>361</v>
      </c>
      <c r="C18" s="663">
        <v>1366931.58</v>
      </c>
      <c r="D18" s="10">
        <v>1366932</v>
      </c>
    </row>
    <row r="19" spans="1:5" x14ac:dyDescent="0.3">
      <c r="A19" s="82">
        <v>18</v>
      </c>
      <c r="B19" s="82" t="s">
        <v>231</v>
      </c>
      <c r="C19" s="663">
        <v>321242</v>
      </c>
      <c r="D19" s="10">
        <v>321242</v>
      </c>
    </row>
    <row r="20" spans="1:5" x14ac:dyDescent="0.3">
      <c r="A20" s="82">
        <v>19</v>
      </c>
      <c r="B20" s="82" t="s">
        <v>362</v>
      </c>
      <c r="C20" s="663">
        <v>2500</v>
      </c>
      <c r="D20" s="10">
        <v>2500</v>
      </c>
    </row>
    <row r="21" spans="1:5" x14ac:dyDescent="0.3">
      <c r="A21" s="82">
        <v>20</v>
      </c>
      <c r="B21" s="82" t="s">
        <v>232</v>
      </c>
      <c r="C21" s="663">
        <v>35868</v>
      </c>
      <c r="D21" s="10">
        <v>35868</v>
      </c>
      <c r="E21" s="700" t="s">
        <v>2580</v>
      </c>
    </row>
    <row r="22" spans="1:5" x14ac:dyDescent="0.3">
      <c r="A22" s="82">
        <v>21</v>
      </c>
      <c r="B22" s="82" t="s">
        <v>233</v>
      </c>
      <c r="C22" s="663">
        <v>23000</v>
      </c>
      <c r="D22" s="10">
        <v>23000</v>
      </c>
    </row>
    <row r="23" spans="1:5" x14ac:dyDescent="0.3">
      <c r="A23" s="82">
        <v>22</v>
      </c>
      <c r="B23" s="82" t="s">
        <v>234</v>
      </c>
      <c r="C23" s="663">
        <v>58926</v>
      </c>
      <c r="D23" s="10">
        <v>58926</v>
      </c>
    </row>
    <row r="24" spans="1:5" x14ac:dyDescent="0.3">
      <c r="A24" s="82">
        <v>23</v>
      </c>
      <c r="B24" s="82" t="s">
        <v>235</v>
      </c>
      <c r="C24" s="663">
        <v>141788.93</v>
      </c>
      <c r="D24" s="10">
        <v>71869</v>
      </c>
      <c r="E24" s="700" t="s">
        <v>2544</v>
      </c>
    </row>
    <row r="25" spans="1:5" x14ac:dyDescent="0.3">
      <c r="A25" s="82">
        <v>24</v>
      </c>
      <c r="B25" s="82" t="s">
        <v>236</v>
      </c>
      <c r="C25" s="663">
        <v>3685.61</v>
      </c>
      <c r="D25" s="10">
        <v>3700</v>
      </c>
      <c r="E25" s="700" t="s">
        <v>2593</v>
      </c>
    </row>
    <row r="26" spans="1:5" x14ac:dyDescent="0.3">
      <c r="A26" s="82">
        <v>25</v>
      </c>
      <c r="B26" s="82" t="s">
        <v>237</v>
      </c>
      <c r="C26" s="663">
        <v>655350</v>
      </c>
      <c r="D26" s="10">
        <v>655350</v>
      </c>
    </row>
    <row r="27" spans="1:5" x14ac:dyDescent="0.3">
      <c r="A27" s="82">
        <v>26</v>
      </c>
      <c r="B27" s="92" t="s">
        <v>238</v>
      </c>
      <c r="C27" s="663">
        <v>44000</v>
      </c>
      <c r="D27" s="10">
        <v>44000</v>
      </c>
    </row>
    <row r="28" spans="1:5" x14ac:dyDescent="0.3">
      <c r="A28" s="82">
        <v>27</v>
      </c>
      <c r="B28" s="82" t="s">
        <v>239</v>
      </c>
      <c r="C28" s="663">
        <v>65210</v>
      </c>
      <c r="D28" s="10">
        <v>65210</v>
      </c>
    </row>
    <row r="29" spans="1:5" x14ac:dyDescent="0.3">
      <c r="A29" s="82">
        <v>28</v>
      </c>
      <c r="B29" s="92" t="s">
        <v>240</v>
      </c>
      <c r="C29" s="663">
        <v>166092.56</v>
      </c>
      <c r="D29" s="10">
        <v>166093</v>
      </c>
    </row>
    <row r="30" spans="1:5" x14ac:dyDescent="0.3">
      <c r="A30" s="82">
        <v>29</v>
      </c>
      <c r="B30" s="82" t="s">
        <v>241</v>
      </c>
      <c r="C30" s="663">
        <v>24305</v>
      </c>
      <c r="D30" s="10">
        <v>24305</v>
      </c>
    </row>
    <row r="31" spans="1:5" x14ac:dyDescent="0.3">
      <c r="A31" s="82">
        <v>30</v>
      </c>
      <c r="B31" s="92" t="s">
        <v>242</v>
      </c>
      <c r="C31" s="663">
        <v>37690</v>
      </c>
      <c r="D31" s="10">
        <v>37690</v>
      </c>
    </row>
    <row r="32" spans="1:5" x14ac:dyDescent="0.3">
      <c r="A32" s="82">
        <v>31</v>
      </c>
      <c r="B32" s="82" t="s">
        <v>243</v>
      </c>
      <c r="C32" s="663">
        <v>14500</v>
      </c>
      <c r="D32" s="10">
        <v>14500</v>
      </c>
    </row>
    <row r="33" spans="1:5" x14ac:dyDescent="0.3">
      <c r="A33" s="82">
        <v>32</v>
      </c>
      <c r="B33" s="92" t="s">
        <v>244</v>
      </c>
      <c r="C33" s="663">
        <v>81004</v>
      </c>
      <c r="D33" s="10">
        <v>81004</v>
      </c>
    </row>
    <row r="34" spans="1:5" x14ac:dyDescent="0.3">
      <c r="A34" s="82">
        <v>33</v>
      </c>
      <c r="B34" s="82" t="s">
        <v>245</v>
      </c>
      <c r="C34" s="663">
        <v>549134.86</v>
      </c>
      <c r="D34" s="10">
        <v>77615</v>
      </c>
      <c r="E34" s="700" t="s">
        <v>2546</v>
      </c>
    </row>
    <row r="35" spans="1:5" x14ac:dyDescent="0.3">
      <c r="A35" s="82">
        <v>34</v>
      </c>
      <c r="B35" s="92" t="s">
        <v>246</v>
      </c>
      <c r="C35" s="663">
        <v>3655615</v>
      </c>
      <c r="D35" s="10">
        <v>1055918</v>
      </c>
      <c r="E35" s="700" t="s">
        <v>2546</v>
      </c>
    </row>
    <row r="36" spans="1:5" x14ac:dyDescent="0.3">
      <c r="A36" s="82">
        <v>35</v>
      </c>
      <c r="B36" s="82" t="s">
        <v>247</v>
      </c>
      <c r="C36" s="663">
        <v>40282</v>
      </c>
      <c r="D36" s="10">
        <v>40282</v>
      </c>
      <c r="E36" s="700" t="s">
        <v>2585</v>
      </c>
    </row>
    <row r="37" spans="1:5" x14ac:dyDescent="0.3">
      <c r="A37" s="82">
        <v>36</v>
      </c>
      <c r="B37" s="92" t="s">
        <v>248</v>
      </c>
      <c r="C37" s="663">
        <v>48864.74</v>
      </c>
      <c r="D37" s="10">
        <v>48865</v>
      </c>
    </row>
    <row r="38" spans="1:5" x14ac:dyDescent="0.3">
      <c r="A38" s="82">
        <v>37</v>
      </c>
      <c r="B38" s="82" t="s">
        <v>249</v>
      </c>
      <c r="C38" s="663">
        <v>76200</v>
      </c>
      <c r="D38" s="10">
        <v>76200</v>
      </c>
    </row>
    <row r="39" spans="1:5" x14ac:dyDescent="0.3">
      <c r="A39" s="82">
        <v>38</v>
      </c>
      <c r="B39" s="92" t="s">
        <v>250</v>
      </c>
      <c r="C39" s="663">
        <v>55856</v>
      </c>
      <c r="D39" s="10">
        <v>55856</v>
      </c>
    </row>
    <row r="40" spans="1:5" x14ac:dyDescent="0.3">
      <c r="A40" s="82">
        <v>39</v>
      </c>
      <c r="B40" s="82" t="s">
        <v>256</v>
      </c>
      <c r="C40" s="663">
        <v>10500</v>
      </c>
      <c r="D40" s="10">
        <v>10500</v>
      </c>
    </row>
    <row r="41" spans="1:5" x14ac:dyDescent="0.3">
      <c r="A41" s="82">
        <v>40</v>
      </c>
      <c r="B41" s="92" t="s">
        <v>251</v>
      </c>
      <c r="C41" s="663">
        <v>22800</v>
      </c>
      <c r="D41" s="10">
        <v>22800</v>
      </c>
    </row>
    <row r="42" spans="1:5" x14ac:dyDescent="0.3">
      <c r="A42" s="82">
        <v>41</v>
      </c>
      <c r="B42" s="82" t="s">
        <v>252</v>
      </c>
      <c r="C42" s="663">
        <v>125500</v>
      </c>
      <c r="D42" s="10">
        <v>95500</v>
      </c>
      <c r="E42" s="700" t="s">
        <v>2547</v>
      </c>
    </row>
    <row r="43" spans="1:5" x14ac:dyDescent="0.3">
      <c r="A43" s="82">
        <v>42</v>
      </c>
      <c r="B43" s="92" t="s">
        <v>253</v>
      </c>
      <c r="C43" s="663">
        <v>14691.24</v>
      </c>
      <c r="D43" s="10">
        <v>14691</v>
      </c>
    </row>
    <row r="44" spans="1:5" x14ac:dyDescent="0.3">
      <c r="A44" s="82">
        <v>43</v>
      </c>
      <c r="B44" s="82" t="s">
        <v>254</v>
      </c>
      <c r="C44" s="663">
        <v>895211.62</v>
      </c>
      <c r="D44" s="10">
        <v>680212</v>
      </c>
      <c r="E44" s="700" t="s">
        <v>2546</v>
      </c>
    </row>
    <row r="45" spans="1:5" x14ac:dyDescent="0.3">
      <c r="A45" s="82">
        <v>44</v>
      </c>
      <c r="B45" s="92" t="s">
        <v>255</v>
      </c>
      <c r="C45" s="663">
        <v>455033</v>
      </c>
      <c r="D45" s="10">
        <v>455033</v>
      </c>
    </row>
    <row r="46" spans="1:5" x14ac:dyDescent="0.3">
      <c r="A46" s="82">
        <v>45</v>
      </c>
      <c r="B46" s="82" t="s">
        <v>363</v>
      </c>
      <c r="C46" s="663">
        <v>391728.03</v>
      </c>
      <c r="D46" s="10">
        <v>168090</v>
      </c>
      <c r="E46" s="700" t="s">
        <v>2558</v>
      </c>
    </row>
    <row r="47" spans="1:5" x14ac:dyDescent="0.3">
      <c r="A47" s="82">
        <v>46</v>
      </c>
      <c r="B47" s="92" t="s">
        <v>257</v>
      </c>
      <c r="C47" s="663">
        <v>2227.3200000000002</v>
      </c>
      <c r="D47" s="10">
        <v>2227</v>
      </c>
    </row>
    <row r="48" spans="1:5" x14ac:dyDescent="0.3">
      <c r="A48" s="82">
        <v>47</v>
      </c>
      <c r="B48" s="82" t="s">
        <v>364</v>
      </c>
      <c r="C48" s="663">
        <v>161336.47</v>
      </c>
      <c r="D48" s="10">
        <v>161336</v>
      </c>
    </row>
    <row r="49" spans="1:5" x14ac:dyDescent="0.3">
      <c r="A49" s="82">
        <v>48</v>
      </c>
      <c r="B49" s="92" t="s">
        <v>258</v>
      </c>
      <c r="C49" s="663">
        <v>14468</v>
      </c>
      <c r="D49" s="10">
        <v>14468</v>
      </c>
    </row>
    <row r="50" spans="1:5" x14ac:dyDescent="0.3">
      <c r="A50" s="82">
        <v>49</v>
      </c>
      <c r="B50" s="82" t="s">
        <v>259</v>
      </c>
      <c r="C50" s="663">
        <v>1148350</v>
      </c>
      <c r="D50" s="10">
        <v>1148350</v>
      </c>
    </row>
    <row r="51" spans="1:5" x14ac:dyDescent="0.3">
      <c r="A51" s="82">
        <v>50</v>
      </c>
      <c r="B51" s="92" t="s">
        <v>260</v>
      </c>
      <c r="C51" s="663">
        <v>30959</v>
      </c>
      <c r="D51" s="10">
        <v>30959</v>
      </c>
    </row>
    <row r="52" spans="1:5" x14ac:dyDescent="0.3">
      <c r="A52" s="82">
        <v>51</v>
      </c>
      <c r="B52" s="82" t="s">
        <v>261</v>
      </c>
      <c r="C52" s="663">
        <v>872313.74</v>
      </c>
      <c r="D52" s="10">
        <v>872314</v>
      </c>
    </row>
    <row r="53" spans="1:5" x14ac:dyDescent="0.3">
      <c r="A53" s="82">
        <v>52</v>
      </c>
      <c r="B53" s="92" t="s">
        <v>262</v>
      </c>
      <c r="C53" s="663">
        <v>186500</v>
      </c>
      <c r="D53" s="10">
        <v>186500</v>
      </c>
    </row>
    <row r="54" spans="1:5" x14ac:dyDescent="0.3">
      <c r="A54" s="82">
        <v>53</v>
      </c>
      <c r="B54" s="82" t="s">
        <v>263</v>
      </c>
      <c r="C54" s="663">
        <v>6500</v>
      </c>
      <c r="D54" s="10">
        <v>27620</v>
      </c>
      <c r="E54" s="700" t="s">
        <v>9</v>
      </c>
    </row>
    <row r="55" spans="1:5" x14ac:dyDescent="0.3">
      <c r="A55" s="82">
        <v>54</v>
      </c>
      <c r="B55" s="92" t="s">
        <v>365</v>
      </c>
      <c r="C55" s="663">
        <v>178800</v>
      </c>
      <c r="D55" s="10">
        <v>178800</v>
      </c>
    </row>
    <row r="56" spans="1:5" x14ac:dyDescent="0.3">
      <c r="A56" s="82">
        <v>55</v>
      </c>
      <c r="B56" s="82" t="s">
        <v>264</v>
      </c>
      <c r="C56" s="663">
        <v>15762.44</v>
      </c>
      <c r="D56" s="10">
        <v>15762</v>
      </c>
    </row>
    <row r="57" spans="1:5" x14ac:dyDescent="0.3">
      <c r="A57" s="82">
        <v>56</v>
      </c>
      <c r="B57" s="92" t="s">
        <v>265</v>
      </c>
      <c r="C57" s="663">
        <v>108990.67</v>
      </c>
      <c r="D57" s="10">
        <v>108991</v>
      </c>
    </row>
    <row r="58" spans="1:5" x14ac:dyDescent="0.3">
      <c r="A58" s="82">
        <v>57</v>
      </c>
      <c r="B58" s="82" t="s">
        <v>266</v>
      </c>
      <c r="C58" s="663">
        <v>1082106.98</v>
      </c>
      <c r="D58" s="10">
        <v>1082107</v>
      </c>
    </row>
    <row r="59" spans="1:5" x14ac:dyDescent="0.3">
      <c r="A59" s="82">
        <v>58</v>
      </c>
      <c r="B59" s="92" t="s">
        <v>267</v>
      </c>
      <c r="C59" s="663">
        <v>1870</v>
      </c>
      <c r="D59" s="10">
        <v>1870</v>
      </c>
    </row>
    <row r="60" spans="1:5" x14ac:dyDescent="0.3">
      <c r="A60" s="82">
        <v>59</v>
      </c>
      <c r="B60" s="82" t="s">
        <v>1525</v>
      </c>
      <c r="C60" s="663">
        <v>366440</v>
      </c>
      <c r="D60" s="10">
        <v>75320</v>
      </c>
      <c r="E60" s="700" t="s">
        <v>2546</v>
      </c>
    </row>
    <row r="61" spans="1:5" x14ac:dyDescent="0.3">
      <c r="A61" s="82">
        <v>60</v>
      </c>
      <c r="B61" s="92" t="s">
        <v>268</v>
      </c>
      <c r="C61" s="663">
        <v>232171.53</v>
      </c>
      <c r="D61" s="10">
        <v>232172</v>
      </c>
    </row>
    <row r="62" spans="1:5" x14ac:dyDescent="0.3">
      <c r="A62" s="82">
        <v>61</v>
      </c>
      <c r="B62" s="82" t="s">
        <v>269</v>
      </c>
      <c r="C62" s="663">
        <v>8700</v>
      </c>
      <c r="D62" s="10">
        <v>8700</v>
      </c>
    </row>
    <row r="63" spans="1:5" x14ac:dyDescent="0.3">
      <c r="A63" s="82">
        <v>62</v>
      </c>
      <c r="B63" s="92" t="s">
        <v>270</v>
      </c>
      <c r="C63" s="663">
        <v>810087.14</v>
      </c>
      <c r="D63" s="10">
        <v>810087</v>
      </c>
    </row>
    <row r="64" spans="1:5" x14ac:dyDescent="0.3">
      <c r="A64" s="82">
        <v>63</v>
      </c>
      <c r="B64" s="82" t="s">
        <v>271</v>
      </c>
      <c r="C64" s="663">
        <v>19948</v>
      </c>
      <c r="D64" s="10">
        <v>19948</v>
      </c>
    </row>
    <row r="65" spans="1:5" x14ac:dyDescent="0.3">
      <c r="A65" s="82">
        <v>64</v>
      </c>
      <c r="B65" s="92" t="s">
        <v>272</v>
      </c>
      <c r="C65" s="663">
        <v>3434141.97</v>
      </c>
      <c r="D65" s="10">
        <v>2134142</v>
      </c>
      <c r="E65" s="700" t="s">
        <v>2548</v>
      </c>
    </row>
    <row r="66" spans="1:5" x14ac:dyDescent="0.3">
      <c r="A66" s="82">
        <v>65</v>
      </c>
      <c r="B66" s="82" t="s">
        <v>366</v>
      </c>
      <c r="C66" s="663">
        <v>3687</v>
      </c>
      <c r="D66" s="10">
        <v>3687</v>
      </c>
    </row>
    <row r="67" spans="1:5" x14ac:dyDescent="0.3">
      <c r="A67" s="82">
        <v>66</v>
      </c>
      <c r="B67" s="92" t="s">
        <v>273</v>
      </c>
      <c r="C67" s="663">
        <v>35000</v>
      </c>
      <c r="D67" s="10">
        <v>35000</v>
      </c>
    </row>
    <row r="68" spans="1:5" x14ac:dyDescent="0.3">
      <c r="A68" s="82">
        <v>67</v>
      </c>
      <c r="B68" s="82" t="s">
        <v>274</v>
      </c>
      <c r="C68" s="663">
        <v>142502.9</v>
      </c>
      <c r="D68" s="10">
        <v>142503</v>
      </c>
    </row>
    <row r="69" spans="1:5" x14ac:dyDescent="0.3">
      <c r="A69" s="82">
        <v>68</v>
      </c>
      <c r="B69" s="92" t="s">
        <v>275</v>
      </c>
      <c r="C69" s="663">
        <v>41800</v>
      </c>
      <c r="D69" s="10">
        <v>41800</v>
      </c>
    </row>
    <row r="70" spans="1:5" x14ac:dyDescent="0.3">
      <c r="A70" s="82">
        <v>69</v>
      </c>
      <c r="B70" s="92" t="s">
        <v>276</v>
      </c>
      <c r="C70" s="663">
        <v>516646.28</v>
      </c>
      <c r="D70" s="10">
        <v>40065</v>
      </c>
      <c r="E70" s="700" t="s">
        <v>2549</v>
      </c>
    </row>
    <row r="71" spans="1:5" x14ac:dyDescent="0.3">
      <c r="A71" s="82">
        <v>70</v>
      </c>
      <c r="B71" s="92" t="s">
        <v>277</v>
      </c>
      <c r="C71" s="663">
        <v>48750</v>
      </c>
      <c r="D71" s="10">
        <v>48750</v>
      </c>
    </row>
    <row r="72" spans="1:5" x14ac:dyDescent="0.3">
      <c r="A72" s="82">
        <v>71</v>
      </c>
      <c r="B72" s="82" t="s">
        <v>278</v>
      </c>
      <c r="C72" s="663">
        <v>140057</v>
      </c>
      <c r="D72" s="10">
        <v>140057</v>
      </c>
    </row>
    <row r="73" spans="1:5" x14ac:dyDescent="0.3">
      <c r="A73" s="82">
        <v>72</v>
      </c>
      <c r="B73" s="92" t="s">
        <v>367</v>
      </c>
      <c r="C73" s="663">
        <v>75000</v>
      </c>
      <c r="D73" s="10">
        <v>75000</v>
      </c>
    </row>
    <row r="74" spans="1:5" x14ac:dyDescent="0.3">
      <c r="A74" s="82">
        <v>73</v>
      </c>
      <c r="B74" s="92" t="s">
        <v>2422</v>
      </c>
      <c r="C74" s="663">
        <v>6150</v>
      </c>
      <c r="D74" s="10">
        <v>6150</v>
      </c>
    </row>
    <row r="75" spans="1:5" x14ac:dyDescent="0.3">
      <c r="A75" s="82">
        <v>74</v>
      </c>
      <c r="B75" s="92" t="s">
        <v>279</v>
      </c>
      <c r="C75" s="663">
        <v>238234.14</v>
      </c>
      <c r="D75" s="10">
        <v>238234</v>
      </c>
    </row>
    <row r="76" spans="1:5" x14ac:dyDescent="0.3">
      <c r="A76" s="82">
        <v>75</v>
      </c>
      <c r="B76" s="82" t="s">
        <v>280</v>
      </c>
      <c r="C76" s="663">
        <v>38972</v>
      </c>
      <c r="D76" s="10">
        <v>38972</v>
      </c>
    </row>
    <row r="77" spans="1:5" x14ac:dyDescent="0.3">
      <c r="A77" s="82">
        <v>76</v>
      </c>
      <c r="B77" s="92" t="s">
        <v>369</v>
      </c>
      <c r="C77" s="663">
        <v>269385</v>
      </c>
      <c r="D77" s="10">
        <v>269385</v>
      </c>
    </row>
    <row r="78" spans="1:5" x14ac:dyDescent="0.3">
      <c r="A78" s="82">
        <v>77</v>
      </c>
      <c r="B78" s="82" t="s">
        <v>370</v>
      </c>
      <c r="C78" s="663">
        <v>435778.14</v>
      </c>
      <c r="D78" s="10">
        <v>435778</v>
      </c>
    </row>
    <row r="79" spans="1:5" x14ac:dyDescent="0.3">
      <c r="A79" s="82">
        <v>78</v>
      </c>
      <c r="B79" s="92" t="s">
        <v>281</v>
      </c>
      <c r="C79" s="663">
        <v>261881.63</v>
      </c>
      <c r="D79" s="10">
        <v>261882</v>
      </c>
    </row>
    <row r="80" spans="1:5" x14ac:dyDescent="0.3">
      <c r="A80" s="82">
        <v>79</v>
      </c>
      <c r="B80" s="82" t="s">
        <v>282</v>
      </c>
      <c r="C80" s="663">
        <v>40298.620000000003</v>
      </c>
      <c r="D80" s="10">
        <v>40299</v>
      </c>
    </row>
    <row r="81" spans="1:5" x14ac:dyDescent="0.3">
      <c r="A81" s="82">
        <v>80</v>
      </c>
      <c r="B81" s="92" t="s">
        <v>283</v>
      </c>
      <c r="C81" s="663">
        <v>212947.26</v>
      </c>
      <c r="D81" s="10">
        <v>212947</v>
      </c>
    </row>
    <row r="82" spans="1:5" x14ac:dyDescent="0.3">
      <c r="A82" s="82">
        <v>81</v>
      </c>
      <c r="B82" s="82" t="s">
        <v>284</v>
      </c>
      <c r="C82" s="663">
        <v>3700</v>
      </c>
      <c r="D82" s="10">
        <v>3700</v>
      </c>
    </row>
    <row r="83" spans="1:5" x14ac:dyDescent="0.3">
      <c r="A83" s="82">
        <v>82</v>
      </c>
      <c r="B83" s="92" t="s">
        <v>285</v>
      </c>
      <c r="C83" s="663">
        <v>8500</v>
      </c>
      <c r="D83" s="10">
        <v>8500</v>
      </c>
    </row>
    <row r="84" spans="1:5" x14ac:dyDescent="0.3">
      <c r="A84" s="82">
        <v>83</v>
      </c>
      <c r="B84" s="82" t="s">
        <v>286</v>
      </c>
      <c r="C84" s="663">
        <v>132667.26999999999</v>
      </c>
      <c r="D84" s="10">
        <v>226972</v>
      </c>
      <c r="E84" s="700" t="s">
        <v>2544</v>
      </c>
    </row>
    <row r="85" spans="1:5" x14ac:dyDescent="0.3">
      <c r="A85" s="82">
        <v>84</v>
      </c>
      <c r="B85" s="92" t="s">
        <v>287</v>
      </c>
      <c r="C85" s="663">
        <v>661233.72</v>
      </c>
      <c r="D85" s="10">
        <v>661234</v>
      </c>
    </row>
    <row r="86" spans="1:5" x14ac:dyDescent="0.3">
      <c r="A86" s="82">
        <v>85</v>
      </c>
      <c r="B86" s="82" t="s">
        <v>288</v>
      </c>
      <c r="C86" s="663">
        <v>86427</v>
      </c>
      <c r="D86" s="10">
        <v>86427</v>
      </c>
    </row>
    <row r="87" spans="1:5" x14ac:dyDescent="0.3">
      <c r="A87" s="82">
        <v>86</v>
      </c>
      <c r="B87" s="82" t="s">
        <v>289</v>
      </c>
      <c r="C87" s="663">
        <v>50675</v>
      </c>
      <c r="D87" s="10">
        <v>50675</v>
      </c>
    </row>
    <row r="88" spans="1:5" x14ac:dyDescent="0.3">
      <c r="A88" s="82">
        <v>87</v>
      </c>
      <c r="B88" s="92" t="s">
        <v>290</v>
      </c>
      <c r="C88" s="663">
        <v>20515</v>
      </c>
      <c r="D88" s="10">
        <v>20515</v>
      </c>
    </row>
    <row r="89" spans="1:5" x14ac:dyDescent="0.3">
      <c r="A89" s="82">
        <v>88</v>
      </c>
      <c r="B89" s="82" t="s">
        <v>291</v>
      </c>
      <c r="C89" s="663">
        <v>489071.64</v>
      </c>
      <c r="D89" s="10">
        <v>239072</v>
      </c>
      <c r="E89" s="700" t="s">
        <v>2544</v>
      </c>
    </row>
    <row r="90" spans="1:5" x14ac:dyDescent="0.3">
      <c r="A90" s="82">
        <v>89</v>
      </c>
      <c r="B90" s="82" t="s">
        <v>292</v>
      </c>
      <c r="C90" s="663">
        <v>310468.71000000002</v>
      </c>
      <c r="D90" s="10">
        <v>310469</v>
      </c>
    </row>
    <row r="91" spans="1:5" x14ac:dyDescent="0.3">
      <c r="A91" s="82">
        <v>90</v>
      </c>
      <c r="B91" s="82" t="s">
        <v>293</v>
      </c>
      <c r="C91" s="663">
        <v>423720.36</v>
      </c>
      <c r="D91" s="10">
        <v>423720</v>
      </c>
    </row>
    <row r="92" spans="1:5" x14ac:dyDescent="0.3">
      <c r="A92" s="82">
        <v>91</v>
      </c>
      <c r="B92" s="82" t="s">
        <v>371</v>
      </c>
      <c r="C92" s="663">
        <v>40500</v>
      </c>
      <c r="D92" s="10">
        <v>40500</v>
      </c>
    </row>
    <row r="93" spans="1:5" x14ac:dyDescent="0.3">
      <c r="A93" s="82">
        <v>92</v>
      </c>
      <c r="B93" s="82" t="s">
        <v>372</v>
      </c>
      <c r="C93" s="663">
        <v>3000</v>
      </c>
      <c r="D93" s="10">
        <v>3000</v>
      </c>
    </row>
    <row r="94" spans="1:5" x14ac:dyDescent="0.3">
      <c r="A94" s="82">
        <v>93</v>
      </c>
      <c r="B94" s="82" t="s">
        <v>373</v>
      </c>
      <c r="C94" s="663">
        <v>2597168.96</v>
      </c>
      <c r="D94" s="10">
        <v>2097169</v>
      </c>
      <c r="E94" s="700" t="s">
        <v>2544</v>
      </c>
    </row>
    <row r="95" spans="1:5" x14ac:dyDescent="0.3">
      <c r="A95" s="82">
        <v>94</v>
      </c>
      <c r="B95" s="82" t="s">
        <v>376</v>
      </c>
      <c r="C95" s="663">
        <v>52700</v>
      </c>
      <c r="D95" s="10">
        <v>52700</v>
      </c>
    </row>
    <row r="96" spans="1:5" x14ac:dyDescent="0.3">
      <c r="A96" s="82">
        <v>95</v>
      </c>
      <c r="B96" s="82" t="s">
        <v>374</v>
      </c>
      <c r="C96" s="663">
        <v>2464319</v>
      </c>
      <c r="D96" s="10">
        <v>1157319</v>
      </c>
      <c r="E96" s="700" t="s">
        <v>2544</v>
      </c>
    </row>
    <row r="97" spans="1:5" x14ac:dyDescent="0.3">
      <c r="A97" s="82">
        <v>96</v>
      </c>
      <c r="B97" s="82" t="s">
        <v>375</v>
      </c>
      <c r="C97" s="663">
        <v>346922.17</v>
      </c>
      <c r="D97" s="10">
        <v>346922</v>
      </c>
    </row>
    <row r="98" spans="1:5" x14ac:dyDescent="0.3">
      <c r="A98" s="82">
        <v>97</v>
      </c>
      <c r="B98" s="82" t="s">
        <v>377</v>
      </c>
      <c r="C98" s="663">
        <v>231500</v>
      </c>
      <c r="D98" s="10">
        <v>231500</v>
      </c>
    </row>
    <row r="99" spans="1:5" x14ac:dyDescent="0.3">
      <c r="A99" s="82">
        <v>98</v>
      </c>
      <c r="B99" s="82" t="s">
        <v>378</v>
      </c>
      <c r="C99" s="663">
        <v>15931.71</v>
      </c>
      <c r="D99" s="10">
        <v>15932</v>
      </c>
    </row>
    <row r="100" spans="1:5" x14ac:dyDescent="0.3">
      <c r="A100" s="82">
        <v>99</v>
      </c>
      <c r="B100" s="82" t="s">
        <v>379</v>
      </c>
      <c r="C100" s="663">
        <v>189000</v>
      </c>
      <c r="D100" s="10">
        <v>189000</v>
      </c>
    </row>
    <row r="101" spans="1:5" x14ac:dyDescent="0.3">
      <c r="A101" s="82">
        <v>100</v>
      </c>
      <c r="B101" s="82" t="s">
        <v>380</v>
      </c>
      <c r="C101" s="663">
        <v>9223.1299999999992</v>
      </c>
      <c r="D101" s="10">
        <v>9223</v>
      </c>
    </row>
    <row r="102" spans="1:5" x14ac:dyDescent="0.3">
      <c r="A102" s="82">
        <v>101</v>
      </c>
      <c r="B102" s="82" t="s">
        <v>381</v>
      </c>
      <c r="C102" s="663">
        <v>73000</v>
      </c>
      <c r="D102" s="10">
        <v>73000</v>
      </c>
    </row>
    <row r="103" spans="1:5" x14ac:dyDescent="0.3">
      <c r="A103" s="82">
        <v>102</v>
      </c>
      <c r="B103" s="82" t="s">
        <v>382</v>
      </c>
      <c r="C103" s="663">
        <v>45324.38</v>
      </c>
      <c r="D103" s="10">
        <v>45324</v>
      </c>
    </row>
    <row r="104" spans="1:5" x14ac:dyDescent="0.3">
      <c r="A104" s="82">
        <v>103</v>
      </c>
      <c r="B104" s="82" t="s">
        <v>383</v>
      </c>
      <c r="C104" s="663">
        <v>628856.66</v>
      </c>
      <c r="D104" s="10">
        <v>628857</v>
      </c>
    </row>
    <row r="105" spans="1:5" x14ac:dyDescent="0.3">
      <c r="A105" s="82">
        <v>104</v>
      </c>
      <c r="B105" s="82" t="s">
        <v>384</v>
      </c>
      <c r="C105" s="663">
        <v>998810.57</v>
      </c>
      <c r="D105" s="10">
        <v>998811</v>
      </c>
    </row>
    <row r="106" spans="1:5" x14ac:dyDescent="0.3">
      <c r="A106" s="82">
        <v>105</v>
      </c>
      <c r="B106" s="82" t="s">
        <v>385</v>
      </c>
      <c r="C106" s="663">
        <v>31000</v>
      </c>
      <c r="D106" s="10">
        <v>31000</v>
      </c>
    </row>
    <row r="107" spans="1:5" x14ac:dyDescent="0.3">
      <c r="A107" s="82">
        <v>106</v>
      </c>
      <c r="B107" s="82" t="s">
        <v>386</v>
      </c>
      <c r="C107" s="663">
        <v>182000</v>
      </c>
      <c r="D107" s="10">
        <v>182000</v>
      </c>
    </row>
    <row r="108" spans="1:5" x14ac:dyDescent="0.3">
      <c r="A108" s="82">
        <v>107</v>
      </c>
      <c r="B108" s="82" t="s">
        <v>387</v>
      </c>
      <c r="C108" s="663">
        <v>9643.5499999999993</v>
      </c>
      <c r="D108" s="10">
        <v>9644</v>
      </c>
    </row>
    <row r="109" spans="1:5" x14ac:dyDescent="0.3">
      <c r="A109" s="82">
        <v>108</v>
      </c>
      <c r="B109" s="82" t="s">
        <v>388</v>
      </c>
      <c r="C109" s="663">
        <v>158390</v>
      </c>
      <c r="D109" s="10">
        <v>73094</v>
      </c>
      <c r="E109" s="700" t="s">
        <v>2544</v>
      </c>
    </row>
    <row r="110" spans="1:5" x14ac:dyDescent="0.3">
      <c r="A110" s="82">
        <v>109</v>
      </c>
      <c r="B110" s="82" t="s">
        <v>297</v>
      </c>
      <c r="C110" s="663">
        <v>60000</v>
      </c>
      <c r="D110" s="10">
        <v>6000</v>
      </c>
    </row>
    <row r="111" spans="1:5" x14ac:dyDescent="0.3">
      <c r="A111" s="82">
        <v>110</v>
      </c>
      <c r="B111" s="82" t="s">
        <v>298</v>
      </c>
      <c r="C111" s="663">
        <v>139678.48000000001</v>
      </c>
      <c r="D111" s="10">
        <v>132158</v>
      </c>
      <c r="E111" s="700" t="s">
        <v>2544</v>
      </c>
    </row>
    <row r="112" spans="1:5" x14ac:dyDescent="0.3">
      <c r="A112" s="82">
        <v>111</v>
      </c>
      <c r="B112" s="92" t="s">
        <v>299</v>
      </c>
      <c r="C112" s="663">
        <v>128811</v>
      </c>
      <c r="D112" s="10">
        <v>128811</v>
      </c>
    </row>
    <row r="113" spans="1:5" x14ac:dyDescent="0.3">
      <c r="A113" s="82">
        <v>112</v>
      </c>
      <c r="B113" s="82" t="s">
        <v>389</v>
      </c>
      <c r="C113" s="663">
        <v>42400</v>
      </c>
      <c r="D113" s="10">
        <v>42400</v>
      </c>
    </row>
    <row r="114" spans="1:5" x14ac:dyDescent="0.3">
      <c r="A114" s="82">
        <v>113</v>
      </c>
      <c r="B114" s="92" t="s">
        <v>390</v>
      </c>
      <c r="C114" s="663">
        <v>114055.79</v>
      </c>
      <c r="D114" s="10">
        <v>27253</v>
      </c>
      <c r="E114" s="700" t="s">
        <v>2544</v>
      </c>
    </row>
    <row r="115" spans="1:5" x14ac:dyDescent="0.3">
      <c r="A115" s="82">
        <v>114</v>
      </c>
      <c r="B115" s="82" t="s">
        <v>301</v>
      </c>
      <c r="C115" s="663">
        <v>128978</v>
      </c>
      <c r="D115" s="10">
        <v>126431</v>
      </c>
      <c r="E115" s="700" t="s">
        <v>2544</v>
      </c>
    </row>
    <row r="116" spans="1:5" x14ac:dyDescent="0.3">
      <c r="A116" s="82">
        <v>115</v>
      </c>
      <c r="B116" s="92" t="s">
        <v>302</v>
      </c>
      <c r="C116" s="663">
        <v>48950</v>
      </c>
      <c r="D116" s="10">
        <v>48950</v>
      </c>
    </row>
    <row r="117" spans="1:5" x14ac:dyDescent="0.3">
      <c r="A117" s="82">
        <v>116</v>
      </c>
      <c r="B117" s="82" t="s">
        <v>303</v>
      </c>
      <c r="C117" s="663">
        <v>39030</v>
      </c>
      <c r="D117" s="10">
        <v>39030</v>
      </c>
    </row>
    <row r="118" spans="1:5" x14ac:dyDescent="0.3">
      <c r="A118" s="82">
        <v>117</v>
      </c>
      <c r="B118" s="92" t="s">
        <v>304</v>
      </c>
      <c r="C118" s="663">
        <v>7000</v>
      </c>
      <c r="D118" s="10">
        <v>7000</v>
      </c>
    </row>
    <row r="119" spans="1:5" x14ac:dyDescent="0.3">
      <c r="A119" s="82">
        <v>118</v>
      </c>
      <c r="B119" s="82" t="s">
        <v>305</v>
      </c>
      <c r="C119" s="663">
        <v>405413.61</v>
      </c>
      <c r="D119" s="10">
        <v>405414</v>
      </c>
    </row>
    <row r="120" spans="1:5" x14ac:dyDescent="0.3">
      <c r="A120" s="82">
        <v>119</v>
      </c>
      <c r="B120" s="92" t="s">
        <v>306</v>
      </c>
      <c r="C120" s="663">
        <v>72702</v>
      </c>
      <c r="D120" s="10">
        <v>72702</v>
      </c>
    </row>
    <row r="121" spans="1:5" x14ac:dyDescent="0.3">
      <c r="A121" s="82">
        <v>120</v>
      </c>
      <c r="B121" s="82" t="s">
        <v>307</v>
      </c>
      <c r="C121" s="663">
        <v>105787</v>
      </c>
      <c r="D121" s="10">
        <v>105787</v>
      </c>
    </row>
    <row r="122" spans="1:5" x14ac:dyDescent="0.3">
      <c r="A122" s="82">
        <v>121</v>
      </c>
      <c r="B122" s="92" t="s">
        <v>308</v>
      </c>
      <c r="C122" s="663">
        <v>21635</v>
      </c>
      <c r="D122" s="10">
        <v>21635</v>
      </c>
    </row>
    <row r="123" spans="1:5" x14ac:dyDescent="0.3">
      <c r="A123" s="82">
        <v>122</v>
      </c>
      <c r="B123" s="82" t="s">
        <v>309</v>
      </c>
      <c r="C123" s="663">
        <v>23000</v>
      </c>
      <c r="D123" s="10">
        <v>23000</v>
      </c>
    </row>
    <row r="124" spans="1:5" x14ac:dyDescent="0.3">
      <c r="A124" s="82">
        <v>123</v>
      </c>
      <c r="B124" s="92" t="s">
        <v>310</v>
      </c>
      <c r="C124" s="663">
        <v>22500</v>
      </c>
      <c r="D124" s="10">
        <v>22500</v>
      </c>
    </row>
    <row r="125" spans="1:5" x14ac:dyDescent="0.3">
      <c r="A125" s="82">
        <v>124</v>
      </c>
      <c r="B125" s="82" t="s">
        <v>311</v>
      </c>
      <c r="C125" s="663">
        <v>47542</v>
      </c>
      <c r="D125" s="10">
        <v>47542</v>
      </c>
    </row>
    <row r="126" spans="1:5" x14ac:dyDescent="0.3">
      <c r="A126" s="82">
        <v>125</v>
      </c>
      <c r="B126" s="92" t="s">
        <v>312</v>
      </c>
      <c r="C126" s="663">
        <v>4180</v>
      </c>
      <c r="D126" s="10">
        <v>4180</v>
      </c>
    </row>
    <row r="127" spans="1:5" x14ac:dyDescent="0.3">
      <c r="A127" s="82">
        <v>126</v>
      </c>
      <c r="B127" s="82" t="s">
        <v>313</v>
      </c>
      <c r="C127" s="663">
        <v>68894.86</v>
      </c>
      <c r="D127" s="10">
        <v>68895</v>
      </c>
    </row>
    <row r="128" spans="1:5" x14ac:dyDescent="0.3">
      <c r="A128" s="82">
        <v>127</v>
      </c>
      <c r="B128" s="92" t="s">
        <v>314</v>
      </c>
      <c r="C128" s="663">
        <v>53888.52</v>
      </c>
      <c r="D128" s="10">
        <v>53889</v>
      </c>
    </row>
    <row r="129" spans="1:5" x14ac:dyDescent="0.3">
      <c r="A129" s="82">
        <v>128</v>
      </c>
      <c r="B129" s="82" t="s">
        <v>315</v>
      </c>
      <c r="C129" s="663">
        <v>55800</v>
      </c>
      <c r="D129" s="10">
        <v>55800</v>
      </c>
    </row>
    <row r="130" spans="1:5" x14ac:dyDescent="0.3">
      <c r="A130" s="82">
        <v>129</v>
      </c>
      <c r="B130" s="92" t="s">
        <v>316</v>
      </c>
      <c r="C130" s="663">
        <v>87000</v>
      </c>
      <c r="D130" s="10">
        <v>87000</v>
      </c>
    </row>
    <row r="131" spans="1:5" x14ac:dyDescent="0.3">
      <c r="A131" s="82">
        <v>130</v>
      </c>
      <c r="B131" s="82" t="s">
        <v>391</v>
      </c>
      <c r="C131" s="663">
        <v>163000</v>
      </c>
      <c r="D131" s="10">
        <v>163000</v>
      </c>
    </row>
    <row r="132" spans="1:5" x14ac:dyDescent="0.3">
      <c r="A132" s="82">
        <v>131</v>
      </c>
      <c r="B132" s="92" t="s">
        <v>318</v>
      </c>
      <c r="C132" s="663">
        <v>248228.5</v>
      </c>
      <c r="D132" s="10">
        <v>131653</v>
      </c>
      <c r="E132" s="700" t="s">
        <v>2546</v>
      </c>
    </row>
    <row r="133" spans="1:5" x14ac:dyDescent="0.3">
      <c r="A133" s="82">
        <v>132</v>
      </c>
      <c r="B133" s="82" t="s">
        <v>317</v>
      </c>
      <c r="C133" s="663">
        <v>427775.39</v>
      </c>
      <c r="D133" s="10">
        <v>427775</v>
      </c>
    </row>
    <row r="134" spans="1:5" x14ac:dyDescent="0.3">
      <c r="A134" s="82">
        <v>133</v>
      </c>
      <c r="B134" s="92" t="s">
        <v>319</v>
      </c>
      <c r="C134" s="663">
        <v>51007.5</v>
      </c>
      <c r="D134" s="10">
        <v>51008</v>
      </c>
    </row>
    <row r="135" spans="1:5" x14ac:dyDescent="0.3">
      <c r="A135" s="82">
        <v>134</v>
      </c>
      <c r="B135" s="82" t="s">
        <v>320</v>
      </c>
      <c r="C135" s="663">
        <v>70150</v>
      </c>
      <c r="D135" s="10">
        <v>70150</v>
      </c>
    </row>
    <row r="136" spans="1:5" x14ac:dyDescent="0.3">
      <c r="A136" s="82">
        <v>135</v>
      </c>
      <c r="B136" s="92" t="s">
        <v>321</v>
      </c>
      <c r="C136" s="663">
        <v>3060556</v>
      </c>
      <c r="D136" s="10">
        <v>2209500</v>
      </c>
      <c r="E136" s="700" t="s">
        <v>2546</v>
      </c>
    </row>
    <row r="137" spans="1:5" x14ac:dyDescent="0.3">
      <c r="A137" s="82">
        <v>136</v>
      </c>
      <c r="B137" s="92" t="s">
        <v>322</v>
      </c>
      <c r="C137" s="663">
        <v>1000</v>
      </c>
      <c r="D137" s="10">
        <v>1000</v>
      </c>
    </row>
    <row r="138" spans="1:5" x14ac:dyDescent="0.3">
      <c r="A138" s="82">
        <v>137</v>
      </c>
      <c r="B138" s="92" t="s">
        <v>323</v>
      </c>
      <c r="C138" s="663">
        <v>758198.7</v>
      </c>
      <c r="D138" s="10">
        <v>758199</v>
      </c>
    </row>
    <row r="139" spans="1:5" x14ac:dyDescent="0.3">
      <c r="A139" s="82">
        <v>138</v>
      </c>
      <c r="B139" s="92" t="s">
        <v>392</v>
      </c>
      <c r="C139" s="663">
        <v>551155</v>
      </c>
      <c r="D139" s="10">
        <v>251155</v>
      </c>
      <c r="E139" s="700" t="s">
        <v>2554</v>
      </c>
    </row>
    <row r="140" spans="1:5" x14ac:dyDescent="0.3">
      <c r="A140" s="82">
        <v>139</v>
      </c>
      <c r="B140" s="92" t="s">
        <v>324</v>
      </c>
      <c r="C140" s="663">
        <v>112231</v>
      </c>
      <c r="D140" s="10">
        <v>112231</v>
      </c>
    </row>
    <row r="141" spans="1:5" x14ac:dyDescent="0.3">
      <c r="A141" s="82">
        <v>140</v>
      </c>
      <c r="B141" s="92" t="s">
        <v>325</v>
      </c>
      <c r="C141" s="663">
        <v>19892.900000000001</v>
      </c>
      <c r="D141" s="10">
        <v>19893</v>
      </c>
    </row>
    <row r="142" spans="1:5" x14ac:dyDescent="0.3">
      <c r="A142" s="82">
        <v>141</v>
      </c>
      <c r="B142" s="92" t="s">
        <v>326</v>
      </c>
      <c r="C142" s="663">
        <v>20500</v>
      </c>
      <c r="D142" s="10">
        <v>20500</v>
      </c>
    </row>
    <row r="143" spans="1:5" x14ac:dyDescent="0.3">
      <c r="A143" s="82">
        <v>142</v>
      </c>
      <c r="B143" s="92" t="s">
        <v>393</v>
      </c>
      <c r="C143" s="663">
        <v>270440</v>
      </c>
      <c r="D143" s="10">
        <v>270440</v>
      </c>
    </row>
    <row r="144" spans="1:5" x14ac:dyDescent="0.3">
      <c r="A144" s="82">
        <v>143</v>
      </c>
      <c r="B144" s="92" t="s">
        <v>328</v>
      </c>
      <c r="C144" s="663">
        <v>170203.56</v>
      </c>
      <c r="D144" s="10">
        <v>170204</v>
      </c>
    </row>
    <row r="145" spans="1:5" x14ac:dyDescent="0.3">
      <c r="A145" s="82">
        <v>144</v>
      </c>
      <c r="B145" s="92" t="s">
        <v>329</v>
      </c>
      <c r="C145" s="663">
        <v>315558</v>
      </c>
      <c r="D145" s="10">
        <v>315558</v>
      </c>
      <c r="E145" s="700" t="s">
        <v>9</v>
      </c>
    </row>
    <row r="146" spans="1:5" x14ac:dyDescent="0.3">
      <c r="A146" s="82">
        <v>145</v>
      </c>
      <c r="B146" s="92" t="s">
        <v>330</v>
      </c>
      <c r="C146" s="663">
        <v>11500</v>
      </c>
      <c r="D146" s="10">
        <v>11500</v>
      </c>
    </row>
    <row r="147" spans="1:5" x14ac:dyDescent="0.3">
      <c r="A147" s="82">
        <v>146</v>
      </c>
      <c r="B147" s="92" t="s">
        <v>331</v>
      </c>
      <c r="C147" s="663">
        <v>157000</v>
      </c>
      <c r="D147" s="10">
        <v>157000</v>
      </c>
    </row>
    <row r="148" spans="1:5" x14ac:dyDescent="0.3">
      <c r="A148" s="82">
        <v>147</v>
      </c>
      <c r="B148" s="92" t="s">
        <v>332</v>
      </c>
      <c r="C148" s="663">
        <v>14392.2</v>
      </c>
      <c r="D148" s="10">
        <v>14392</v>
      </c>
    </row>
    <row r="149" spans="1:5" x14ac:dyDescent="0.3">
      <c r="A149" s="82">
        <v>148</v>
      </c>
      <c r="B149" s="92" t="s">
        <v>333</v>
      </c>
      <c r="C149" s="663">
        <v>967050</v>
      </c>
      <c r="D149" s="10">
        <v>261534</v>
      </c>
      <c r="E149" s="700" t="s">
        <v>2546</v>
      </c>
    </row>
    <row r="150" spans="1:5" x14ac:dyDescent="0.3">
      <c r="A150" s="82">
        <v>149</v>
      </c>
      <c r="B150" s="92" t="s">
        <v>334</v>
      </c>
      <c r="C150" s="663">
        <v>29948.38</v>
      </c>
      <c r="D150" s="10">
        <v>29948</v>
      </c>
      <c r="E150" s="700" t="s">
        <v>2581</v>
      </c>
    </row>
    <row r="151" spans="1:5" x14ac:dyDescent="0.3">
      <c r="A151" s="82">
        <v>150</v>
      </c>
      <c r="B151" s="92" t="s">
        <v>394</v>
      </c>
      <c r="C151" s="663">
        <v>37250</v>
      </c>
      <c r="D151" s="10">
        <v>37250</v>
      </c>
    </row>
    <row r="152" spans="1:5" x14ac:dyDescent="0.3">
      <c r="A152" s="82">
        <v>151</v>
      </c>
      <c r="B152" s="92" t="s">
        <v>335</v>
      </c>
      <c r="C152" s="663">
        <v>3882480.22</v>
      </c>
      <c r="D152" s="10">
        <v>3882480</v>
      </c>
      <c r="E152" s="700" t="s">
        <v>9</v>
      </c>
    </row>
    <row r="153" spans="1:5" x14ac:dyDescent="0.3">
      <c r="A153" s="82">
        <v>152</v>
      </c>
      <c r="B153" s="92" t="s">
        <v>336</v>
      </c>
      <c r="C153" s="663">
        <v>124692.62</v>
      </c>
      <c r="D153" s="10">
        <v>124693</v>
      </c>
    </row>
    <row r="154" spans="1:5" x14ac:dyDescent="0.3">
      <c r="A154" s="82">
        <v>153</v>
      </c>
      <c r="B154" s="92" t="s">
        <v>337</v>
      </c>
      <c r="C154" s="663">
        <v>68700</v>
      </c>
      <c r="D154" s="10">
        <v>68700</v>
      </c>
    </row>
    <row r="155" spans="1:5" x14ac:dyDescent="0.3">
      <c r="A155" s="82">
        <v>154</v>
      </c>
      <c r="B155" s="92" t="s">
        <v>340</v>
      </c>
      <c r="C155" s="663">
        <v>446335.55</v>
      </c>
      <c r="D155" s="10">
        <v>446336</v>
      </c>
    </row>
    <row r="156" spans="1:5" x14ac:dyDescent="0.3">
      <c r="A156" s="82">
        <v>155</v>
      </c>
      <c r="B156" s="92" t="s">
        <v>338</v>
      </c>
      <c r="C156" s="663">
        <v>316770.99</v>
      </c>
      <c r="D156" s="10">
        <v>316771</v>
      </c>
    </row>
    <row r="157" spans="1:5" x14ac:dyDescent="0.3">
      <c r="A157" s="82">
        <v>156</v>
      </c>
      <c r="B157" s="92" t="s">
        <v>339</v>
      </c>
      <c r="C157" s="663">
        <v>477075.6</v>
      </c>
      <c r="D157" s="10">
        <v>477076</v>
      </c>
    </row>
    <row r="158" spans="1:5" x14ac:dyDescent="0.3">
      <c r="A158" s="82">
        <v>157</v>
      </c>
      <c r="B158" s="92" t="s">
        <v>341</v>
      </c>
      <c r="C158" s="663">
        <v>93000</v>
      </c>
      <c r="D158" s="10">
        <v>93000</v>
      </c>
    </row>
    <row r="159" spans="1:5" x14ac:dyDescent="0.3">
      <c r="A159" s="82">
        <v>158</v>
      </c>
      <c r="B159" s="92" t="s">
        <v>342</v>
      </c>
      <c r="C159" s="663">
        <v>386000.19</v>
      </c>
      <c r="D159" s="10">
        <v>386000</v>
      </c>
      <c r="E159" s="700" t="s">
        <v>2581</v>
      </c>
    </row>
    <row r="160" spans="1:5" x14ac:dyDescent="0.3">
      <c r="A160" s="82">
        <v>159</v>
      </c>
      <c r="B160" s="92" t="s">
        <v>343</v>
      </c>
      <c r="C160" s="663">
        <v>130480.09</v>
      </c>
      <c r="D160" s="10">
        <v>130480</v>
      </c>
    </row>
    <row r="161" spans="1:5" x14ac:dyDescent="0.3">
      <c r="A161" s="82">
        <v>160</v>
      </c>
      <c r="B161" s="92" t="s">
        <v>344</v>
      </c>
      <c r="C161" s="663">
        <v>67562.320000000007</v>
      </c>
      <c r="D161" s="10">
        <v>67562</v>
      </c>
    </row>
    <row r="162" spans="1:5" x14ac:dyDescent="0.3">
      <c r="A162" s="82">
        <v>161</v>
      </c>
      <c r="B162" s="92" t="s">
        <v>345</v>
      </c>
      <c r="C162" s="663">
        <v>317831.08</v>
      </c>
      <c r="D162" s="10">
        <v>317831</v>
      </c>
    </row>
    <row r="163" spans="1:5" x14ac:dyDescent="0.3">
      <c r="A163" s="82">
        <v>162</v>
      </c>
      <c r="B163" s="92" t="s">
        <v>346</v>
      </c>
      <c r="C163" s="663">
        <v>91984</v>
      </c>
      <c r="D163" s="10">
        <v>91984</v>
      </c>
    </row>
    <row r="164" spans="1:5" x14ac:dyDescent="0.3">
      <c r="A164" s="82">
        <v>163</v>
      </c>
      <c r="B164" s="92" t="s">
        <v>347</v>
      </c>
      <c r="C164" s="663">
        <v>332863.03999999998</v>
      </c>
      <c r="D164" s="10">
        <v>332863</v>
      </c>
    </row>
    <row r="165" spans="1:5" x14ac:dyDescent="0.3">
      <c r="A165" s="82">
        <v>164</v>
      </c>
      <c r="B165" s="92" t="s">
        <v>348</v>
      </c>
      <c r="C165" s="663">
        <v>204910</v>
      </c>
      <c r="D165" s="10">
        <v>204910</v>
      </c>
    </row>
    <row r="166" spans="1:5" x14ac:dyDescent="0.3">
      <c r="A166" s="82">
        <v>165</v>
      </c>
      <c r="B166" s="92" t="s">
        <v>349</v>
      </c>
      <c r="C166" s="663">
        <v>229561.54</v>
      </c>
      <c r="D166" s="10">
        <v>229562</v>
      </c>
    </row>
    <row r="167" spans="1:5" x14ac:dyDescent="0.3">
      <c r="A167" s="82">
        <v>166</v>
      </c>
      <c r="B167" s="92" t="s">
        <v>350</v>
      </c>
      <c r="C167" s="663">
        <v>42002.92</v>
      </c>
      <c r="D167" s="10">
        <v>42003</v>
      </c>
    </row>
    <row r="168" spans="1:5" x14ac:dyDescent="0.3">
      <c r="A168" s="82">
        <v>167</v>
      </c>
      <c r="B168" s="92" t="s">
        <v>351</v>
      </c>
      <c r="C168" s="663">
        <v>97964.29</v>
      </c>
      <c r="D168" s="10">
        <v>97964</v>
      </c>
    </row>
    <row r="169" spans="1:5" x14ac:dyDescent="0.3">
      <c r="A169" s="82">
        <v>168</v>
      </c>
      <c r="B169" s="92" t="s">
        <v>352</v>
      </c>
      <c r="C169" s="663">
        <v>94700</v>
      </c>
      <c r="D169" s="10">
        <v>94700</v>
      </c>
    </row>
    <row r="170" spans="1:5" x14ac:dyDescent="0.3">
      <c r="A170" s="82">
        <v>169</v>
      </c>
      <c r="B170" s="92" t="s">
        <v>353</v>
      </c>
      <c r="C170" s="663">
        <v>184500</v>
      </c>
      <c r="D170" s="10">
        <v>184500</v>
      </c>
    </row>
    <row r="171" spans="1:5" s="109" customFormat="1" x14ac:dyDescent="0.3">
      <c r="A171" s="699"/>
      <c r="B171" s="664" t="s">
        <v>1546</v>
      </c>
      <c r="C171" s="665">
        <f>SUM(C2:C170)</f>
        <v>50253604.390000001</v>
      </c>
      <c r="D171" s="665">
        <f>SUM(D2:D170)</f>
        <v>39824049</v>
      </c>
      <c r="E171" s="699"/>
    </row>
  </sheetData>
  <printOptions gridLines="1"/>
  <pageMargins left="0.7" right="0.7" top="0.75" bottom="0.75" header="0.3" footer="0.3"/>
  <pageSetup scale="92" fitToHeight="0" orientation="landscape" r:id="rId1"/>
  <headerFooter>
    <oddHeader>&amp;F</oddHeader>
    <oddFooter>&amp;L&amp;"-,Bold"OPM IGPP&amp;C&amp;D&amp;RPage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CF41F-DA94-44BE-9594-66B8ACBBF604}">
  <dimension ref="A1:H28"/>
  <sheetViews>
    <sheetView topLeftCell="A4"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125</v>
      </c>
      <c r="B2" s="4">
        <v>459664.5</v>
      </c>
      <c r="C2" s="3" t="s">
        <v>126</v>
      </c>
      <c r="D2" s="5"/>
      <c r="E2" s="3" t="s">
        <v>10</v>
      </c>
      <c r="F2" s="6"/>
      <c r="G2" s="5">
        <v>0</v>
      </c>
      <c r="H2" s="5">
        <v>0</v>
      </c>
    </row>
    <row r="4" spans="1:8" x14ac:dyDescent="0.3">
      <c r="A4" s="8" t="s">
        <v>11</v>
      </c>
    </row>
    <row r="6" spans="1:8" ht="16.2" thickBot="1" x14ac:dyDescent="0.35">
      <c r="A6" s="9" t="s">
        <v>12</v>
      </c>
      <c r="B6" s="10" t="s">
        <v>9</v>
      </c>
    </row>
    <row r="7" spans="1:8" ht="16.2" thickBot="1" x14ac:dyDescent="0.35">
      <c r="A7" s="11" t="s">
        <v>127</v>
      </c>
      <c r="B7" s="12">
        <v>302164.5</v>
      </c>
    </row>
    <row r="8" spans="1:8" ht="16.2" thickBot="1" x14ac:dyDescent="0.35">
      <c r="A8" s="11" t="s">
        <v>128</v>
      </c>
      <c r="B8" s="12">
        <v>31500</v>
      </c>
    </row>
    <row r="9" spans="1:8" ht="16.2" thickBot="1" x14ac:dyDescent="0.35">
      <c r="A9" s="11" t="s">
        <v>129</v>
      </c>
      <c r="B9" s="12">
        <v>126000</v>
      </c>
      <c r="C9" s="7" t="s">
        <v>130</v>
      </c>
    </row>
    <row r="10" spans="1:8" ht="16.2" thickBot="1" x14ac:dyDescent="0.35">
      <c r="A10" s="11"/>
      <c r="B10" s="12">
        <v>0</v>
      </c>
    </row>
    <row r="11" spans="1:8" ht="16.2" thickBot="1" x14ac:dyDescent="0.35">
      <c r="A11" s="11"/>
      <c r="B11" s="10"/>
      <c r="C11" s="12">
        <v>459664.5</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0</v>
      </c>
      <c r="D15" s="17"/>
      <c r="E15" s="17"/>
      <c r="F15" s="18"/>
    </row>
    <row r="16" spans="1:8" ht="16.2" thickBot="1" x14ac:dyDescent="0.35">
      <c r="A16" s="15" t="s">
        <v>25</v>
      </c>
      <c r="B16" s="12">
        <v>0</v>
      </c>
      <c r="C16" s="12">
        <v>0</v>
      </c>
      <c r="D16" s="19"/>
      <c r="E16" s="19"/>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0</v>
      </c>
      <c r="C21" s="12">
        <v>5000</v>
      </c>
      <c r="D21" s="19" t="s">
        <v>10</v>
      </c>
      <c r="E21" s="19"/>
      <c r="F21" s="20" t="s">
        <v>131</v>
      </c>
    </row>
    <row r="22" spans="1:6" ht="16.2" thickBot="1" x14ac:dyDescent="0.35">
      <c r="A22" s="15" t="s">
        <v>132</v>
      </c>
      <c r="B22" s="12">
        <v>0</v>
      </c>
      <c r="C22" s="12">
        <v>5000</v>
      </c>
      <c r="D22" s="19" t="s">
        <v>10</v>
      </c>
      <c r="E22" s="19"/>
      <c r="F22" s="20" t="s">
        <v>133</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0</v>
      </c>
      <c r="C28" s="22">
        <v>10000</v>
      </c>
      <c r="D28" s="23"/>
      <c r="E28" s="23"/>
      <c r="F28" s="24"/>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C3259-684A-485F-8E90-4098977EC612}">
  <dimension ref="A1:H29"/>
  <sheetViews>
    <sheetView topLeftCell="A16"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1504</v>
      </c>
      <c r="B2" s="4">
        <v>40000</v>
      </c>
      <c r="C2" s="3" t="s">
        <v>1505</v>
      </c>
      <c r="D2" s="5">
        <v>4971123</v>
      </c>
      <c r="E2" s="3">
        <v>0</v>
      </c>
      <c r="F2" s="6" t="s">
        <v>63</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18160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18160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1379</v>
      </c>
      <c r="C16" s="16">
        <v>2000</v>
      </c>
      <c r="D16" s="17" t="s">
        <v>699</v>
      </c>
      <c r="E16" s="17"/>
      <c r="F16" s="18" t="s">
        <v>1506</v>
      </c>
    </row>
    <row r="17" spans="1:6" ht="16.2" thickBot="1" x14ac:dyDescent="0.35">
      <c r="A17" s="15" t="s">
        <v>25</v>
      </c>
      <c r="B17" s="12">
        <v>7399</v>
      </c>
      <c r="C17" s="12">
        <v>78800</v>
      </c>
      <c r="D17" s="19" t="s">
        <v>699</v>
      </c>
      <c r="E17" s="19"/>
      <c r="F17" s="20" t="s">
        <v>1507</v>
      </c>
    </row>
    <row r="18" spans="1:6" ht="16.2" thickBot="1" x14ac:dyDescent="0.35">
      <c r="A18" s="15" t="s">
        <v>26</v>
      </c>
      <c r="B18" s="12">
        <v>7250</v>
      </c>
      <c r="C18" s="12">
        <v>11000</v>
      </c>
      <c r="D18" s="19" t="s">
        <v>699</v>
      </c>
      <c r="E18" s="19"/>
      <c r="F18" s="20" t="s">
        <v>1508</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221</v>
      </c>
      <c r="C22" s="12">
        <v>0</v>
      </c>
      <c r="D22" s="19"/>
      <c r="E22" s="19"/>
      <c r="F22" s="20"/>
    </row>
    <row r="23" spans="1:6" ht="16.2" thickBot="1" x14ac:dyDescent="0.35">
      <c r="A23" s="15" t="s">
        <v>741</v>
      </c>
      <c r="B23" s="12">
        <v>430</v>
      </c>
      <c r="C23" s="12">
        <v>2500</v>
      </c>
      <c r="D23" s="19" t="s">
        <v>543</v>
      </c>
      <c r="E23" s="19"/>
      <c r="F23" s="20" t="s">
        <v>741</v>
      </c>
    </row>
    <row r="24" spans="1:6" ht="16.2" thickBot="1" x14ac:dyDescent="0.35">
      <c r="A24" s="15" t="s">
        <v>1509</v>
      </c>
      <c r="B24" s="12">
        <v>200</v>
      </c>
      <c r="C24" s="12">
        <v>400</v>
      </c>
      <c r="D24" s="19" t="s">
        <v>543</v>
      </c>
      <c r="E24" s="19"/>
      <c r="F24" s="20" t="s">
        <v>1510</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16879</v>
      </c>
      <c r="C29" s="22">
        <v>94700</v>
      </c>
      <c r="D29" s="23"/>
      <c r="E29" s="23"/>
      <c r="F29" s="24"/>
    </row>
  </sheetData>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4E82-BE16-4F78-90D1-F00C8C985201}">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1511</v>
      </c>
      <c r="B2" s="4">
        <v>4200000</v>
      </c>
      <c r="C2" s="3" t="s">
        <v>1512</v>
      </c>
      <c r="D2" s="5" t="s">
        <v>1513</v>
      </c>
      <c r="E2" s="3" t="s">
        <v>525</v>
      </c>
      <c r="F2" s="6" t="s">
        <v>1514</v>
      </c>
      <c r="G2" s="5">
        <v>0</v>
      </c>
      <c r="H2" s="5">
        <v>4200000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4000000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4000000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13406.6</v>
      </c>
      <c r="C16" s="16">
        <v>16000</v>
      </c>
      <c r="D16" s="17" t="s">
        <v>24</v>
      </c>
      <c r="E16" s="17" t="s">
        <v>1142</v>
      </c>
      <c r="F16" s="18"/>
    </row>
    <row r="17" spans="1:6" ht="16.2" thickBot="1" x14ac:dyDescent="0.35">
      <c r="A17" s="15" t="s">
        <v>25</v>
      </c>
      <c r="B17" s="12">
        <v>33000</v>
      </c>
      <c r="C17" s="12">
        <v>36000</v>
      </c>
      <c r="D17" s="19" t="s">
        <v>24</v>
      </c>
      <c r="E17" s="17" t="s">
        <v>1142</v>
      </c>
      <c r="F17" s="20"/>
    </row>
    <row r="18" spans="1:6" ht="16.2" thickBot="1" x14ac:dyDescent="0.35">
      <c r="A18" s="15" t="s">
        <v>26</v>
      </c>
      <c r="B18" s="12">
        <v>92000</v>
      </c>
      <c r="C18" s="12">
        <v>110000</v>
      </c>
      <c r="D18" s="19" t="s">
        <v>24</v>
      </c>
      <c r="E18" s="17" t="s">
        <v>1142</v>
      </c>
      <c r="F18" s="20"/>
    </row>
    <row r="19" spans="1:6" ht="16.2" thickBot="1" x14ac:dyDescent="0.35">
      <c r="A19" s="15" t="s">
        <v>27</v>
      </c>
      <c r="B19" s="12">
        <v>0</v>
      </c>
      <c r="C19" s="12">
        <v>0</v>
      </c>
      <c r="D19" s="19"/>
      <c r="E19" s="19"/>
      <c r="F19" s="20"/>
    </row>
    <row r="20" spans="1:6" ht="16.2" thickBot="1" x14ac:dyDescent="0.35">
      <c r="A20" s="15" t="s">
        <v>28</v>
      </c>
      <c r="B20" s="12">
        <v>0</v>
      </c>
      <c r="C20" s="12"/>
      <c r="D20" s="19"/>
      <c r="E20" s="19"/>
      <c r="F20" s="20"/>
    </row>
    <row r="21" spans="1:6" ht="16.2" thickBot="1" x14ac:dyDescent="0.35">
      <c r="A21" s="15" t="s">
        <v>29</v>
      </c>
      <c r="B21" s="12">
        <v>0</v>
      </c>
      <c r="C21" s="12">
        <v>20000</v>
      </c>
      <c r="D21" s="19" t="s">
        <v>24</v>
      </c>
      <c r="E21" s="19" t="s">
        <v>1142</v>
      </c>
      <c r="F21" s="20"/>
    </row>
    <row r="22" spans="1:6" ht="16.2" thickBot="1" x14ac:dyDescent="0.35">
      <c r="A22" s="15" t="s">
        <v>30</v>
      </c>
      <c r="B22" s="12">
        <v>1250</v>
      </c>
      <c r="C22" s="12">
        <v>2500</v>
      </c>
      <c r="D22" s="19" t="s">
        <v>24</v>
      </c>
      <c r="E22" s="19" t="s">
        <v>1142</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139656.6</v>
      </c>
      <c r="C29" s="22">
        <v>184500</v>
      </c>
      <c r="D29" s="23"/>
      <c r="E29" s="23"/>
      <c r="F29" s="24"/>
    </row>
  </sheetData>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E80C-D4CA-4166-AB32-39370A3DC851}">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c r="B2" s="390">
        <v>0</v>
      </c>
      <c r="C2" s="389" t="s">
        <v>9</v>
      </c>
      <c r="D2" s="391">
        <v>0</v>
      </c>
      <c r="E2" s="389"/>
      <c r="F2" s="392"/>
      <c r="G2" s="391">
        <v>0</v>
      </c>
      <c r="H2" s="391">
        <v>0</v>
      </c>
    </row>
    <row r="4" spans="1:8" x14ac:dyDescent="0.3">
      <c r="A4" s="386" t="s">
        <v>11</v>
      </c>
    </row>
    <row r="6" spans="1:8" ht="16.2" thickBot="1" x14ac:dyDescent="0.35">
      <c r="A6" s="381" t="s">
        <v>12</v>
      </c>
      <c r="B6" s="10" t="s">
        <v>9</v>
      </c>
    </row>
    <row r="7" spans="1:8" ht="16.2" thickBot="1" x14ac:dyDescent="0.35">
      <c r="A7" s="421" t="s">
        <v>51</v>
      </c>
      <c r="B7" s="374">
        <v>0</v>
      </c>
    </row>
    <row r="8" spans="1:8" ht="16.2" thickBot="1" x14ac:dyDescent="0.35">
      <c r="A8" s="421" t="s">
        <v>53</v>
      </c>
      <c r="B8" s="374">
        <v>0</v>
      </c>
    </row>
    <row r="9" spans="1:8" ht="16.2" thickBot="1" x14ac:dyDescent="0.35">
      <c r="A9" s="421" t="s">
        <v>55</v>
      </c>
      <c r="B9" s="374">
        <v>0</v>
      </c>
    </row>
    <row r="10" spans="1:8" ht="16.2" thickBot="1" x14ac:dyDescent="0.35">
      <c r="A10" s="421" t="s">
        <v>57</v>
      </c>
      <c r="B10" s="374">
        <v>0</v>
      </c>
    </row>
    <row r="11" spans="1:8" ht="16.2" thickBot="1" x14ac:dyDescent="0.35">
      <c r="A11" s="421"/>
      <c r="B11" s="374">
        <v>0</v>
      </c>
    </row>
    <row r="12" spans="1:8" ht="16.2" thickBot="1" x14ac:dyDescent="0.35">
      <c r="A12" s="421"/>
      <c r="B12" s="10"/>
      <c r="C12" s="374">
        <f>SUM(B7:B11)</f>
        <v>0</v>
      </c>
    </row>
    <row r="13" spans="1:8" x14ac:dyDescent="0.3">
      <c r="A13" s="420"/>
      <c r="C13" s="10" t="s">
        <v>9</v>
      </c>
    </row>
    <row r="15" spans="1:8" ht="31.2" x14ac:dyDescent="0.3">
      <c r="A15" s="384" t="s">
        <v>17</v>
      </c>
      <c r="B15" s="385" t="s">
        <v>18</v>
      </c>
      <c r="C15" s="384" t="s">
        <v>19</v>
      </c>
      <c r="D15" s="384" t="s">
        <v>20</v>
      </c>
      <c r="E15" s="384" t="s">
        <v>21</v>
      </c>
      <c r="F15" s="384" t="s">
        <v>22</v>
      </c>
    </row>
    <row r="16" spans="1:8" ht="16.2" thickBot="1" x14ac:dyDescent="0.35">
      <c r="A16" s="419" t="s">
        <v>23</v>
      </c>
      <c r="B16" s="382">
        <v>0</v>
      </c>
      <c r="C16" s="382">
        <v>0</v>
      </c>
      <c r="D16" s="359"/>
      <c r="E16" s="359"/>
      <c r="F16" s="383"/>
    </row>
    <row r="17" spans="1:6" ht="16.2" thickBot="1" x14ac:dyDescent="0.35">
      <c r="A17" s="419" t="s">
        <v>25</v>
      </c>
      <c r="B17" s="374">
        <v>0</v>
      </c>
      <c r="C17" s="374">
        <v>0</v>
      </c>
      <c r="D17" s="387"/>
      <c r="E17" s="387"/>
      <c r="F17" s="377"/>
    </row>
    <row r="18" spans="1:6" ht="16.2" thickBot="1" x14ac:dyDescent="0.35">
      <c r="A18" s="419" t="s">
        <v>26</v>
      </c>
      <c r="B18" s="374">
        <v>0</v>
      </c>
      <c r="C18" s="374">
        <v>0</v>
      </c>
      <c r="D18" s="387"/>
      <c r="E18" s="387"/>
      <c r="F18" s="377"/>
    </row>
    <row r="19" spans="1:6" ht="16.2" thickBot="1" x14ac:dyDescent="0.35">
      <c r="A19" s="419" t="s">
        <v>27</v>
      </c>
      <c r="B19" s="374">
        <v>0</v>
      </c>
      <c r="C19" s="374">
        <v>0</v>
      </c>
      <c r="D19" s="387"/>
      <c r="E19" s="387"/>
      <c r="F19" s="377"/>
    </row>
    <row r="20" spans="1:6" ht="16.2" thickBot="1" x14ac:dyDescent="0.35">
      <c r="A20" s="419" t="s">
        <v>28</v>
      </c>
      <c r="B20" s="374">
        <v>0</v>
      </c>
      <c r="C20" s="374">
        <v>0</v>
      </c>
      <c r="D20" s="387"/>
      <c r="E20" s="387"/>
      <c r="F20" s="377"/>
    </row>
    <row r="21" spans="1:6" ht="16.2" thickBot="1" x14ac:dyDescent="0.35">
      <c r="A21" s="419" t="s">
        <v>29</v>
      </c>
      <c r="B21" s="374">
        <v>0</v>
      </c>
      <c r="C21" s="374">
        <v>0</v>
      </c>
      <c r="D21" s="387"/>
      <c r="E21" s="387"/>
      <c r="F21" s="377"/>
    </row>
    <row r="22" spans="1:6" ht="16.2" thickBot="1" x14ac:dyDescent="0.35">
      <c r="A22" s="419" t="s">
        <v>30</v>
      </c>
      <c r="B22" s="374">
        <v>0</v>
      </c>
      <c r="C22" s="374">
        <v>0</v>
      </c>
      <c r="D22" s="387"/>
      <c r="E22" s="387"/>
      <c r="F22" s="377"/>
    </row>
    <row r="23" spans="1:6" ht="16.2" thickBot="1" x14ac:dyDescent="0.35">
      <c r="A23" s="421"/>
      <c r="B23" s="374">
        <v>0</v>
      </c>
      <c r="C23" s="374">
        <v>0</v>
      </c>
      <c r="D23" s="387"/>
      <c r="E23" s="387"/>
      <c r="F23" s="377"/>
    </row>
    <row r="24" spans="1:6" ht="16.2" thickBot="1" x14ac:dyDescent="0.35">
      <c r="A24" s="421"/>
      <c r="B24" s="374">
        <v>0</v>
      </c>
      <c r="C24" s="374">
        <v>0</v>
      </c>
      <c r="D24" s="387"/>
      <c r="E24" s="387"/>
      <c r="F24" s="377"/>
    </row>
    <row r="25" spans="1:6" ht="16.2" thickBot="1" x14ac:dyDescent="0.35">
      <c r="A25" s="421"/>
      <c r="B25" s="374">
        <v>0</v>
      </c>
      <c r="C25" s="374">
        <v>0</v>
      </c>
      <c r="D25" s="387"/>
      <c r="E25" s="387"/>
      <c r="F25" s="377"/>
    </row>
    <row r="26" spans="1:6" ht="16.2" thickBot="1" x14ac:dyDescent="0.35">
      <c r="A26" s="421"/>
      <c r="B26" s="374">
        <v>0</v>
      </c>
      <c r="C26" s="374">
        <v>0</v>
      </c>
      <c r="D26" s="387"/>
      <c r="E26" s="387"/>
      <c r="F26" s="377"/>
    </row>
    <row r="27" spans="1:6" ht="16.2" thickBot="1" x14ac:dyDescent="0.35">
      <c r="A27" s="421"/>
      <c r="B27" s="374">
        <v>0</v>
      </c>
      <c r="C27" s="374">
        <v>0</v>
      </c>
      <c r="D27" s="387"/>
      <c r="E27" s="387"/>
      <c r="F27" s="377"/>
    </row>
    <row r="28" spans="1:6" ht="16.2" thickBot="1" x14ac:dyDescent="0.35">
      <c r="A28" s="378"/>
      <c r="B28" s="374">
        <v>0</v>
      </c>
      <c r="C28" s="374">
        <v>0</v>
      </c>
      <c r="D28" s="387"/>
      <c r="E28" s="387"/>
      <c r="F28" s="377"/>
    </row>
    <row r="29" spans="1:6" ht="16.2" thickBot="1" x14ac:dyDescent="0.35">
      <c r="A29" s="420" t="s">
        <v>32</v>
      </c>
      <c r="B29" s="379">
        <f>SUM(B16:B28)</f>
        <v>0</v>
      </c>
      <c r="C29" s="379">
        <f>SUM(C16:C28)</f>
        <v>0</v>
      </c>
      <c r="D29" s="388"/>
      <c r="E29" s="388"/>
      <c r="F29" s="380"/>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6604-E118-4D3A-8AE1-C808518930F7}">
  <dimension ref="A1:H33"/>
  <sheetViews>
    <sheetView topLeftCell="A11"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57" style="7" bestFit="1" customWidth="1"/>
    <col min="7" max="7" width="21.33203125" style="7" customWidth="1"/>
    <col min="8" max="8" width="20.6640625" style="7" customWidth="1"/>
    <col min="9" max="16384" width="9.109375" style="7"/>
  </cols>
  <sheetData>
    <row r="1" spans="1:8" s="2" customFormat="1" ht="47.4" thickBot="1" x14ac:dyDescent="0.35">
      <c r="A1" s="1" t="s">
        <v>0</v>
      </c>
      <c r="B1" s="1" t="s">
        <v>134</v>
      </c>
      <c r="C1" s="1" t="s">
        <v>135</v>
      </c>
      <c r="D1" s="1" t="s">
        <v>3</v>
      </c>
      <c r="E1" s="1" t="s">
        <v>4</v>
      </c>
      <c r="F1" s="1" t="s">
        <v>5</v>
      </c>
      <c r="G1" s="1" t="s">
        <v>6</v>
      </c>
      <c r="H1" s="1" t="s">
        <v>7</v>
      </c>
    </row>
    <row r="2" spans="1:8" ht="138.6" thickBot="1" x14ac:dyDescent="0.35">
      <c r="A2" s="3" t="s">
        <v>136</v>
      </c>
      <c r="B2" s="4">
        <v>-2100000</v>
      </c>
      <c r="C2" s="3" t="s">
        <v>137</v>
      </c>
      <c r="D2" s="63">
        <v>23700000</v>
      </c>
      <c r="E2" s="3" t="s">
        <v>138</v>
      </c>
      <c r="F2" s="6" t="s">
        <v>139</v>
      </c>
      <c r="G2" s="5" t="s">
        <v>140</v>
      </c>
      <c r="H2" s="64" t="s">
        <v>141</v>
      </c>
    </row>
    <row r="3" spans="1:8" x14ac:dyDescent="0.3">
      <c r="B3" s="7" t="s">
        <v>142</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75000</v>
      </c>
    </row>
    <row r="10" spans="1:8" ht="16.2" thickBot="1" x14ac:dyDescent="0.35">
      <c r="A10" s="11" t="s">
        <v>57</v>
      </c>
      <c r="B10" s="12">
        <v>180000</v>
      </c>
    </row>
    <row r="11" spans="1:8" ht="16.2" thickBot="1" x14ac:dyDescent="0.35">
      <c r="A11" s="11"/>
      <c r="B11" s="12">
        <v>0</v>
      </c>
    </row>
    <row r="12" spans="1:8" ht="16.2" thickBot="1" x14ac:dyDescent="0.35">
      <c r="A12" s="11"/>
      <c r="B12" s="10"/>
      <c r="C12" s="12">
        <v>255000</v>
      </c>
    </row>
    <row r="13" spans="1:8" x14ac:dyDescent="0.3">
      <c r="A13" s="13"/>
      <c r="C13" s="10" t="s">
        <v>9</v>
      </c>
    </row>
    <row r="15" spans="1:8" ht="31.2" x14ac:dyDescent="0.3">
      <c r="A15" s="1" t="s">
        <v>143</v>
      </c>
      <c r="B15" s="14" t="s">
        <v>144</v>
      </c>
      <c r="C15" s="1" t="s">
        <v>19</v>
      </c>
      <c r="D15" s="1" t="s">
        <v>20</v>
      </c>
      <c r="E15" s="1" t="s">
        <v>21</v>
      </c>
      <c r="F15" s="1" t="s">
        <v>22</v>
      </c>
    </row>
    <row r="16" spans="1:8" ht="16.2" thickBot="1" x14ac:dyDescent="0.35">
      <c r="A16" s="15" t="s">
        <v>23</v>
      </c>
      <c r="B16" s="16">
        <v>36986</v>
      </c>
      <c r="C16" s="16">
        <v>50000</v>
      </c>
      <c r="D16" s="29" t="s">
        <v>24</v>
      </c>
      <c r="E16" s="29" t="s">
        <v>79</v>
      </c>
      <c r="F16" s="18" t="s">
        <v>145</v>
      </c>
    </row>
    <row r="17" spans="1:6" ht="16.2" thickBot="1" x14ac:dyDescent="0.35">
      <c r="A17" s="15" t="s">
        <v>25</v>
      </c>
      <c r="B17" s="12">
        <v>79216</v>
      </c>
      <c r="C17" s="12">
        <v>520000</v>
      </c>
      <c r="D17" s="29" t="s">
        <v>24</v>
      </c>
      <c r="E17" s="29" t="s">
        <v>79</v>
      </c>
      <c r="F17" s="20" t="s">
        <v>146</v>
      </c>
    </row>
    <row r="18" spans="1:6" ht="16.2" thickBot="1" x14ac:dyDescent="0.35">
      <c r="A18" s="15" t="s">
        <v>26</v>
      </c>
      <c r="B18" s="12">
        <v>36035</v>
      </c>
      <c r="C18" s="12">
        <v>50000</v>
      </c>
      <c r="D18" s="29" t="s">
        <v>24</v>
      </c>
      <c r="E18" s="29" t="s">
        <v>79</v>
      </c>
      <c r="F18" s="20" t="s">
        <v>147</v>
      </c>
    </row>
    <row r="19" spans="1:6" ht="16.2" thickBot="1" x14ac:dyDescent="0.35">
      <c r="A19" s="15" t="s">
        <v>27</v>
      </c>
      <c r="B19" s="12">
        <v>54315</v>
      </c>
      <c r="C19" s="12">
        <v>20000</v>
      </c>
      <c r="D19" s="29" t="s">
        <v>24</v>
      </c>
      <c r="E19" s="29" t="s">
        <v>148</v>
      </c>
      <c r="F19" s="20" t="s">
        <v>149</v>
      </c>
    </row>
    <row r="20" spans="1:6" ht="16.2" thickBot="1" x14ac:dyDescent="0.35">
      <c r="A20" s="15" t="s">
        <v>28</v>
      </c>
      <c r="B20" s="12">
        <v>0</v>
      </c>
      <c r="C20" s="12">
        <v>450000</v>
      </c>
      <c r="D20" s="29" t="s">
        <v>24</v>
      </c>
      <c r="E20" s="19" t="s">
        <v>150</v>
      </c>
      <c r="F20" s="20" t="s">
        <v>151</v>
      </c>
    </row>
    <row r="21" spans="1:6" ht="16.2" thickBot="1" x14ac:dyDescent="0.35">
      <c r="A21" s="15" t="s">
        <v>29</v>
      </c>
      <c r="B21" s="12">
        <v>214451</v>
      </c>
      <c r="C21" s="12">
        <v>300000</v>
      </c>
      <c r="D21" s="29" t="s">
        <v>24</v>
      </c>
      <c r="E21" s="29" t="s">
        <v>79</v>
      </c>
      <c r="F21" s="20" t="s">
        <v>152</v>
      </c>
    </row>
    <row r="22" spans="1:6" ht="16.2" thickBot="1" x14ac:dyDescent="0.35">
      <c r="A22" s="15" t="s">
        <v>30</v>
      </c>
      <c r="B22" s="12">
        <v>359866</v>
      </c>
      <c r="C22" s="12">
        <v>275000</v>
      </c>
      <c r="D22" s="29" t="s">
        <v>24</v>
      </c>
      <c r="E22" s="29" t="s">
        <v>79</v>
      </c>
      <c r="F22" s="20" t="s">
        <v>153</v>
      </c>
    </row>
    <row r="23" spans="1:6" ht="16.2" thickBot="1" x14ac:dyDescent="0.35">
      <c r="A23" s="11" t="s">
        <v>154</v>
      </c>
      <c r="B23" s="12">
        <v>17465</v>
      </c>
      <c r="C23" s="12">
        <v>20000</v>
      </c>
      <c r="D23" s="29" t="s">
        <v>24</v>
      </c>
      <c r="E23" s="29" t="s">
        <v>79</v>
      </c>
      <c r="F23" s="20" t="s">
        <v>155</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798334</v>
      </c>
      <c r="C29" s="22">
        <v>1685000</v>
      </c>
      <c r="D29" s="23"/>
      <c r="E29" s="23"/>
      <c r="F29" s="24"/>
    </row>
    <row r="30" spans="1:6" x14ac:dyDescent="0.3">
      <c r="D30" s="7" t="s">
        <v>156</v>
      </c>
    </row>
    <row r="31" spans="1:6" x14ac:dyDescent="0.3">
      <c r="C31" s="7">
        <v>-500000</v>
      </c>
      <c r="D31" s="7" t="s">
        <v>157</v>
      </c>
    </row>
    <row r="33" spans="3:3" x14ac:dyDescent="0.3">
      <c r="C33" s="396">
        <f>SUM(C29:C31)</f>
        <v>1185000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80392-446E-4830-B37C-44B3F540BB2D}">
  <dimension ref="A1"/>
  <sheetViews>
    <sheetView workbookViewId="0">
      <selection activeCell="E11" sqref="E11:J11"/>
    </sheetView>
  </sheetViews>
  <sheetFormatPr defaultRowHeight="14.4" x14ac:dyDescent="0.3"/>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B368-CC43-4BC2-A423-5BB5C315B485}">
  <dimension ref="A1:Z52"/>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44140625" style="7" customWidth="1"/>
    <col min="8" max="8" width="20.6640625" style="7" customWidth="1"/>
    <col min="9" max="9" width="15" style="7" customWidth="1"/>
    <col min="10" max="10" width="12.6640625" style="7" customWidth="1"/>
    <col min="11" max="16384" width="9.109375" style="7"/>
  </cols>
  <sheetData>
    <row r="1" spans="1:26" s="2" customFormat="1" ht="60.75" customHeight="1" thickBot="1" x14ac:dyDescent="0.35">
      <c r="A1" s="1" t="s">
        <v>0</v>
      </c>
      <c r="B1" s="1" t="s">
        <v>1</v>
      </c>
      <c r="C1" s="1" t="s">
        <v>2</v>
      </c>
      <c r="D1" s="1" t="s">
        <v>158</v>
      </c>
      <c r="E1" s="1" t="s">
        <v>4</v>
      </c>
      <c r="F1" s="1" t="s">
        <v>5</v>
      </c>
      <c r="G1" s="1" t="s">
        <v>6</v>
      </c>
      <c r="H1" s="1" t="s">
        <v>7</v>
      </c>
    </row>
    <row r="2" spans="1:26" ht="71.25" customHeight="1" thickBot="1" x14ac:dyDescent="0.35">
      <c r="A2" s="3" t="s">
        <v>159</v>
      </c>
      <c r="B2" s="65">
        <v>305998</v>
      </c>
      <c r="C2" s="3" t="s">
        <v>160</v>
      </c>
      <c r="D2" s="5" t="s">
        <v>161</v>
      </c>
      <c r="E2" s="3" t="s">
        <v>24</v>
      </c>
      <c r="F2" s="6" t="s">
        <v>162</v>
      </c>
      <c r="G2" s="5">
        <v>0</v>
      </c>
      <c r="H2" s="5">
        <v>1000000</v>
      </c>
      <c r="I2" s="763" t="s">
        <v>163</v>
      </c>
      <c r="J2" s="764"/>
      <c r="K2" s="764"/>
      <c r="L2" s="764"/>
      <c r="M2" s="764"/>
      <c r="N2" s="764"/>
      <c r="O2" s="764"/>
      <c r="P2" s="764"/>
      <c r="Q2" s="764"/>
      <c r="R2" s="764"/>
      <c r="S2" s="764"/>
    </row>
    <row r="4" spans="1:26" x14ac:dyDescent="0.3">
      <c r="A4" s="8" t="s">
        <v>11</v>
      </c>
      <c r="I4" s="7" t="s">
        <v>164</v>
      </c>
    </row>
    <row r="5" spans="1:26" ht="17.25" customHeight="1" x14ac:dyDescent="0.3">
      <c r="G5" s="66" t="s">
        <v>165</v>
      </c>
      <c r="H5" s="7" t="s">
        <v>166</v>
      </c>
      <c r="I5" s="67">
        <v>129383</v>
      </c>
      <c r="J5" s="15" t="s">
        <v>167</v>
      </c>
      <c r="K5" s="15"/>
      <c r="L5"/>
      <c r="M5"/>
      <c r="N5"/>
      <c r="O5"/>
      <c r="P5"/>
      <c r="Q5"/>
      <c r="R5"/>
      <c r="S5"/>
      <c r="T5"/>
      <c r="V5"/>
      <c r="W5"/>
      <c r="X5"/>
      <c r="Y5"/>
      <c r="Z5"/>
    </row>
    <row r="6" spans="1:26" ht="16.2" thickBot="1" x14ac:dyDescent="0.35">
      <c r="A6" s="9" t="s">
        <v>12</v>
      </c>
      <c r="B6" s="10" t="s">
        <v>9</v>
      </c>
      <c r="I6" s="68"/>
      <c r="J6" s="15" t="s">
        <v>168</v>
      </c>
      <c r="K6" s="15"/>
    </row>
    <row r="7" spans="1:26" ht="16.2" thickBot="1" x14ac:dyDescent="0.35">
      <c r="A7" s="11" t="s">
        <v>51</v>
      </c>
      <c r="B7" s="12">
        <v>0</v>
      </c>
      <c r="I7" s="68"/>
      <c r="J7" s="15" t="s">
        <v>169</v>
      </c>
      <c r="K7" s="15"/>
    </row>
    <row r="8" spans="1:26" ht="16.2" thickBot="1" x14ac:dyDescent="0.35">
      <c r="A8" s="11" t="s">
        <v>53</v>
      </c>
      <c r="B8" s="69">
        <v>80000000</v>
      </c>
      <c r="C8" s="7" t="s">
        <v>170</v>
      </c>
      <c r="I8" s="70"/>
      <c r="J8" s="7" t="s">
        <v>171</v>
      </c>
    </row>
    <row r="9" spans="1:26" ht="16.5" customHeight="1" thickBot="1" x14ac:dyDescent="0.35">
      <c r="A9" s="11" t="s">
        <v>55</v>
      </c>
      <c r="B9" s="12">
        <v>0</v>
      </c>
      <c r="H9" s="7" t="s">
        <v>172</v>
      </c>
      <c r="I9" s="70">
        <v>7615</v>
      </c>
      <c r="J9" s="15" t="s">
        <v>173</v>
      </c>
      <c r="K9" s="15"/>
      <c r="L9" s="15"/>
      <c r="M9" s="15"/>
      <c r="N9" s="15"/>
      <c r="O9" s="15"/>
    </row>
    <row r="10" spans="1:26" ht="16.2" thickBot="1" x14ac:dyDescent="0.35">
      <c r="A10" s="11" t="s">
        <v>57</v>
      </c>
      <c r="B10" s="12">
        <v>0</v>
      </c>
      <c r="H10" s="7" t="s">
        <v>174</v>
      </c>
      <c r="I10" s="70">
        <v>120000</v>
      </c>
      <c r="J10" s="15" t="s">
        <v>175</v>
      </c>
      <c r="K10" s="15"/>
      <c r="L10" s="15"/>
      <c r="M10" s="15"/>
      <c r="N10" s="15"/>
      <c r="O10" s="15"/>
    </row>
    <row r="11" spans="1:26" ht="16.2" thickBot="1" x14ac:dyDescent="0.35">
      <c r="A11" s="11"/>
      <c r="B11" s="12">
        <v>0</v>
      </c>
      <c r="H11" s="7" t="s">
        <v>176</v>
      </c>
      <c r="I11" s="70">
        <v>49000</v>
      </c>
      <c r="J11" s="15" t="s">
        <v>177</v>
      </c>
      <c r="K11" s="15"/>
      <c r="L11" s="15"/>
      <c r="M11" s="15"/>
      <c r="N11" s="15"/>
      <c r="O11" s="15"/>
    </row>
    <row r="12" spans="1:26" ht="16.2" thickBot="1" x14ac:dyDescent="0.35">
      <c r="A12" s="11"/>
      <c r="B12" s="10"/>
      <c r="C12" s="12">
        <v>80000000</v>
      </c>
      <c r="I12" s="70"/>
    </row>
    <row r="13" spans="1:26" ht="16.2" thickBot="1" x14ac:dyDescent="0.35">
      <c r="A13" s="13"/>
      <c r="C13" s="10" t="s">
        <v>9</v>
      </c>
      <c r="I13" s="71">
        <v>305998</v>
      </c>
    </row>
    <row r="14" spans="1:26" ht="16.2" thickTop="1" x14ac:dyDescent="0.3"/>
    <row r="15" spans="1:26" ht="31.2" x14ac:dyDescent="0.3">
      <c r="A15" s="1" t="s">
        <v>17</v>
      </c>
      <c r="B15" s="14" t="s">
        <v>18</v>
      </c>
      <c r="C15" s="1" t="s">
        <v>19</v>
      </c>
      <c r="D15" s="1" t="s">
        <v>20</v>
      </c>
      <c r="E15" s="1" t="s">
        <v>21</v>
      </c>
      <c r="F15" s="1" t="s">
        <v>22</v>
      </c>
    </row>
    <row r="16" spans="1:26" ht="16.2" thickBot="1" x14ac:dyDescent="0.35">
      <c r="A16" s="15" t="s">
        <v>23</v>
      </c>
      <c r="B16" s="16">
        <v>30192.579999999998</v>
      </c>
      <c r="C16" s="16">
        <v>67780.160000000003</v>
      </c>
      <c r="D16" s="29" t="s">
        <v>24</v>
      </c>
      <c r="E16" s="29" t="s">
        <v>79</v>
      </c>
      <c r="F16" s="72" t="s">
        <v>178</v>
      </c>
      <c r="G16" s="66" t="s">
        <v>178</v>
      </c>
      <c r="H16" s="7" t="s">
        <v>179</v>
      </c>
    </row>
    <row r="17" spans="1:8" ht="16.2" thickBot="1" x14ac:dyDescent="0.35">
      <c r="A17" s="15" t="s">
        <v>25</v>
      </c>
      <c r="B17" s="16">
        <v>62854.33</v>
      </c>
      <c r="C17" s="16">
        <v>121623.86500000002</v>
      </c>
      <c r="D17" s="30" t="s">
        <v>24</v>
      </c>
      <c r="E17" s="30" t="s">
        <v>180</v>
      </c>
      <c r="F17" s="72" t="s">
        <v>181</v>
      </c>
      <c r="G17" s="73"/>
      <c r="H17" s="7" t="s">
        <v>182</v>
      </c>
    </row>
    <row r="18" spans="1:8" ht="16.2" thickBot="1" x14ac:dyDescent="0.35">
      <c r="A18" s="15" t="s">
        <v>26</v>
      </c>
      <c r="B18" s="16">
        <v>0</v>
      </c>
      <c r="C18" s="16">
        <v>0</v>
      </c>
      <c r="D18" s="30"/>
      <c r="E18" s="30"/>
      <c r="F18" s="20"/>
      <c r="G18" s="73"/>
      <c r="H18" s="7" t="s">
        <v>183</v>
      </c>
    </row>
    <row r="19" spans="1:8" ht="16.2" thickBot="1" x14ac:dyDescent="0.35">
      <c r="A19" s="15" t="s">
        <v>27</v>
      </c>
      <c r="B19" s="16">
        <v>25263</v>
      </c>
      <c r="C19" s="16">
        <v>50263</v>
      </c>
      <c r="D19" s="30" t="s">
        <v>24</v>
      </c>
      <c r="E19" s="30" t="s">
        <v>184</v>
      </c>
      <c r="F19" s="20"/>
      <c r="G19" s="66"/>
      <c r="H19" s="7" t="s">
        <v>185</v>
      </c>
    </row>
    <row r="20" spans="1:8" ht="16.2" thickBot="1" x14ac:dyDescent="0.35">
      <c r="A20" s="15" t="s">
        <v>28</v>
      </c>
      <c r="B20" s="16">
        <v>2755.6</v>
      </c>
      <c r="C20" s="16">
        <v>2755.6</v>
      </c>
      <c r="D20" s="30"/>
      <c r="E20" s="30" t="s">
        <v>180</v>
      </c>
      <c r="F20" s="20"/>
      <c r="G20" s="73"/>
    </row>
    <row r="21" spans="1:8" ht="16.2" thickBot="1" x14ac:dyDescent="0.35">
      <c r="A21" s="15" t="s">
        <v>29</v>
      </c>
      <c r="B21" s="16">
        <v>156323.13</v>
      </c>
      <c r="C21" s="16">
        <v>981319.625</v>
      </c>
      <c r="D21" s="30" t="s">
        <v>24</v>
      </c>
      <c r="E21" s="30" t="s">
        <v>180</v>
      </c>
      <c r="F21" s="72" t="s">
        <v>186</v>
      </c>
      <c r="G21" s="66" t="s">
        <v>181</v>
      </c>
      <c r="H21" s="7" t="s">
        <v>187</v>
      </c>
    </row>
    <row r="22" spans="1:8" ht="16.2" thickBot="1" x14ac:dyDescent="0.35">
      <c r="A22" s="15" t="s">
        <v>30</v>
      </c>
      <c r="B22" s="16">
        <v>26818.48</v>
      </c>
      <c r="C22" s="16">
        <v>103189.33</v>
      </c>
      <c r="D22" s="30" t="s">
        <v>24</v>
      </c>
      <c r="E22" s="30" t="s">
        <v>79</v>
      </c>
      <c r="F22" s="72" t="s">
        <v>188</v>
      </c>
      <c r="G22" s="73"/>
    </row>
    <row r="23" spans="1:8" ht="16.2" thickBot="1" x14ac:dyDescent="0.35">
      <c r="A23" s="15" t="s">
        <v>189</v>
      </c>
      <c r="B23" s="12">
        <v>8352</v>
      </c>
      <c r="C23" s="12">
        <v>40000</v>
      </c>
      <c r="D23" s="30" t="s">
        <v>24</v>
      </c>
      <c r="E23" s="30" t="s">
        <v>180</v>
      </c>
      <c r="F23" s="20"/>
      <c r="G23" s="66" t="s">
        <v>186</v>
      </c>
      <c r="H23" s="7" t="s">
        <v>190</v>
      </c>
    </row>
    <row r="24" spans="1:8" ht="16.2" thickBot="1" x14ac:dyDescent="0.35">
      <c r="A24" s="11"/>
      <c r="B24" s="12">
        <v>0</v>
      </c>
      <c r="C24" s="12">
        <v>0</v>
      </c>
      <c r="D24" s="30"/>
      <c r="E24" s="30"/>
      <c r="F24" s="20"/>
      <c r="G24" s="66"/>
      <c r="H24" s="7" t="s">
        <v>191</v>
      </c>
    </row>
    <row r="25" spans="1:8" ht="16.2" thickBot="1" x14ac:dyDescent="0.35">
      <c r="A25" s="11"/>
      <c r="B25" s="12">
        <v>0</v>
      </c>
      <c r="C25" s="12">
        <v>0</v>
      </c>
      <c r="D25" s="30"/>
      <c r="E25" s="30"/>
      <c r="F25" s="20"/>
      <c r="G25" s="73"/>
    </row>
    <row r="26" spans="1:8" ht="16.2" thickBot="1" x14ac:dyDescent="0.35">
      <c r="A26" s="11"/>
      <c r="B26" s="12">
        <v>0</v>
      </c>
      <c r="C26" s="12">
        <v>0</v>
      </c>
      <c r="D26" s="30"/>
      <c r="E26" s="30"/>
      <c r="F26" s="20"/>
      <c r="G26" s="66" t="s">
        <v>188</v>
      </c>
      <c r="H26" s="7" t="s">
        <v>192</v>
      </c>
    </row>
    <row r="27" spans="1:8" ht="16.2" thickBot="1" x14ac:dyDescent="0.35">
      <c r="A27" s="11"/>
      <c r="B27" s="12">
        <v>0</v>
      </c>
      <c r="C27" s="12">
        <v>0</v>
      </c>
      <c r="D27" s="30"/>
      <c r="E27" s="30"/>
      <c r="F27" s="20"/>
      <c r="H27" s="7" t="s">
        <v>193</v>
      </c>
    </row>
    <row r="28" spans="1:8" ht="16.2" thickBot="1" x14ac:dyDescent="0.35">
      <c r="A28" s="21"/>
      <c r="B28" s="12">
        <v>0</v>
      </c>
      <c r="C28" s="12">
        <v>0</v>
      </c>
      <c r="D28" s="19"/>
      <c r="E28" s="30"/>
      <c r="F28" s="20"/>
    </row>
    <row r="29" spans="1:8" ht="16.2" thickBot="1" x14ac:dyDescent="0.35">
      <c r="A29" s="13" t="s">
        <v>32</v>
      </c>
      <c r="B29" s="22">
        <v>312559.12</v>
      </c>
      <c r="C29" s="22">
        <v>1366931.58</v>
      </c>
      <c r="D29" s="23"/>
      <c r="E29" s="34"/>
      <c r="F29" s="24"/>
    </row>
    <row r="35" spans="1:3" x14ac:dyDescent="0.3">
      <c r="A35" s="73"/>
    </row>
    <row r="36" spans="1:3" x14ac:dyDescent="0.3">
      <c r="B36" s="62"/>
      <c r="C36" s="62"/>
    </row>
    <row r="37" spans="1:3" x14ac:dyDescent="0.3">
      <c r="B37" s="62"/>
      <c r="C37" s="62"/>
    </row>
    <row r="38" spans="1:3" x14ac:dyDescent="0.3">
      <c r="B38" s="62"/>
      <c r="C38" s="62"/>
    </row>
    <row r="39" spans="1:3" x14ac:dyDescent="0.3">
      <c r="B39" s="62"/>
      <c r="C39" s="62"/>
    </row>
    <row r="40" spans="1:3" x14ac:dyDescent="0.3">
      <c r="B40" s="62"/>
      <c r="C40" s="62"/>
    </row>
    <row r="41" spans="1:3" x14ac:dyDescent="0.3">
      <c r="B41" s="62"/>
      <c r="C41" s="62"/>
    </row>
    <row r="42" spans="1:3" x14ac:dyDescent="0.3">
      <c r="B42" s="62"/>
      <c r="C42" s="62"/>
    </row>
    <row r="43" spans="1:3" x14ac:dyDescent="0.3">
      <c r="B43" s="62"/>
      <c r="C43" s="62"/>
    </row>
    <row r="44" spans="1:3" x14ac:dyDescent="0.3">
      <c r="B44" s="62"/>
      <c r="C44" s="62"/>
    </row>
    <row r="45" spans="1:3" x14ac:dyDescent="0.3">
      <c r="B45" s="62"/>
      <c r="C45" s="62"/>
    </row>
    <row r="46" spans="1:3" x14ac:dyDescent="0.3">
      <c r="B46" s="62"/>
      <c r="C46" s="62"/>
    </row>
    <row r="47" spans="1:3" x14ac:dyDescent="0.3">
      <c r="B47" s="62"/>
      <c r="C47" s="62"/>
    </row>
    <row r="48" spans="1:3" x14ac:dyDescent="0.3">
      <c r="B48" s="62"/>
      <c r="C48" s="62"/>
    </row>
    <row r="50" spans="2:4" x14ac:dyDescent="0.3">
      <c r="B50" s="74"/>
      <c r="C50" s="74"/>
    </row>
    <row r="51" spans="2:4" x14ac:dyDescent="0.3">
      <c r="B51" s="62"/>
      <c r="C51" s="62"/>
    </row>
    <row r="52" spans="2:4" x14ac:dyDescent="0.3">
      <c r="B52" s="62"/>
      <c r="C52" s="62"/>
      <c r="D52" s="7">
        <v>0</v>
      </c>
    </row>
  </sheetData>
  <mergeCells count="1">
    <mergeCell ref="I2:S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0D0B-C7C3-48BD-971E-2EABEB9A405B}">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194</v>
      </c>
      <c r="B2" s="4">
        <v>250000</v>
      </c>
      <c r="C2" s="3" t="s">
        <v>195</v>
      </c>
      <c r="D2" s="5">
        <v>8000000</v>
      </c>
      <c r="E2" s="3" t="s">
        <v>196</v>
      </c>
      <c r="F2" s="6" t="s">
        <v>197</v>
      </c>
      <c r="G2" s="5">
        <v>0</v>
      </c>
      <c r="H2" s="5">
        <v>80310.5</v>
      </c>
    </row>
    <row r="3" spans="1:8" x14ac:dyDescent="0.3">
      <c r="H3" s="11" t="s">
        <v>198</v>
      </c>
    </row>
    <row r="4" spans="1:8" x14ac:dyDescent="0.3">
      <c r="A4" s="8" t="s">
        <v>11</v>
      </c>
      <c r="H4" s="11" t="s">
        <v>199</v>
      </c>
    </row>
    <row r="5" spans="1:8" x14ac:dyDescent="0.3">
      <c r="H5" s="11" t="s">
        <v>200</v>
      </c>
    </row>
    <row r="6" spans="1:8" ht="16.2" thickBot="1" x14ac:dyDescent="0.35">
      <c r="A6" s="9" t="s">
        <v>12</v>
      </c>
      <c r="B6" s="10" t="s">
        <v>9</v>
      </c>
    </row>
    <row r="7" spans="1:8" ht="16.2" thickBot="1" x14ac:dyDescent="0.35">
      <c r="A7" s="11" t="s">
        <v>13</v>
      </c>
      <c r="B7" s="12">
        <v>100000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100000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898</v>
      </c>
      <c r="C15" s="16">
        <v>6898</v>
      </c>
      <c r="D15" s="29" t="s">
        <v>24</v>
      </c>
      <c r="E15" s="17" t="s">
        <v>79</v>
      </c>
      <c r="F15" s="18"/>
    </row>
    <row r="16" spans="1:8" ht="16.2" thickBot="1" x14ac:dyDescent="0.35">
      <c r="A16" s="15" t="s">
        <v>25</v>
      </c>
      <c r="B16" s="12">
        <v>24943</v>
      </c>
      <c r="C16" s="12">
        <v>32243</v>
      </c>
      <c r="D16" s="29" t="s">
        <v>24</v>
      </c>
      <c r="E16" s="17" t="s">
        <v>79</v>
      </c>
      <c r="F16" s="20"/>
    </row>
    <row r="17" spans="1:6" ht="16.2" thickBot="1" x14ac:dyDescent="0.35">
      <c r="A17" s="15" t="s">
        <v>26</v>
      </c>
      <c r="B17" s="12">
        <v>0</v>
      </c>
      <c r="C17" s="12">
        <v>200000</v>
      </c>
      <c r="D17" s="29" t="s">
        <v>24</v>
      </c>
      <c r="E17" s="17" t="s">
        <v>201</v>
      </c>
      <c r="F17" s="20" t="s">
        <v>202</v>
      </c>
    </row>
    <row r="18" spans="1:6" ht="16.2" thickBot="1" x14ac:dyDescent="0.35">
      <c r="A18" s="15" t="s">
        <v>27</v>
      </c>
      <c r="B18" s="12">
        <v>1400</v>
      </c>
      <c r="C18" s="12">
        <v>7000</v>
      </c>
      <c r="D18" s="29" t="s">
        <v>24</v>
      </c>
      <c r="E18" s="17" t="s">
        <v>184</v>
      </c>
      <c r="F18" s="20"/>
    </row>
    <row r="19" spans="1:6" ht="16.2" thickBot="1" x14ac:dyDescent="0.35">
      <c r="A19" s="15" t="s">
        <v>28</v>
      </c>
      <c r="B19" s="12">
        <v>0</v>
      </c>
      <c r="C19" s="12">
        <v>0</v>
      </c>
      <c r="D19" s="29"/>
      <c r="E19" s="17"/>
      <c r="F19" s="20"/>
    </row>
    <row r="20" spans="1:6" ht="16.2" thickBot="1" x14ac:dyDescent="0.35">
      <c r="A20" s="15" t="s">
        <v>29</v>
      </c>
      <c r="B20" s="12">
        <v>0</v>
      </c>
      <c r="C20" s="12">
        <v>0</v>
      </c>
      <c r="D20" s="29"/>
      <c r="E20" s="17"/>
      <c r="F20" s="20" t="s">
        <v>203</v>
      </c>
    </row>
    <row r="21" spans="1:6" ht="16.2" thickBot="1" x14ac:dyDescent="0.35">
      <c r="A21" s="15" t="s">
        <v>30</v>
      </c>
      <c r="B21" s="12">
        <v>0</v>
      </c>
      <c r="C21" s="12">
        <v>6000</v>
      </c>
      <c r="D21" s="29" t="s">
        <v>24</v>
      </c>
      <c r="E21" s="17" t="s">
        <v>204</v>
      </c>
      <c r="F21" s="20"/>
    </row>
    <row r="22" spans="1:6" ht="16.2" thickBot="1" x14ac:dyDescent="0.35">
      <c r="A22" s="15" t="s">
        <v>205</v>
      </c>
      <c r="B22" s="12">
        <v>0</v>
      </c>
      <c r="C22" s="12">
        <v>64101</v>
      </c>
      <c r="D22" s="29" t="s">
        <v>24</v>
      </c>
      <c r="E22" s="17" t="s">
        <v>79</v>
      </c>
      <c r="F22" s="20"/>
    </row>
    <row r="23" spans="1:6" ht="16.2" thickBot="1" x14ac:dyDescent="0.35">
      <c r="A23" s="15" t="s">
        <v>206</v>
      </c>
      <c r="B23" s="12">
        <v>14667</v>
      </c>
      <c r="C23" s="12">
        <v>5000</v>
      </c>
      <c r="D23" s="30" t="s">
        <v>24</v>
      </c>
      <c r="E23" s="19" t="s">
        <v>79</v>
      </c>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41908</v>
      </c>
      <c r="C28" s="22">
        <v>321242</v>
      </c>
      <c r="D28" s="23"/>
      <c r="E28" s="23"/>
      <c r="F28" s="24"/>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8989-DF92-4F32-8DA2-87BAA653D800}">
  <dimension ref="A1:Z1000"/>
  <sheetViews>
    <sheetView topLeftCell="A7" workbookViewId="0">
      <selection activeCell="E11" sqref="E11:J11"/>
    </sheetView>
  </sheetViews>
  <sheetFormatPr defaultColWidth="14.44140625" defaultRowHeight="14.4" x14ac:dyDescent="0.3"/>
  <cols>
    <col min="1" max="1" width="45" customWidth="1"/>
    <col min="2" max="2" width="20.44140625" customWidth="1"/>
    <col min="3" max="3" width="26.88671875" customWidth="1"/>
    <col min="4" max="4" width="25.33203125" customWidth="1"/>
    <col min="5" max="5" width="30.6640625" customWidth="1"/>
    <col min="6" max="6" width="28.33203125" customWidth="1"/>
    <col min="7" max="7" width="21.33203125" customWidth="1"/>
    <col min="8" max="8" width="20.6640625" customWidth="1"/>
    <col min="9" max="26" width="8.6640625" customWidth="1"/>
  </cols>
  <sheetData>
    <row r="1" spans="1:26" ht="60.75" customHeight="1" thickBot="1" x14ac:dyDescent="0.35">
      <c r="A1" s="457" t="s">
        <v>0</v>
      </c>
      <c r="B1" s="457" t="s">
        <v>1</v>
      </c>
      <c r="C1" s="457" t="s">
        <v>2</v>
      </c>
      <c r="D1" s="457" t="s">
        <v>3</v>
      </c>
      <c r="E1" s="457" t="s">
        <v>4</v>
      </c>
      <c r="F1" s="457" t="s">
        <v>5</v>
      </c>
      <c r="G1" s="457" t="s">
        <v>6</v>
      </c>
      <c r="H1" s="457" t="s">
        <v>7</v>
      </c>
      <c r="I1" s="458"/>
      <c r="J1" s="458"/>
      <c r="K1" s="458"/>
      <c r="L1" s="458"/>
      <c r="M1" s="458"/>
      <c r="N1" s="458"/>
      <c r="O1" s="458"/>
      <c r="P1" s="458"/>
      <c r="Q1" s="458"/>
      <c r="R1" s="458"/>
      <c r="S1" s="458"/>
      <c r="T1" s="458"/>
      <c r="U1" s="458"/>
      <c r="V1" s="458"/>
      <c r="W1" s="458"/>
      <c r="X1" s="458"/>
      <c r="Y1" s="458"/>
      <c r="Z1" s="458"/>
    </row>
    <row r="2" spans="1:26" ht="56.25" customHeight="1" thickBot="1" x14ac:dyDescent="0.35">
      <c r="A2" s="459" t="s">
        <v>2070</v>
      </c>
      <c r="B2" s="460">
        <v>-250000</v>
      </c>
      <c r="C2" s="459" t="s">
        <v>2071</v>
      </c>
      <c r="D2" s="461">
        <v>780000</v>
      </c>
      <c r="E2" s="459" t="s">
        <v>24</v>
      </c>
      <c r="F2" s="462" t="s">
        <v>2072</v>
      </c>
      <c r="G2" s="461">
        <v>0</v>
      </c>
      <c r="H2" s="461">
        <v>0</v>
      </c>
      <c r="I2" s="463"/>
      <c r="J2" s="463"/>
      <c r="K2" s="463"/>
      <c r="L2" s="463"/>
      <c r="M2" s="463"/>
      <c r="N2" s="463"/>
      <c r="O2" s="463"/>
      <c r="P2" s="463"/>
      <c r="Q2" s="463"/>
      <c r="R2" s="463"/>
      <c r="S2" s="463"/>
      <c r="T2" s="463"/>
      <c r="U2" s="463"/>
      <c r="V2" s="463"/>
      <c r="W2" s="463"/>
      <c r="X2" s="463"/>
      <c r="Y2" s="463"/>
      <c r="Z2" s="463"/>
    </row>
    <row r="3" spans="1:26" ht="15.75" customHeight="1" x14ac:dyDescent="0.3">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row>
    <row r="4" spans="1:26" ht="15.75" customHeight="1" x14ac:dyDescent="0.3">
      <c r="A4" s="464" t="s">
        <v>11</v>
      </c>
      <c r="B4" s="463"/>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1:26" ht="15.75" customHeight="1" x14ac:dyDescent="0.3">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row>
    <row r="6" spans="1:26" ht="15.75" customHeight="1" thickBot="1" x14ac:dyDescent="0.35">
      <c r="A6" s="465" t="s">
        <v>12</v>
      </c>
      <c r="B6" s="466" t="s">
        <v>9</v>
      </c>
      <c r="C6" s="463"/>
      <c r="D6" s="463"/>
      <c r="E6" s="463"/>
      <c r="F6" s="463"/>
      <c r="G6" s="463"/>
      <c r="H6" s="463"/>
      <c r="I6" s="463"/>
      <c r="J6" s="463"/>
      <c r="K6" s="463"/>
      <c r="L6" s="463"/>
      <c r="M6" s="463"/>
      <c r="N6" s="463"/>
      <c r="O6" s="463"/>
      <c r="P6" s="463"/>
      <c r="Q6" s="463"/>
      <c r="R6" s="463"/>
      <c r="S6" s="463"/>
      <c r="T6" s="463"/>
      <c r="U6" s="463"/>
      <c r="V6" s="463"/>
      <c r="W6" s="463"/>
      <c r="X6" s="463"/>
      <c r="Y6" s="463"/>
      <c r="Z6" s="463"/>
    </row>
    <row r="7" spans="1:26" ht="15.75" customHeight="1" thickBot="1" x14ac:dyDescent="0.35">
      <c r="A7" s="467" t="s">
        <v>51</v>
      </c>
      <c r="B7" s="468">
        <v>-200000</v>
      </c>
      <c r="C7" s="463"/>
      <c r="D7" s="463"/>
      <c r="E7" s="463"/>
      <c r="F7" s="463"/>
      <c r="G7" s="463"/>
      <c r="H7" s="463"/>
      <c r="I7" s="463"/>
      <c r="J7" s="463"/>
      <c r="K7" s="463"/>
      <c r="L7" s="463"/>
      <c r="M7" s="463"/>
      <c r="N7" s="463"/>
      <c r="O7" s="463"/>
      <c r="P7" s="463"/>
      <c r="Q7" s="463"/>
      <c r="R7" s="463"/>
      <c r="S7" s="463"/>
      <c r="T7" s="463"/>
      <c r="U7" s="463"/>
      <c r="V7" s="463"/>
      <c r="W7" s="463"/>
      <c r="X7" s="463"/>
      <c r="Y7" s="463"/>
      <c r="Z7" s="463"/>
    </row>
    <row r="8" spans="1:26" ht="15.75" customHeight="1" thickBot="1" x14ac:dyDescent="0.35">
      <c r="A8" s="467" t="s">
        <v>53</v>
      </c>
      <c r="B8" s="468">
        <v>-50000</v>
      </c>
      <c r="C8" s="463"/>
      <c r="D8" s="463"/>
      <c r="E8" s="463"/>
      <c r="F8" s="463"/>
      <c r="G8" s="463"/>
      <c r="H8" s="463"/>
      <c r="I8" s="463"/>
      <c r="J8" s="463"/>
      <c r="K8" s="463"/>
      <c r="L8" s="463"/>
      <c r="M8" s="463"/>
      <c r="N8" s="463"/>
      <c r="O8" s="463"/>
      <c r="P8" s="463"/>
      <c r="Q8" s="463"/>
      <c r="R8" s="463"/>
      <c r="S8" s="463"/>
      <c r="T8" s="463"/>
      <c r="U8" s="463"/>
      <c r="V8" s="463"/>
      <c r="W8" s="463"/>
      <c r="X8" s="463"/>
      <c r="Y8" s="463"/>
      <c r="Z8" s="463"/>
    </row>
    <row r="9" spans="1:26" ht="15.75" customHeight="1" thickBot="1" x14ac:dyDescent="0.35">
      <c r="A9" s="467" t="s">
        <v>55</v>
      </c>
      <c r="B9" s="469">
        <v>0</v>
      </c>
      <c r="C9" s="463"/>
      <c r="D9" s="463"/>
      <c r="E9" s="463"/>
      <c r="F9" s="463"/>
      <c r="G9" s="463"/>
      <c r="H9" s="463"/>
      <c r="I9" s="463"/>
      <c r="J9" s="463"/>
      <c r="K9" s="463"/>
      <c r="L9" s="463"/>
      <c r="M9" s="463"/>
      <c r="N9" s="463"/>
      <c r="O9" s="463"/>
      <c r="P9" s="463"/>
      <c r="Q9" s="463"/>
      <c r="R9" s="463"/>
      <c r="S9" s="463"/>
      <c r="T9" s="463"/>
      <c r="U9" s="463"/>
      <c r="V9" s="463"/>
      <c r="W9" s="463"/>
      <c r="X9" s="463"/>
      <c r="Y9" s="463"/>
      <c r="Z9" s="463"/>
    </row>
    <row r="10" spans="1:26" ht="15.75" customHeight="1" thickBot="1" x14ac:dyDescent="0.35">
      <c r="A10" s="467" t="s">
        <v>57</v>
      </c>
      <c r="B10" s="469">
        <v>0</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row>
    <row r="11" spans="1:26" ht="15.75" customHeight="1" thickBot="1" x14ac:dyDescent="0.35">
      <c r="A11" s="467"/>
      <c r="B11" s="469">
        <v>0</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ht="15.75" customHeight="1" thickBot="1" x14ac:dyDescent="0.35">
      <c r="A12" s="467"/>
      <c r="B12" s="466"/>
      <c r="C12" s="469">
        <f>SUM(B7:B11)</f>
        <v>-250000</v>
      </c>
      <c r="D12" s="463"/>
      <c r="E12" s="463"/>
      <c r="F12" s="463"/>
      <c r="G12" s="463"/>
      <c r="H12" s="463"/>
      <c r="I12" s="463"/>
      <c r="J12" s="463"/>
      <c r="K12" s="463"/>
      <c r="L12" s="463"/>
      <c r="M12" s="463"/>
      <c r="N12" s="463"/>
      <c r="O12" s="463"/>
      <c r="P12" s="463"/>
      <c r="Q12" s="463"/>
      <c r="R12" s="463"/>
      <c r="S12" s="463"/>
      <c r="T12" s="463"/>
      <c r="U12" s="463"/>
      <c r="V12" s="463"/>
      <c r="W12" s="463"/>
      <c r="X12" s="463"/>
      <c r="Y12" s="463"/>
      <c r="Z12" s="463"/>
    </row>
    <row r="13" spans="1:26" ht="15.75" customHeight="1" x14ac:dyDescent="0.3">
      <c r="A13" s="470"/>
      <c r="B13" s="463"/>
      <c r="C13" s="466" t="s">
        <v>9</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row>
    <row r="14" spans="1:26" ht="15.75" customHeight="1" x14ac:dyDescent="0.3">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row>
    <row r="15" spans="1:26" ht="15.75" customHeight="1" x14ac:dyDescent="0.3">
      <c r="A15" s="457" t="s">
        <v>17</v>
      </c>
      <c r="B15" s="471" t="s">
        <v>18</v>
      </c>
      <c r="C15" s="457" t="s">
        <v>19</v>
      </c>
      <c r="D15" s="457" t="s">
        <v>20</v>
      </c>
      <c r="E15" s="457" t="s">
        <v>21</v>
      </c>
      <c r="F15" s="457" t="s">
        <v>22</v>
      </c>
      <c r="G15" s="463"/>
      <c r="H15" s="463"/>
      <c r="I15" s="463"/>
      <c r="J15" s="463"/>
      <c r="K15" s="463"/>
      <c r="L15" s="463"/>
      <c r="M15" s="463"/>
      <c r="N15" s="463"/>
      <c r="O15" s="463"/>
      <c r="P15" s="463"/>
      <c r="Q15" s="463"/>
      <c r="R15" s="463"/>
      <c r="S15" s="463"/>
      <c r="T15" s="463"/>
      <c r="U15" s="463"/>
      <c r="V15" s="463"/>
      <c r="W15" s="463"/>
      <c r="X15" s="463"/>
      <c r="Y15" s="463"/>
      <c r="Z15" s="463"/>
    </row>
    <row r="16" spans="1:26" ht="15.75" customHeight="1" thickBot="1" x14ac:dyDescent="0.35">
      <c r="A16" s="472" t="s">
        <v>23</v>
      </c>
      <c r="B16" s="473">
        <v>800</v>
      </c>
      <c r="C16" s="473">
        <v>2000</v>
      </c>
      <c r="D16" s="474" t="s">
        <v>24</v>
      </c>
      <c r="E16" s="474" t="s">
        <v>2073</v>
      </c>
      <c r="F16" s="475"/>
      <c r="G16" s="463"/>
      <c r="H16" s="463"/>
      <c r="I16" s="463"/>
      <c r="J16" s="463"/>
      <c r="K16" s="463"/>
      <c r="L16" s="463"/>
      <c r="M16" s="463"/>
      <c r="N16" s="463"/>
      <c r="O16" s="463"/>
      <c r="P16" s="463"/>
      <c r="Q16" s="463"/>
      <c r="R16" s="463"/>
      <c r="S16" s="463"/>
      <c r="T16" s="463"/>
      <c r="U16" s="463"/>
      <c r="V16" s="463"/>
      <c r="W16" s="463"/>
      <c r="X16" s="463"/>
      <c r="Y16" s="463"/>
      <c r="Z16" s="463"/>
    </row>
    <row r="17" spans="1:26" ht="15.75" customHeight="1" thickBot="1" x14ac:dyDescent="0.35">
      <c r="A17" s="472" t="s">
        <v>25</v>
      </c>
      <c r="B17" s="468">
        <v>0</v>
      </c>
      <c r="C17" s="469">
        <v>0</v>
      </c>
      <c r="D17" s="476"/>
      <c r="E17" s="476"/>
      <c r="F17" s="477"/>
      <c r="G17" s="463"/>
      <c r="H17" s="463"/>
      <c r="I17" s="463"/>
      <c r="J17" s="463"/>
      <c r="K17" s="463"/>
      <c r="L17" s="463"/>
      <c r="M17" s="463"/>
      <c r="N17" s="463"/>
      <c r="O17" s="463"/>
      <c r="P17" s="463"/>
      <c r="Q17" s="463"/>
      <c r="R17" s="463"/>
      <c r="S17" s="463"/>
      <c r="T17" s="463"/>
      <c r="U17" s="463"/>
      <c r="V17" s="463"/>
      <c r="W17" s="463"/>
      <c r="X17" s="463"/>
      <c r="Y17" s="463"/>
      <c r="Z17" s="463"/>
    </row>
    <row r="18" spans="1:26" ht="15.75" customHeight="1" thickBot="1" x14ac:dyDescent="0.35">
      <c r="A18" s="472" t="s">
        <v>26</v>
      </c>
      <c r="B18" s="468">
        <v>0</v>
      </c>
      <c r="C18" s="469">
        <v>0</v>
      </c>
      <c r="D18" s="476"/>
      <c r="E18" s="476"/>
      <c r="F18" s="477"/>
      <c r="G18" s="463"/>
      <c r="H18" s="463"/>
      <c r="I18" s="463"/>
      <c r="J18" s="463"/>
      <c r="K18" s="463"/>
      <c r="L18" s="463"/>
      <c r="M18" s="463"/>
      <c r="N18" s="463"/>
      <c r="O18" s="463"/>
      <c r="P18" s="463"/>
      <c r="Q18" s="463"/>
      <c r="R18" s="463"/>
      <c r="S18" s="463"/>
      <c r="T18" s="463"/>
      <c r="U18" s="463"/>
      <c r="V18" s="463"/>
      <c r="W18" s="463"/>
      <c r="X18" s="463"/>
      <c r="Y18" s="463"/>
      <c r="Z18" s="463"/>
    </row>
    <row r="19" spans="1:26" ht="15.75" customHeight="1" thickBot="1" x14ac:dyDescent="0.35">
      <c r="A19" s="472" t="s">
        <v>27</v>
      </c>
      <c r="B19" s="468">
        <v>0</v>
      </c>
      <c r="C19" s="469">
        <v>0</v>
      </c>
      <c r="D19" s="476"/>
      <c r="E19" s="476"/>
      <c r="F19" s="477"/>
      <c r="G19" s="463"/>
      <c r="H19" s="463"/>
      <c r="I19" s="463"/>
      <c r="J19" s="463"/>
      <c r="K19" s="463"/>
      <c r="L19" s="463"/>
      <c r="M19" s="463"/>
      <c r="N19" s="463"/>
      <c r="O19" s="463"/>
      <c r="P19" s="463"/>
      <c r="Q19" s="463"/>
      <c r="R19" s="463"/>
      <c r="S19" s="463"/>
      <c r="T19" s="463"/>
      <c r="U19" s="463"/>
      <c r="V19" s="463"/>
      <c r="W19" s="463"/>
      <c r="X19" s="463"/>
      <c r="Y19" s="463"/>
      <c r="Z19" s="463"/>
    </row>
    <row r="20" spans="1:26" ht="15.75" customHeight="1" thickBot="1" x14ac:dyDescent="0.35">
      <c r="A20" s="472" t="s">
        <v>28</v>
      </c>
      <c r="B20" s="468">
        <v>0</v>
      </c>
      <c r="C20" s="469">
        <v>0</v>
      </c>
      <c r="D20" s="476"/>
      <c r="E20" s="476"/>
      <c r="F20" s="477"/>
      <c r="G20" s="463"/>
      <c r="H20" s="463"/>
      <c r="I20" s="463"/>
      <c r="J20" s="463"/>
      <c r="K20" s="463"/>
      <c r="L20" s="463"/>
      <c r="M20" s="463"/>
      <c r="N20" s="463"/>
      <c r="O20" s="463"/>
      <c r="P20" s="463"/>
      <c r="Q20" s="463"/>
      <c r="R20" s="463"/>
      <c r="S20" s="463"/>
      <c r="T20" s="463"/>
      <c r="U20" s="463"/>
      <c r="V20" s="463"/>
      <c r="W20" s="463"/>
      <c r="X20" s="463"/>
      <c r="Y20" s="463"/>
      <c r="Z20" s="463"/>
    </row>
    <row r="21" spans="1:26" ht="15.75" customHeight="1" thickBot="1" x14ac:dyDescent="0.35">
      <c r="A21" s="472" t="s">
        <v>29</v>
      </c>
      <c r="B21" s="468">
        <v>0</v>
      </c>
      <c r="C21" s="469">
        <v>0</v>
      </c>
      <c r="D21" s="476"/>
      <c r="E21" s="476"/>
      <c r="F21" s="477"/>
      <c r="G21" s="463"/>
      <c r="H21" s="463"/>
      <c r="I21" s="463"/>
      <c r="J21" s="463"/>
      <c r="K21" s="463"/>
      <c r="L21" s="463"/>
      <c r="M21" s="463"/>
      <c r="N21" s="463"/>
      <c r="O21" s="463"/>
      <c r="P21" s="463"/>
      <c r="Q21" s="463"/>
      <c r="R21" s="463"/>
      <c r="S21" s="463"/>
      <c r="T21" s="463"/>
      <c r="U21" s="463"/>
      <c r="V21" s="463"/>
      <c r="W21" s="463"/>
      <c r="X21" s="463"/>
      <c r="Y21" s="463"/>
      <c r="Z21" s="463"/>
    </row>
    <row r="22" spans="1:26" ht="15.75" customHeight="1" thickBot="1" x14ac:dyDescent="0.35">
      <c r="A22" s="472" t="s">
        <v>30</v>
      </c>
      <c r="B22" s="468">
        <v>50</v>
      </c>
      <c r="C22" s="468">
        <v>500</v>
      </c>
      <c r="D22" s="478" t="s">
        <v>24</v>
      </c>
      <c r="E22" s="474" t="s">
        <v>2073</v>
      </c>
      <c r="F22" s="477"/>
      <c r="G22" s="463"/>
      <c r="H22" s="463"/>
      <c r="I22" s="463"/>
      <c r="J22" s="463"/>
      <c r="K22" s="463"/>
      <c r="L22" s="463"/>
      <c r="M22" s="463"/>
      <c r="N22" s="463"/>
      <c r="O22" s="463"/>
      <c r="P22" s="463"/>
      <c r="Q22" s="463"/>
      <c r="R22" s="463"/>
      <c r="S22" s="463"/>
      <c r="T22" s="463"/>
      <c r="U22" s="463"/>
      <c r="V22" s="463"/>
      <c r="W22" s="463"/>
      <c r="X22" s="463"/>
      <c r="Y22" s="463"/>
      <c r="Z22" s="463"/>
    </row>
    <row r="23" spans="1:26" ht="15.75" customHeight="1" thickBot="1" x14ac:dyDescent="0.35">
      <c r="A23" s="467"/>
      <c r="B23" s="469">
        <v>0</v>
      </c>
      <c r="C23" s="469">
        <v>0</v>
      </c>
      <c r="D23" s="476"/>
      <c r="E23" s="476"/>
      <c r="F23" s="477"/>
      <c r="G23" s="463"/>
      <c r="H23" s="463"/>
      <c r="I23" s="463"/>
      <c r="J23" s="463"/>
      <c r="K23" s="463"/>
      <c r="L23" s="463"/>
      <c r="M23" s="463"/>
      <c r="N23" s="463"/>
      <c r="O23" s="463"/>
      <c r="P23" s="463"/>
      <c r="Q23" s="463"/>
      <c r="R23" s="463"/>
      <c r="S23" s="463"/>
      <c r="T23" s="463"/>
      <c r="U23" s="463"/>
      <c r="V23" s="463"/>
      <c r="W23" s="463"/>
      <c r="X23" s="463"/>
      <c r="Y23" s="463"/>
      <c r="Z23" s="463"/>
    </row>
    <row r="24" spans="1:26" ht="15.75" customHeight="1" thickBot="1" x14ac:dyDescent="0.35">
      <c r="A24" s="467"/>
      <c r="B24" s="469">
        <v>0</v>
      </c>
      <c r="C24" s="469">
        <v>0</v>
      </c>
      <c r="D24" s="476"/>
      <c r="E24" s="476"/>
      <c r="F24" s="477"/>
      <c r="G24" s="463"/>
      <c r="H24" s="463"/>
      <c r="I24" s="463"/>
      <c r="J24" s="463"/>
      <c r="K24" s="463"/>
      <c r="L24" s="463"/>
      <c r="M24" s="463"/>
      <c r="N24" s="463"/>
      <c r="O24" s="463"/>
      <c r="P24" s="463"/>
      <c r="Q24" s="463"/>
      <c r="R24" s="463"/>
      <c r="S24" s="463"/>
      <c r="T24" s="463"/>
      <c r="U24" s="463"/>
      <c r="V24" s="463"/>
      <c r="W24" s="463"/>
      <c r="X24" s="463"/>
      <c r="Y24" s="463"/>
      <c r="Z24" s="463"/>
    </row>
    <row r="25" spans="1:26" ht="15.75" customHeight="1" thickBot="1" x14ac:dyDescent="0.35">
      <c r="A25" s="467"/>
      <c r="B25" s="469">
        <v>0</v>
      </c>
      <c r="C25" s="469">
        <v>0</v>
      </c>
      <c r="D25" s="476"/>
      <c r="E25" s="476"/>
      <c r="F25" s="477"/>
      <c r="G25" s="463"/>
      <c r="H25" s="463"/>
      <c r="I25" s="463"/>
      <c r="J25" s="463"/>
      <c r="K25" s="463"/>
      <c r="L25" s="463"/>
      <c r="M25" s="463"/>
      <c r="N25" s="463"/>
      <c r="O25" s="463"/>
      <c r="P25" s="463"/>
      <c r="Q25" s="463"/>
      <c r="R25" s="463"/>
      <c r="S25" s="463"/>
      <c r="T25" s="463"/>
      <c r="U25" s="463"/>
      <c r="V25" s="463"/>
      <c r="W25" s="463"/>
      <c r="X25" s="463"/>
      <c r="Y25" s="463"/>
      <c r="Z25" s="463"/>
    </row>
    <row r="26" spans="1:26" ht="15.75" customHeight="1" thickBot="1" x14ac:dyDescent="0.35">
      <c r="A26" s="467"/>
      <c r="B26" s="469">
        <v>0</v>
      </c>
      <c r="C26" s="469">
        <v>0</v>
      </c>
      <c r="D26" s="476"/>
      <c r="E26" s="476"/>
      <c r="F26" s="477"/>
      <c r="G26" s="463"/>
      <c r="H26" s="463"/>
      <c r="I26" s="463"/>
      <c r="J26" s="463"/>
      <c r="K26" s="463"/>
      <c r="L26" s="463"/>
      <c r="M26" s="463"/>
      <c r="N26" s="463"/>
      <c r="O26" s="463"/>
      <c r="P26" s="463"/>
      <c r="Q26" s="463"/>
      <c r="R26" s="463"/>
      <c r="S26" s="463"/>
      <c r="T26" s="463"/>
      <c r="U26" s="463"/>
      <c r="V26" s="463"/>
      <c r="W26" s="463"/>
      <c r="X26" s="463"/>
      <c r="Y26" s="463"/>
      <c r="Z26" s="463"/>
    </row>
    <row r="27" spans="1:26" ht="15.75" customHeight="1" thickBot="1" x14ac:dyDescent="0.35">
      <c r="A27" s="467"/>
      <c r="B27" s="469">
        <v>0</v>
      </c>
      <c r="C27" s="469">
        <v>0</v>
      </c>
      <c r="D27" s="476"/>
      <c r="E27" s="476"/>
      <c r="F27" s="477"/>
      <c r="G27" s="463"/>
      <c r="H27" s="463"/>
      <c r="I27" s="463"/>
      <c r="J27" s="463"/>
      <c r="K27" s="463"/>
      <c r="L27" s="463"/>
      <c r="M27" s="463"/>
      <c r="N27" s="463"/>
      <c r="O27" s="463"/>
      <c r="P27" s="463"/>
      <c r="Q27" s="463"/>
      <c r="R27" s="463"/>
      <c r="S27" s="463"/>
      <c r="T27" s="463"/>
      <c r="U27" s="463"/>
      <c r="V27" s="463"/>
      <c r="W27" s="463"/>
      <c r="X27" s="463"/>
      <c r="Y27" s="463"/>
      <c r="Z27" s="463"/>
    </row>
    <row r="28" spans="1:26" ht="15.75" customHeight="1" thickBot="1" x14ac:dyDescent="0.35">
      <c r="A28" s="479"/>
      <c r="B28" s="469">
        <v>0</v>
      </c>
      <c r="C28" s="469">
        <v>0</v>
      </c>
      <c r="D28" s="476"/>
      <c r="E28" s="476"/>
      <c r="F28" s="477"/>
      <c r="G28" s="463"/>
      <c r="H28" s="463"/>
      <c r="I28" s="463"/>
      <c r="J28" s="463"/>
      <c r="K28" s="463"/>
      <c r="L28" s="463"/>
      <c r="M28" s="463"/>
      <c r="N28" s="463"/>
      <c r="O28" s="463"/>
      <c r="P28" s="463"/>
      <c r="Q28" s="463"/>
      <c r="R28" s="463"/>
      <c r="S28" s="463"/>
      <c r="T28" s="463"/>
      <c r="U28" s="463"/>
      <c r="V28" s="463"/>
      <c r="W28" s="463"/>
      <c r="X28" s="463"/>
      <c r="Y28" s="463"/>
      <c r="Z28" s="463"/>
    </row>
    <row r="29" spans="1:26" ht="15.75" customHeight="1" thickBot="1" x14ac:dyDescent="0.35">
      <c r="A29" s="470" t="s">
        <v>32</v>
      </c>
      <c r="B29" s="480">
        <f t="shared" ref="B29:C29" si="0">SUM(B16:B28)</f>
        <v>850</v>
      </c>
      <c r="C29" s="480">
        <f t="shared" si="0"/>
        <v>2500</v>
      </c>
      <c r="D29" s="481"/>
      <c r="E29" s="481"/>
      <c r="F29" s="482"/>
      <c r="G29" s="463"/>
      <c r="H29" s="463"/>
      <c r="I29" s="463"/>
      <c r="J29" s="463"/>
      <c r="K29" s="463"/>
      <c r="L29" s="463"/>
      <c r="M29" s="463"/>
      <c r="N29" s="463"/>
      <c r="O29" s="463"/>
      <c r="P29" s="463"/>
      <c r="Q29" s="463"/>
      <c r="R29" s="463"/>
      <c r="S29" s="463"/>
      <c r="T29" s="463"/>
      <c r="U29" s="463"/>
      <c r="V29" s="463"/>
      <c r="W29" s="463"/>
      <c r="X29" s="463"/>
      <c r="Y29" s="463"/>
      <c r="Z29" s="463"/>
    </row>
    <row r="30" spans="1:26" ht="15.75" customHeight="1" x14ac:dyDescent="0.3">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row>
    <row r="31" spans="1:26" ht="15.75" customHeight="1" x14ac:dyDescent="0.3">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row>
    <row r="32" spans="1:26" ht="15.75" customHeight="1" x14ac:dyDescent="0.3">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row>
    <row r="33" spans="1:26" ht="15.75" customHeight="1" x14ac:dyDescent="0.3">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row>
    <row r="34" spans="1:26" ht="15.75" customHeight="1" x14ac:dyDescent="0.3">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row>
    <row r="35" spans="1:26" ht="15.75" customHeight="1" x14ac:dyDescent="0.3">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row>
    <row r="36" spans="1:26" ht="15.75" customHeight="1" x14ac:dyDescent="0.3">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row>
    <row r="37" spans="1:26" ht="15.75" customHeight="1" x14ac:dyDescent="0.3">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row>
    <row r="38" spans="1:26" ht="15.75" customHeight="1" x14ac:dyDescent="0.3">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row>
    <row r="39" spans="1:26" ht="15.75" customHeight="1" x14ac:dyDescent="0.3">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row>
    <row r="40" spans="1:26" ht="15.75" customHeight="1" x14ac:dyDescent="0.3">
      <c r="A40" s="463"/>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row>
    <row r="41" spans="1:26" ht="15.75" customHeight="1" x14ac:dyDescent="0.3">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row>
    <row r="42" spans="1:26" ht="15.75" customHeight="1" x14ac:dyDescent="0.3">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row>
    <row r="43" spans="1:26" ht="15.75" customHeight="1" x14ac:dyDescent="0.3">
      <c r="A43" s="463"/>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row>
    <row r="44" spans="1:26" ht="15.75" customHeight="1" x14ac:dyDescent="0.3">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row>
    <row r="45" spans="1:26" ht="15.75" customHeight="1" x14ac:dyDescent="0.3">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row>
    <row r="46" spans="1:26" ht="15.75" customHeight="1" x14ac:dyDescent="0.3">
      <c r="A46" s="463"/>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row>
    <row r="47" spans="1:26" ht="15.75" customHeight="1" x14ac:dyDescent="0.3">
      <c r="A47" s="46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row>
    <row r="48" spans="1:26" ht="15.75" customHeight="1" x14ac:dyDescent="0.3">
      <c r="A48" s="463"/>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row>
    <row r="49" spans="1:26" ht="15.75" customHeight="1" x14ac:dyDescent="0.3">
      <c r="A49" s="463"/>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row>
    <row r="50" spans="1:26" ht="15.75" customHeight="1" x14ac:dyDescent="0.3">
      <c r="A50" s="463"/>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row>
    <row r="51" spans="1:26" ht="15.75" customHeight="1" x14ac:dyDescent="0.3">
      <c r="A51" s="463"/>
      <c r="B51" s="463"/>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row>
    <row r="52" spans="1:26" ht="15.75" customHeight="1" x14ac:dyDescent="0.3">
      <c r="A52" s="463"/>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row>
    <row r="53" spans="1:26" ht="15.75" customHeight="1" x14ac:dyDescent="0.3">
      <c r="A53" s="463"/>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row>
    <row r="54" spans="1:26" ht="15.75" customHeight="1" x14ac:dyDescent="0.3">
      <c r="A54" s="463"/>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row>
    <row r="55" spans="1:26" ht="15.75" customHeight="1" x14ac:dyDescent="0.3">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row>
    <row r="56" spans="1:26" ht="15.75" customHeight="1" x14ac:dyDescent="0.3">
      <c r="A56" s="463"/>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row>
    <row r="57" spans="1:26" ht="15.75" customHeight="1" x14ac:dyDescent="0.3">
      <c r="A57" s="463"/>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row>
    <row r="58" spans="1:26" ht="15.75" customHeight="1" x14ac:dyDescent="0.3">
      <c r="A58" s="463"/>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row>
    <row r="59" spans="1:26" ht="15.75" customHeight="1" x14ac:dyDescent="0.3">
      <c r="A59" s="463"/>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row>
    <row r="60" spans="1:26" ht="15.75" customHeight="1" x14ac:dyDescent="0.3">
      <c r="A60" s="463"/>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row>
    <row r="61" spans="1:26" ht="15.75" customHeight="1" x14ac:dyDescent="0.3">
      <c r="A61" s="463"/>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row>
    <row r="62" spans="1:26" ht="15.75" customHeight="1" x14ac:dyDescent="0.3">
      <c r="A62" s="463"/>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row>
    <row r="63" spans="1:26" ht="15.75" customHeight="1" x14ac:dyDescent="0.3">
      <c r="A63" s="463"/>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row>
    <row r="64" spans="1:26" ht="15.75" customHeight="1" x14ac:dyDescent="0.3">
      <c r="A64" s="463"/>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row>
    <row r="65" spans="1:26" ht="15.75" customHeight="1" x14ac:dyDescent="0.3">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row>
    <row r="66" spans="1:26" ht="15.75" customHeight="1" x14ac:dyDescent="0.3">
      <c r="A66" s="463"/>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row>
    <row r="67" spans="1:26" ht="15.75" customHeight="1" x14ac:dyDescent="0.3">
      <c r="A67" s="463"/>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26" ht="15.75" customHeight="1" x14ac:dyDescent="0.3">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row r="69" spans="1:26" ht="15.75" customHeight="1" x14ac:dyDescent="0.3">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row>
    <row r="70" spans="1:26" ht="15.75" customHeight="1" x14ac:dyDescent="0.3">
      <c r="A70" s="463"/>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row>
    <row r="71" spans="1:26" ht="15.75" customHeight="1" x14ac:dyDescent="0.3">
      <c r="A71" s="463"/>
      <c r="B71" s="463"/>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row>
    <row r="72" spans="1:26" ht="15.75" customHeight="1" x14ac:dyDescent="0.3">
      <c r="A72" s="463"/>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row>
    <row r="73" spans="1:26" ht="15.75" customHeight="1" x14ac:dyDescent="0.3">
      <c r="A73" s="463"/>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row>
    <row r="74" spans="1:26" ht="15.75" customHeight="1" x14ac:dyDescent="0.3">
      <c r="A74" s="463"/>
      <c r="B74" s="463"/>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row>
    <row r="75" spans="1:26" ht="15.75" customHeight="1" x14ac:dyDescent="0.3">
      <c r="A75" s="463"/>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row>
    <row r="76" spans="1:26" ht="15.75" customHeight="1" x14ac:dyDescent="0.3">
      <c r="A76" s="463"/>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row>
    <row r="77" spans="1:26" ht="15.75" customHeight="1" x14ac:dyDescent="0.3">
      <c r="A77" s="463"/>
      <c r="B77" s="463"/>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row>
    <row r="78" spans="1:26" ht="15.75" customHeight="1" x14ac:dyDescent="0.3">
      <c r="A78" s="463"/>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row>
    <row r="79" spans="1:26" ht="15.75" customHeight="1" x14ac:dyDescent="0.3">
      <c r="A79" s="463"/>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row>
    <row r="80" spans="1:26" ht="15.75" customHeight="1" x14ac:dyDescent="0.3">
      <c r="A80" s="463"/>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row>
    <row r="81" spans="1:26" ht="15.75" customHeight="1" x14ac:dyDescent="0.3">
      <c r="A81" s="463"/>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row>
    <row r="82" spans="1:26" ht="15.75" customHeight="1" x14ac:dyDescent="0.3">
      <c r="A82" s="463"/>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row>
    <row r="83" spans="1:26" ht="15.75" customHeight="1" x14ac:dyDescent="0.3">
      <c r="A83" s="463"/>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row>
    <row r="84" spans="1:26" ht="15.75" customHeight="1" x14ac:dyDescent="0.3">
      <c r="A84" s="463"/>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row>
    <row r="85" spans="1:26" ht="15.75" customHeight="1" x14ac:dyDescent="0.3">
      <c r="A85" s="463"/>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row>
    <row r="86" spans="1:26" ht="15.75" customHeight="1" x14ac:dyDescent="0.3">
      <c r="A86" s="463"/>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row>
    <row r="87" spans="1:26" ht="15.75" customHeight="1" x14ac:dyDescent="0.3">
      <c r="A87" s="463"/>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row>
    <row r="88" spans="1:26" ht="15.75" customHeight="1" x14ac:dyDescent="0.3">
      <c r="A88" s="463"/>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row>
    <row r="89" spans="1:26" ht="15.75" customHeight="1" x14ac:dyDescent="0.3">
      <c r="A89" s="463"/>
      <c r="B89" s="463"/>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row>
    <row r="90" spans="1:26" ht="15.75" customHeight="1" x14ac:dyDescent="0.3">
      <c r="A90" s="463"/>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row>
    <row r="91" spans="1:26" ht="15.75" customHeight="1" x14ac:dyDescent="0.3">
      <c r="A91" s="463"/>
      <c r="B91" s="463"/>
      <c r="C91" s="463"/>
      <c r="D91" s="463"/>
      <c r="E91" s="463"/>
      <c r="F91" s="463"/>
      <c r="G91" s="463"/>
      <c r="H91" s="463"/>
      <c r="I91" s="463"/>
      <c r="J91" s="463"/>
      <c r="K91" s="463"/>
      <c r="L91" s="463"/>
      <c r="M91" s="463"/>
      <c r="N91" s="463"/>
      <c r="O91" s="463"/>
      <c r="P91" s="463"/>
      <c r="Q91" s="463"/>
      <c r="R91" s="463"/>
      <c r="S91" s="463"/>
      <c r="T91" s="463"/>
      <c r="U91" s="463"/>
      <c r="V91" s="463"/>
      <c r="W91" s="463"/>
      <c r="X91" s="463"/>
      <c r="Y91" s="463"/>
      <c r="Z91" s="463"/>
    </row>
    <row r="92" spans="1:26" ht="15.75" customHeight="1" x14ac:dyDescent="0.3">
      <c r="A92" s="463"/>
      <c r="B92" s="463"/>
      <c r="C92" s="463"/>
      <c r="D92" s="463"/>
      <c r="E92" s="463"/>
      <c r="F92" s="463"/>
      <c r="G92" s="463"/>
      <c r="H92" s="463"/>
      <c r="I92" s="463"/>
      <c r="J92" s="463"/>
      <c r="K92" s="463"/>
      <c r="L92" s="463"/>
      <c r="M92" s="463"/>
      <c r="N92" s="463"/>
      <c r="O92" s="463"/>
      <c r="P92" s="463"/>
      <c r="Q92" s="463"/>
      <c r="R92" s="463"/>
      <c r="S92" s="463"/>
      <c r="T92" s="463"/>
      <c r="U92" s="463"/>
      <c r="V92" s="463"/>
      <c r="W92" s="463"/>
      <c r="X92" s="463"/>
      <c r="Y92" s="463"/>
      <c r="Z92" s="463"/>
    </row>
    <row r="93" spans="1:26" ht="15.75" customHeight="1" x14ac:dyDescent="0.3">
      <c r="A93" s="463"/>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row>
    <row r="94" spans="1:26" ht="15.75" customHeight="1" x14ac:dyDescent="0.3">
      <c r="A94" s="463"/>
      <c r="B94" s="463"/>
      <c r="C94" s="463"/>
      <c r="D94" s="463"/>
      <c r="E94" s="463"/>
      <c r="F94" s="463"/>
      <c r="G94" s="463"/>
      <c r="H94" s="463"/>
      <c r="I94" s="463"/>
      <c r="J94" s="463"/>
      <c r="K94" s="463"/>
      <c r="L94" s="463"/>
      <c r="M94" s="463"/>
      <c r="N94" s="463"/>
      <c r="O94" s="463"/>
      <c r="P94" s="463"/>
      <c r="Q94" s="463"/>
      <c r="R94" s="463"/>
      <c r="S94" s="463"/>
      <c r="T94" s="463"/>
      <c r="U94" s="463"/>
      <c r="V94" s="463"/>
      <c r="W94" s="463"/>
      <c r="X94" s="463"/>
      <c r="Y94" s="463"/>
      <c r="Z94" s="463"/>
    </row>
    <row r="95" spans="1:26" ht="15.75" customHeight="1" x14ac:dyDescent="0.3">
      <c r="A95" s="463"/>
      <c r="B95" s="463"/>
      <c r="C95" s="463"/>
      <c r="D95" s="463"/>
      <c r="E95" s="463"/>
      <c r="F95" s="463"/>
      <c r="G95" s="463"/>
      <c r="H95" s="463"/>
      <c r="I95" s="463"/>
      <c r="J95" s="463"/>
      <c r="K95" s="463"/>
      <c r="L95" s="463"/>
      <c r="M95" s="463"/>
      <c r="N95" s="463"/>
      <c r="O95" s="463"/>
      <c r="P95" s="463"/>
      <c r="Q95" s="463"/>
      <c r="R95" s="463"/>
      <c r="S95" s="463"/>
      <c r="T95" s="463"/>
      <c r="U95" s="463"/>
      <c r="V95" s="463"/>
      <c r="W95" s="463"/>
      <c r="X95" s="463"/>
      <c r="Y95" s="463"/>
      <c r="Z95" s="463"/>
    </row>
    <row r="96" spans="1:26" ht="15.75" customHeight="1" x14ac:dyDescent="0.3">
      <c r="A96" s="463"/>
      <c r="B96" s="463"/>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row>
    <row r="97" spans="1:26" ht="15.75" customHeight="1" x14ac:dyDescent="0.3">
      <c r="A97" s="463"/>
      <c r="B97" s="463"/>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row>
    <row r="98" spans="1:26" ht="15.75" customHeight="1" x14ac:dyDescent="0.3">
      <c r="A98" s="463"/>
      <c r="B98" s="463"/>
      <c r="C98" s="463"/>
      <c r="D98" s="463"/>
      <c r="E98" s="463"/>
      <c r="F98" s="463"/>
      <c r="G98" s="463"/>
      <c r="H98" s="463"/>
      <c r="I98" s="463"/>
      <c r="J98" s="463"/>
      <c r="K98" s="463"/>
      <c r="L98" s="463"/>
      <c r="M98" s="463"/>
      <c r="N98" s="463"/>
      <c r="O98" s="463"/>
      <c r="P98" s="463"/>
      <c r="Q98" s="463"/>
      <c r="R98" s="463"/>
      <c r="S98" s="463"/>
      <c r="T98" s="463"/>
      <c r="U98" s="463"/>
      <c r="V98" s="463"/>
      <c r="W98" s="463"/>
      <c r="X98" s="463"/>
      <c r="Y98" s="463"/>
      <c r="Z98" s="463"/>
    </row>
    <row r="99" spans="1:26" ht="15.75" customHeight="1" x14ac:dyDescent="0.3">
      <c r="A99" s="463"/>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row>
    <row r="100" spans="1:26" ht="15.75" customHeight="1" x14ac:dyDescent="0.3">
      <c r="A100" s="463"/>
      <c r="B100" s="463"/>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row>
    <row r="101" spans="1:26" ht="15.75" customHeight="1" x14ac:dyDescent="0.3">
      <c r="A101" s="463"/>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row>
    <row r="102" spans="1:26" ht="15.75" customHeight="1" x14ac:dyDescent="0.3">
      <c r="A102" s="463"/>
      <c r="B102" s="463"/>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row>
    <row r="103" spans="1:26" ht="15.75" customHeight="1" x14ac:dyDescent="0.3">
      <c r="A103" s="463"/>
      <c r="B103" s="463"/>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row>
    <row r="104" spans="1:26" ht="15.75" customHeight="1" x14ac:dyDescent="0.3">
      <c r="A104" s="463"/>
      <c r="B104" s="463"/>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row>
    <row r="105" spans="1:26" ht="15.75" customHeight="1" x14ac:dyDescent="0.3">
      <c r="A105" s="463"/>
      <c r="B105" s="463"/>
      <c r="C105" s="463"/>
      <c r="D105" s="463"/>
      <c r="E105" s="463"/>
      <c r="F105" s="463"/>
      <c r="G105" s="463"/>
      <c r="H105" s="463"/>
      <c r="I105" s="463"/>
      <c r="J105" s="463"/>
      <c r="K105" s="463"/>
      <c r="L105" s="463"/>
      <c r="M105" s="463"/>
      <c r="N105" s="463"/>
      <c r="O105" s="463"/>
      <c r="P105" s="463"/>
      <c r="Q105" s="463"/>
      <c r="R105" s="463"/>
      <c r="S105" s="463"/>
      <c r="T105" s="463"/>
      <c r="U105" s="463"/>
      <c r="V105" s="463"/>
      <c r="W105" s="463"/>
      <c r="X105" s="463"/>
      <c r="Y105" s="463"/>
      <c r="Z105" s="463"/>
    </row>
    <row r="106" spans="1:26" ht="15.75" customHeight="1" x14ac:dyDescent="0.3">
      <c r="A106" s="463"/>
      <c r="B106" s="463"/>
      <c r="C106" s="463"/>
      <c r="D106" s="463"/>
      <c r="E106" s="463"/>
      <c r="F106" s="463"/>
      <c r="G106" s="463"/>
      <c r="H106" s="463"/>
      <c r="I106" s="463"/>
      <c r="J106" s="463"/>
      <c r="K106" s="463"/>
      <c r="L106" s="463"/>
      <c r="M106" s="463"/>
      <c r="N106" s="463"/>
      <c r="O106" s="463"/>
      <c r="P106" s="463"/>
      <c r="Q106" s="463"/>
      <c r="R106" s="463"/>
      <c r="S106" s="463"/>
      <c r="T106" s="463"/>
      <c r="U106" s="463"/>
      <c r="V106" s="463"/>
      <c r="W106" s="463"/>
      <c r="X106" s="463"/>
      <c r="Y106" s="463"/>
      <c r="Z106" s="463"/>
    </row>
    <row r="107" spans="1:26" ht="15.75" customHeight="1" x14ac:dyDescent="0.3">
      <c r="A107" s="463"/>
      <c r="B107" s="463"/>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row>
    <row r="108" spans="1:26" ht="15.75" customHeight="1" x14ac:dyDescent="0.3">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row>
    <row r="109" spans="1:26" ht="15.75" customHeight="1" x14ac:dyDescent="0.3">
      <c r="A109" s="463"/>
      <c r="B109" s="463"/>
      <c r="C109" s="463"/>
      <c r="D109" s="463"/>
      <c r="E109" s="463"/>
      <c r="F109" s="463"/>
      <c r="G109" s="463"/>
      <c r="H109" s="463"/>
      <c r="I109" s="463"/>
      <c r="J109" s="463"/>
      <c r="K109" s="463"/>
      <c r="L109" s="463"/>
      <c r="M109" s="463"/>
      <c r="N109" s="463"/>
      <c r="O109" s="463"/>
      <c r="P109" s="463"/>
      <c r="Q109" s="463"/>
      <c r="R109" s="463"/>
      <c r="S109" s="463"/>
      <c r="T109" s="463"/>
      <c r="U109" s="463"/>
      <c r="V109" s="463"/>
      <c r="W109" s="463"/>
      <c r="X109" s="463"/>
      <c r="Y109" s="463"/>
      <c r="Z109" s="463"/>
    </row>
    <row r="110" spans="1:26" ht="15.75" customHeight="1" x14ac:dyDescent="0.3">
      <c r="A110" s="463"/>
      <c r="B110" s="463"/>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row>
    <row r="111" spans="1:26" ht="15.75" customHeight="1" x14ac:dyDescent="0.3">
      <c r="A111" s="463"/>
      <c r="B111" s="463"/>
      <c r="C111" s="463"/>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row>
    <row r="112" spans="1:26" ht="15.75" customHeight="1" x14ac:dyDescent="0.3">
      <c r="A112" s="463"/>
      <c r="B112" s="463"/>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row>
    <row r="113" spans="1:26" ht="15.75" customHeight="1" x14ac:dyDescent="0.3">
      <c r="A113" s="463"/>
      <c r="B113" s="463"/>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row>
    <row r="114" spans="1:26" ht="15.75" customHeight="1" x14ac:dyDescent="0.3">
      <c r="A114" s="463"/>
      <c r="B114" s="463"/>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row>
    <row r="115" spans="1:26" ht="15.75" customHeight="1" x14ac:dyDescent="0.3">
      <c r="A115" s="463"/>
      <c r="B115" s="463"/>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row>
    <row r="116" spans="1:26" ht="15.75" customHeight="1" x14ac:dyDescent="0.3">
      <c r="A116" s="463"/>
      <c r="B116" s="463"/>
      <c r="C116" s="463"/>
      <c r="D116" s="463"/>
      <c r="E116" s="463"/>
      <c r="F116" s="463"/>
      <c r="G116" s="463"/>
      <c r="H116" s="463"/>
      <c r="I116" s="463"/>
      <c r="J116" s="463"/>
      <c r="K116" s="463"/>
      <c r="L116" s="463"/>
      <c r="M116" s="463"/>
      <c r="N116" s="463"/>
      <c r="O116" s="463"/>
      <c r="P116" s="463"/>
      <c r="Q116" s="463"/>
      <c r="R116" s="463"/>
      <c r="S116" s="463"/>
      <c r="T116" s="463"/>
      <c r="U116" s="463"/>
      <c r="V116" s="463"/>
      <c r="W116" s="463"/>
      <c r="X116" s="463"/>
      <c r="Y116" s="463"/>
      <c r="Z116" s="463"/>
    </row>
    <row r="117" spans="1:26" ht="15.75" customHeight="1" x14ac:dyDescent="0.3">
      <c r="A117" s="463"/>
      <c r="B117" s="463"/>
      <c r="C117" s="463"/>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row>
    <row r="118" spans="1:26" ht="15.75" customHeight="1" x14ac:dyDescent="0.3">
      <c r="A118" s="463"/>
      <c r="B118" s="463"/>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row>
    <row r="119" spans="1:26" ht="15.75" customHeight="1" x14ac:dyDescent="0.3">
      <c r="A119" s="463"/>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row>
    <row r="120" spans="1:26" ht="15.75" customHeight="1" x14ac:dyDescent="0.3">
      <c r="A120" s="463"/>
      <c r="B120" s="463"/>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row>
    <row r="121" spans="1:26" ht="15.75" customHeight="1" x14ac:dyDescent="0.3">
      <c r="A121" s="463"/>
      <c r="B121" s="463"/>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row>
    <row r="122" spans="1:26" ht="15.75" customHeight="1" x14ac:dyDescent="0.3">
      <c r="A122" s="463"/>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row>
    <row r="123" spans="1:26" ht="15.75" customHeight="1" x14ac:dyDescent="0.3">
      <c r="A123" s="463"/>
      <c r="B123" s="463"/>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row>
    <row r="124" spans="1:26" ht="15.75" customHeight="1" x14ac:dyDescent="0.3">
      <c r="A124" s="463"/>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row>
    <row r="125" spans="1:26" ht="15.75" customHeight="1" x14ac:dyDescent="0.3">
      <c r="A125" s="463"/>
      <c r="B125" s="463"/>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row>
    <row r="126" spans="1:26" ht="15.75" customHeight="1" x14ac:dyDescent="0.3">
      <c r="A126" s="463"/>
      <c r="B126" s="463"/>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row>
    <row r="127" spans="1:26" ht="15.75" customHeight="1" x14ac:dyDescent="0.3">
      <c r="A127" s="463"/>
      <c r="B127" s="463"/>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row>
    <row r="128" spans="1:26" ht="15.75" customHeight="1" x14ac:dyDescent="0.3">
      <c r="A128" s="463"/>
      <c r="B128" s="463"/>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row>
    <row r="129" spans="1:26" ht="15.75" customHeight="1" x14ac:dyDescent="0.3">
      <c r="A129" s="463"/>
      <c r="B129" s="463"/>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row>
    <row r="130" spans="1:26" ht="15.75" customHeight="1" x14ac:dyDescent="0.3">
      <c r="A130" s="463"/>
      <c r="B130" s="463"/>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row>
    <row r="131" spans="1:26" ht="15.75" customHeight="1" x14ac:dyDescent="0.3">
      <c r="A131" s="463"/>
      <c r="B131" s="463"/>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row>
    <row r="132" spans="1:26" ht="15.75" customHeight="1" x14ac:dyDescent="0.3">
      <c r="A132" s="463"/>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row>
    <row r="133" spans="1:26" ht="15.75" customHeight="1" x14ac:dyDescent="0.3">
      <c r="A133" s="463"/>
      <c r="B133" s="463"/>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row>
    <row r="134" spans="1:26" ht="15.75" customHeight="1" x14ac:dyDescent="0.3">
      <c r="A134" s="463"/>
      <c r="B134" s="463"/>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row>
    <row r="135" spans="1:26" ht="15.75" customHeight="1" x14ac:dyDescent="0.3">
      <c r="A135" s="463"/>
      <c r="B135" s="463"/>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row>
    <row r="136" spans="1:26" ht="15.75" customHeight="1" x14ac:dyDescent="0.3">
      <c r="A136" s="463"/>
      <c r="B136" s="463"/>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row>
    <row r="137" spans="1:26" ht="15.75" customHeight="1" x14ac:dyDescent="0.3">
      <c r="A137" s="463"/>
      <c r="B137" s="463"/>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row>
    <row r="138" spans="1:26" ht="15.75" customHeight="1" x14ac:dyDescent="0.3">
      <c r="A138" s="463"/>
      <c r="B138" s="463"/>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row>
    <row r="139" spans="1:26" ht="15.75" customHeight="1" x14ac:dyDescent="0.3">
      <c r="A139" s="463"/>
      <c r="B139" s="463"/>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row>
    <row r="140" spans="1:26" ht="15.75" customHeight="1" x14ac:dyDescent="0.3">
      <c r="A140" s="463"/>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row>
    <row r="141" spans="1:26" ht="15.75" customHeight="1" x14ac:dyDescent="0.3">
      <c r="A141" s="46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row>
    <row r="142" spans="1:26" ht="15.75" customHeight="1" x14ac:dyDescent="0.3">
      <c r="A142" s="463"/>
      <c r="B142" s="463"/>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row>
    <row r="143" spans="1:26" ht="15.75" customHeight="1" x14ac:dyDescent="0.3">
      <c r="A143" s="463"/>
      <c r="B143" s="463"/>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row>
    <row r="144" spans="1:26" ht="15.75" customHeight="1" x14ac:dyDescent="0.3">
      <c r="A144" s="463"/>
      <c r="B144" s="463"/>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row>
    <row r="145" spans="1:26" ht="15.75" customHeight="1" x14ac:dyDescent="0.3">
      <c r="A145" s="463"/>
      <c r="B145" s="463"/>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row>
    <row r="146" spans="1:26" ht="15.75" customHeight="1" x14ac:dyDescent="0.3">
      <c r="A146" s="463"/>
      <c r="B146" s="463"/>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row>
    <row r="147" spans="1:26" ht="15.75" customHeight="1" x14ac:dyDescent="0.3">
      <c r="A147" s="463"/>
      <c r="B147" s="463"/>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row>
    <row r="148" spans="1:26" ht="15.75" customHeight="1" x14ac:dyDescent="0.3">
      <c r="A148" s="463"/>
      <c r="B148" s="463"/>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row>
    <row r="149" spans="1:26" ht="15.75" customHeight="1" x14ac:dyDescent="0.3">
      <c r="A149" s="463"/>
      <c r="B149" s="463"/>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row>
    <row r="150" spans="1:26" ht="15.75" customHeight="1" x14ac:dyDescent="0.3">
      <c r="A150" s="463"/>
      <c r="B150" s="463"/>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row>
    <row r="151" spans="1:26" ht="15.75" customHeight="1" x14ac:dyDescent="0.3">
      <c r="A151" s="463"/>
      <c r="B151" s="463"/>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row>
    <row r="152" spans="1:26" ht="15.75" customHeight="1" x14ac:dyDescent="0.3">
      <c r="A152" s="463"/>
      <c r="B152" s="463"/>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row>
    <row r="153" spans="1:26" ht="15.75" customHeight="1" x14ac:dyDescent="0.3">
      <c r="A153" s="463"/>
      <c r="B153" s="463"/>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row>
    <row r="154" spans="1:26" ht="15.75" customHeight="1" x14ac:dyDescent="0.3">
      <c r="A154" s="463"/>
      <c r="B154" s="463"/>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row>
    <row r="155" spans="1:26" ht="15.75" customHeight="1" x14ac:dyDescent="0.3">
      <c r="A155" s="463"/>
      <c r="B155" s="463"/>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row>
    <row r="156" spans="1:26" ht="15.75" customHeight="1" x14ac:dyDescent="0.3">
      <c r="A156" s="463"/>
      <c r="B156" s="463"/>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row>
    <row r="157" spans="1:26" ht="15.75" customHeight="1" x14ac:dyDescent="0.3">
      <c r="A157" s="463"/>
      <c r="B157" s="463"/>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row>
    <row r="158" spans="1:26" ht="15.75" customHeight="1" x14ac:dyDescent="0.3">
      <c r="A158" s="463"/>
      <c r="B158" s="46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row>
    <row r="159" spans="1:26" ht="15.75" customHeight="1" x14ac:dyDescent="0.3">
      <c r="A159" s="463"/>
      <c r="B159" s="463"/>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row>
    <row r="160" spans="1:26" ht="15.75" customHeight="1" x14ac:dyDescent="0.3">
      <c r="A160" s="463"/>
      <c r="B160" s="463"/>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row>
    <row r="161" spans="1:26" ht="15.75" customHeight="1" x14ac:dyDescent="0.3">
      <c r="A161" s="463"/>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row>
    <row r="162" spans="1:26" ht="15.75" customHeight="1" x14ac:dyDescent="0.3">
      <c r="A162" s="463"/>
      <c r="B162" s="463"/>
      <c r="C162" s="463"/>
      <c r="D162" s="463"/>
      <c r="E162" s="463"/>
      <c r="F162" s="463"/>
      <c r="G162" s="463"/>
      <c r="H162" s="463"/>
      <c r="I162" s="463"/>
      <c r="J162" s="463"/>
      <c r="K162" s="463"/>
      <c r="L162" s="463"/>
      <c r="M162" s="463"/>
      <c r="N162" s="463"/>
      <c r="O162" s="463"/>
      <c r="P162" s="463"/>
      <c r="Q162" s="463"/>
      <c r="R162" s="463"/>
      <c r="S162" s="463"/>
      <c r="T162" s="463"/>
      <c r="U162" s="463"/>
      <c r="V162" s="463"/>
      <c r="W162" s="463"/>
      <c r="X162" s="463"/>
      <c r="Y162" s="463"/>
      <c r="Z162" s="463"/>
    </row>
    <row r="163" spans="1:26" ht="15.75" customHeight="1" x14ac:dyDescent="0.3">
      <c r="A163" s="463"/>
      <c r="B163" s="463"/>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row>
    <row r="164" spans="1:26" ht="15.75" customHeight="1" x14ac:dyDescent="0.3">
      <c r="A164" s="463"/>
      <c r="B164" s="463"/>
      <c r="C164" s="463"/>
      <c r="D164" s="463"/>
      <c r="E164" s="463"/>
      <c r="F164" s="463"/>
      <c r="G164" s="463"/>
      <c r="H164" s="463"/>
      <c r="I164" s="463"/>
      <c r="J164" s="463"/>
      <c r="K164" s="463"/>
      <c r="L164" s="463"/>
      <c r="M164" s="463"/>
      <c r="N164" s="463"/>
      <c r="O164" s="463"/>
      <c r="P164" s="463"/>
      <c r="Q164" s="463"/>
      <c r="R164" s="463"/>
      <c r="S164" s="463"/>
      <c r="T164" s="463"/>
      <c r="U164" s="463"/>
      <c r="V164" s="463"/>
      <c r="W164" s="463"/>
      <c r="X164" s="463"/>
      <c r="Y164" s="463"/>
      <c r="Z164" s="463"/>
    </row>
    <row r="165" spans="1:26" ht="15.75" customHeight="1" x14ac:dyDescent="0.3">
      <c r="A165" s="463"/>
      <c r="B165" s="463"/>
      <c r="C165" s="463"/>
      <c r="D165" s="463"/>
      <c r="E165" s="463"/>
      <c r="F165" s="463"/>
      <c r="G165" s="463"/>
      <c r="H165" s="463"/>
      <c r="I165" s="463"/>
      <c r="J165" s="463"/>
      <c r="K165" s="463"/>
      <c r="L165" s="463"/>
      <c r="M165" s="463"/>
      <c r="N165" s="463"/>
      <c r="O165" s="463"/>
      <c r="P165" s="463"/>
      <c r="Q165" s="463"/>
      <c r="R165" s="463"/>
      <c r="S165" s="463"/>
      <c r="T165" s="463"/>
      <c r="U165" s="463"/>
      <c r="V165" s="463"/>
      <c r="W165" s="463"/>
      <c r="X165" s="463"/>
      <c r="Y165" s="463"/>
      <c r="Z165" s="463"/>
    </row>
    <row r="166" spans="1:26" ht="15.75" customHeight="1" x14ac:dyDescent="0.3">
      <c r="A166" s="463"/>
      <c r="B166" s="463"/>
      <c r="C166" s="463"/>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row>
    <row r="167" spans="1:26" ht="15.75" customHeight="1" x14ac:dyDescent="0.3">
      <c r="A167" s="463"/>
      <c r="B167" s="463"/>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row>
    <row r="168" spans="1:26" ht="15.75" customHeight="1" x14ac:dyDescent="0.3">
      <c r="A168" s="463"/>
      <c r="B168" s="463"/>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row>
    <row r="169" spans="1:26" ht="15.75" customHeight="1" x14ac:dyDescent="0.3">
      <c r="A169" s="463"/>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row>
    <row r="170" spans="1:26" ht="15.75" customHeight="1" x14ac:dyDescent="0.3">
      <c r="A170" s="463"/>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row>
    <row r="171" spans="1:26" ht="15.75" customHeight="1" x14ac:dyDescent="0.3">
      <c r="A171" s="463"/>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row>
    <row r="172" spans="1:26" ht="15.75" customHeight="1" x14ac:dyDescent="0.3">
      <c r="A172" s="463"/>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row>
    <row r="173" spans="1:26" ht="15.75" customHeight="1" x14ac:dyDescent="0.3">
      <c r="A173" s="463"/>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row>
    <row r="174" spans="1:26" ht="15.75" customHeight="1" x14ac:dyDescent="0.3">
      <c r="A174" s="463"/>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row>
    <row r="175" spans="1:26" ht="15.75" customHeight="1" x14ac:dyDescent="0.3">
      <c r="A175" s="463"/>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row>
    <row r="176" spans="1:26" ht="15.75" customHeight="1" x14ac:dyDescent="0.3">
      <c r="A176" s="463"/>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row>
    <row r="177" spans="1:26" ht="15.75" customHeight="1" x14ac:dyDescent="0.3">
      <c r="A177" s="463"/>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row>
    <row r="178" spans="1:26" ht="15.75" customHeight="1" x14ac:dyDescent="0.3">
      <c r="A178" s="463"/>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row>
    <row r="179" spans="1:26" ht="15.75" customHeight="1" x14ac:dyDescent="0.3">
      <c r="A179" s="463"/>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row>
    <row r="180" spans="1:26" ht="15.75" customHeight="1" x14ac:dyDescent="0.3">
      <c r="A180" s="463"/>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row>
    <row r="181" spans="1:26" ht="15.75" customHeight="1" x14ac:dyDescent="0.3">
      <c r="A181" s="463"/>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row>
    <row r="182" spans="1:26" ht="15.75" customHeight="1" x14ac:dyDescent="0.3">
      <c r="A182" s="463"/>
      <c r="B182" s="463"/>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row>
    <row r="183" spans="1:26" ht="15.75" customHeight="1" x14ac:dyDescent="0.3">
      <c r="A183" s="463"/>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3"/>
      <c r="Z183" s="463"/>
    </row>
    <row r="184" spans="1:26" ht="15.75" customHeight="1" x14ac:dyDescent="0.3">
      <c r="A184" s="463"/>
      <c r="B184" s="463"/>
      <c r="C184" s="463"/>
      <c r="D184" s="463"/>
      <c r="E184" s="463"/>
      <c r="F184" s="463"/>
      <c r="G184" s="463"/>
      <c r="H184" s="463"/>
      <c r="I184" s="463"/>
      <c r="J184" s="463"/>
      <c r="K184" s="463"/>
      <c r="L184" s="463"/>
      <c r="M184" s="463"/>
      <c r="N184" s="463"/>
      <c r="O184" s="463"/>
      <c r="P184" s="463"/>
      <c r="Q184" s="463"/>
      <c r="R184" s="463"/>
      <c r="S184" s="463"/>
      <c r="T184" s="463"/>
      <c r="U184" s="463"/>
      <c r="V184" s="463"/>
      <c r="W184" s="463"/>
      <c r="X184" s="463"/>
      <c r="Y184" s="463"/>
      <c r="Z184" s="463"/>
    </row>
    <row r="185" spans="1:26" ht="15.75" customHeight="1" x14ac:dyDescent="0.3">
      <c r="A185" s="463"/>
      <c r="B185" s="463"/>
      <c r="C185" s="463"/>
      <c r="D185" s="463"/>
      <c r="E185" s="463"/>
      <c r="F185" s="463"/>
      <c r="G185" s="463"/>
      <c r="H185" s="463"/>
      <c r="I185" s="463"/>
      <c r="J185" s="463"/>
      <c r="K185" s="463"/>
      <c r="L185" s="463"/>
      <c r="M185" s="463"/>
      <c r="N185" s="463"/>
      <c r="O185" s="463"/>
      <c r="P185" s="463"/>
      <c r="Q185" s="463"/>
      <c r="R185" s="463"/>
      <c r="S185" s="463"/>
      <c r="T185" s="463"/>
      <c r="U185" s="463"/>
      <c r="V185" s="463"/>
      <c r="W185" s="463"/>
      <c r="X185" s="463"/>
      <c r="Y185" s="463"/>
      <c r="Z185" s="463"/>
    </row>
    <row r="186" spans="1:26" ht="15.75" customHeight="1" x14ac:dyDescent="0.3">
      <c r="A186" s="463"/>
      <c r="B186" s="463"/>
      <c r="C186" s="463"/>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63"/>
      <c r="Z186" s="463"/>
    </row>
    <row r="187" spans="1:26" ht="15.75" customHeight="1" x14ac:dyDescent="0.3">
      <c r="A187" s="463"/>
      <c r="B187" s="463"/>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63"/>
      <c r="Z187" s="463"/>
    </row>
    <row r="188" spans="1:26" ht="15.75" customHeight="1" x14ac:dyDescent="0.3">
      <c r="A188" s="463"/>
      <c r="B188" s="463"/>
      <c r="C188" s="463"/>
      <c r="D188" s="463"/>
      <c r="E188" s="463"/>
      <c r="F188" s="463"/>
      <c r="G188" s="463"/>
      <c r="H188" s="463"/>
      <c r="I188" s="463"/>
      <c r="J188" s="463"/>
      <c r="K188" s="463"/>
      <c r="L188" s="463"/>
      <c r="M188" s="463"/>
      <c r="N188" s="463"/>
      <c r="O188" s="463"/>
      <c r="P188" s="463"/>
      <c r="Q188" s="463"/>
      <c r="R188" s="463"/>
      <c r="S188" s="463"/>
      <c r="T188" s="463"/>
      <c r="U188" s="463"/>
      <c r="V188" s="463"/>
      <c r="W188" s="463"/>
      <c r="X188" s="463"/>
      <c r="Y188" s="463"/>
      <c r="Z188" s="463"/>
    </row>
    <row r="189" spans="1:26" ht="15.75" customHeight="1" x14ac:dyDescent="0.3">
      <c r="A189" s="463"/>
      <c r="B189" s="463"/>
      <c r="C189" s="463"/>
      <c r="D189" s="463"/>
      <c r="E189" s="463"/>
      <c r="F189" s="463"/>
      <c r="G189" s="463"/>
      <c r="H189" s="463"/>
      <c r="I189" s="463"/>
      <c r="J189" s="463"/>
      <c r="K189" s="463"/>
      <c r="L189" s="463"/>
      <c r="M189" s="463"/>
      <c r="N189" s="463"/>
      <c r="O189" s="463"/>
      <c r="P189" s="463"/>
      <c r="Q189" s="463"/>
      <c r="R189" s="463"/>
      <c r="S189" s="463"/>
      <c r="T189" s="463"/>
      <c r="U189" s="463"/>
      <c r="V189" s="463"/>
      <c r="W189" s="463"/>
      <c r="X189" s="463"/>
      <c r="Y189" s="463"/>
      <c r="Z189" s="463"/>
    </row>
    <row r="190" spans="1:26" ht="15.75" customHeight="1" x14ac:dyDescent="0.3">
      <c r="A190" s="463"/>
      <c r="B190" s="463"/>
      <c r="C190" s="463"/>
      <c r="D190" s="463"/>
      <c r="E190" s="463"/>
      <c r="F190" s="463"/>
      <c r="G190" s="463"/>
      <c r="H190" s="463"/>
      <c r="I190" s="463"/>
      <c r="J190" s="463"/>
      <c r="K190" s="463"/>
      <c r="L190" s="463"/>
      <c r="M190" s="463"/>
      <c r="N190" s="463"/>
      <c r="O190" s="463"/>
      <c r="P190" s="463"/>
      <c r="Q190" s="463"/>
      <c r="R190" s="463"/>
      <c r="S190" s="463"/>
      <c r="T190" s="463"/>
      <c r="U190" s="463"/>
      <c r="V190" s="463"/>
      <c r="W190" s="463"/>
      <c r="X190" s="463"/>
      <c r="Y190" s="463"/>
      <c r="Z190" s="463"/>
    </row>
    <row r="191" spans="1:26" ht="15.75" customHeight="1" x14ac:dyDescent="0.3">
      <c r="A191" s="463"/>
      <c r="B191" s="463"/>
      <c r="C191" s="463"/>
      <c r="D191" s="463"/>
      <c r="E191" s="463"/>
      <c r="F191" s="463"/>
      <c r="G191" s="463"/>
      <c r="H191" s="463"/>
      <c r="I191" s="463"/>
      <c r="J191" s="463"/>
      <c r="K191" s="463"/>
      <c r="L191" s="463"/>
      <c r="M191" s="463"/>
      <c r="N191" s="463"/>
      <c r="O191" s="463"/>
      <c r="P191" s="463"/>
      <c r="Q191" s="463"/>
      <c r="R191" s="463"/>
      <c r="S191" s="463"/>
      <c r="T191" s="463"/>
      <c r="U191" s="463"/>
      <c r="V191" s="463"/>
      <c r="W191" s="463"/>
      <c r="X191" s="463"/>
      <c r="Y191" s="463"/>
      <c r="Z191" s="463"/>
    </row>
    <row r="192" spans="1:26" ht="15.75" customHeight="1" x14ac:dyDescent="0.3">
      <c r="A192" s="463"/>
      <c r="B192" s="463"/>
      <c r="C192" s="463"/>
      <c r="D192" s="463"/>
      <c r="E192" s="463"/>
      <c r="F192" s="463"/>
      <c r="G192" s="463"/>
      <c r="H192" s="463"/>
      <c r="I192" s="463"/>
      <c r="J192" s="463"/>
      <c r="K192" s="463"/>
      <c r="L192" s="463"/>
      <c r="M192" s="463"/>
      <c r="N192" s="463"/>
      <c r="O192" s="463"/>
      <c r="P192" s="463"/>
      <c r="Q192" s="463"/>
      <c r="R192" s="463"/>
      <c r="S192" s="463"/>
      <c r="T192" s="463"/>
      <c r="U192" s="463"/>
      <c r="V192" s="463"/>
      <c r="W192" s="463"/>
      <c r="X192" s="463"/>
      <c r="Y192" s="463"/>
      <c r="Z192" s="463"/>
    </row>
    <row r="193" spans="1:26" ht="15.75" customHeight="1" x14ac:dyDescent="0.3">
      <c r="A193" s="463"/>
      <c r="B193" s="463"/>
      <c r="C193" s="463"/>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row>
    <row r="194" spans="1:26" ht="15.75" customHeight="1" x14ac:dyDescent="0.3">
      <c r="A194" s="463"/>
      <c r="B194" s="463"/>
      <c r="C194" s="463"/>
      <c r="D194" s="463"/>
      <c r="E194" s="463"/>
      <c r="F194" s="463"/>
      <c r="G194" s="463"/>
      <c r="H194" s="463"/>
      <c r="I194" s="463"/>
      <c r="J194" s="463"/>
      <c r="K194" s="463"/>
      <c r="L194" s="463"/>
      <c r="M194" s="463"/>
      <c r="N194" s="463"/>
      <c r="O194" s="463"/>
      <c r="P194" s="463"/>
      <c r="Q194" s="463"/>
      <c r="R194" s="463"/>
      <c r="S194" s="463"/>
      <c r="T194" s="463"/>
      <c r="U194" s="463"/>
      <c r="V194" s="463"/>
      <c r="W194" s="463"/>
      <c r="X194" s="463"/>
      <c r="Y194" s="463"/>
      <c r="Z194" s="463"/>
    </row>
    <row r="195" spans="1:26" ht="15.75" customHeight="1" x14ac:dyDescent="0.3">
      <c r="A195" s="463"/>
      <c r="B195" s="463"/>
      <c r="C195" s="463"/>
      <c r="D195" s="463"/>
      <c r="E195" s="463"/>
      <c r="F195" s="463"/>
      <c r="G195" s="463"/>
      <c r="H195" s="463"/>
      <c r="I195" s="463"/>
      <c r="J195" s="463"/>
      <c r="K195" s="463"/>
      <c r="L195" s="463"/>
      <c r="M195" s="463"/>
      <c r="N195" s="463"/>
      <c r="O195" s="463"/>
      <c r="P195" s="463"/>
      <c r="Q195" s="463"/>
      <c r="R195" s="463"/>
      <c r="S195" s="463"/>
      <c r="T195" s="463"/>
      <c r="U195" s="463"/>
      <c r="V195" s="463"/>
      <c r="W195" s="463"/>
      <c r="X195" s="463"/>
      <c r="Y195" s="463"/>
      <c r="Z195" s="463"/>
    </row>
    <row r="196" spans="1:26" ht="15.75" customHeight="1" x14ac:dyDescent="0.3">
      <c r="A196" s="463"/>
      <c r="B196" s="463"/>
      <c r="C196" s="463"/>
      <c r="D196" s="463"/>
      <c r="E196" s="463"/>
      <c r="F196" s="463"/>
      <c r="G196" s="463"/>
      <c r="H196" s="463"/>
      <c r="I196" s="463"/>
      <c r="J196" s="463"/>
      <c r="K196" s="463"/>
      <c r="L196" s="463"/>
      <c r="M196" s="463"/>
      <c r="N196" s="463"/>
      <c r="O196" s="463"/>
      <c r="P196" s="463"/>
      <c r="Q196" s="463"/>
      <c r="R196" s="463"/>
      <c r="S196" s="463"/>
      <c r="T196" s="463"/>
      <c r="U196" s="463"/>
      <c r="V196" s="463"/>
      <c r="W196" s="463"/>
      <c r="X196" s="463"/>
      <c r="Y196" s="463"/>
      <c r="Z196" s="463"/>
    </row>
    <row r="197" spans="1:26" ht="15.75" customHeight="1" x14ac:dyDescent="0.3">
      <c r="A197" s="463"/>
      <c r="B197" s="463"/>
      <c r="C197" s="463"/>
      <c r="D197" s="463"/>
      <c r="E197" s="463"/>
      <c r="F197" s="463"/>
      <c r="G197" s="463"/>
      <c r="H197" s="463"/>
      <c r="I197" s="463"/>
      <c r="J197" s="463"/>
      <c r="K197" s="463"/>
      <c r="L197" s="463"/>
      <c r="M197" s="463"/>
      <c r="N197" s="463"/>
      <c r="O197" s="463"/>
      <c r="P197" s="463"/>
      <c r="Q197" s="463"/>
      <c r="R197" s="463"/>
      <c r="S197" s="463"/>
      <c r="T197" s="463"/>
      <c r="U197" s="463"/>
      <c r="V197" s="463"/>
      <c r="W197" s="463"/>
      <c r="X197" s="463"/>
      <c r="Y197" s="463"/>
      <c r="Z197" s="463"/>
    </row>
    <row r="198" spans="1:26" ht="15.75" customHeight="1" x14ac:dyDescent="0.3">
      <c r="A198" s="463"/>
      <c r="B198" s="463"/>
      <c r="C198" s="463"/>
      <c r="D198" s="463"/>
      <c r="E198" s="463"/>
      <c r="F198" s="463"/>
      <c r="G198" s="463"/>
      <c r="H198" s="463"/>
      <c r="I198" s="463"/>
      <c r="J198" s="463"/>
      <c r="K198" s="463"/>
      <c r="L198" s="463"/>
      <c r="M198" s="463"/>
      <c r="N198" s="463"/>
      <c r="O198" s="463"/>
      <c r="P198" s="463"/>
      <c r="Q198" s="463"/>
      <c r="R198" s="463"/>
      <c r="S198" s="463"/>
      <c r="T198" s="463"/>
      <c r="U198" s="463"/>
      <c r="V198" s="463"/>
      <c r="W198" s="463"/>
      <c r="X198" s="463"/>
      <c r="Y198" s="463"/>
      <c r="Z198" s="463"/>
    </row>
    <row r="199" spans="1:26" ht="15.75" customHeight="1" x14ac:dyDescent="0.3">
      <c r="A199" s="463"/>
      <c r="B199" s="463"/>
      <c r="C199" s="463"/>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row>
    <row r="200" spans="1:26" ht="15.75" customHeight="1" x14ac:dyDescent="0.3">
      <c r="A200" s="463"/>
      <c r="B200" s="463"/>
      <c r="C200" s="463"/>
      <c r="D200" s="463"/>
      <c r="E200" s="463"/>
      <c r="F200" s="463"/>
      <c r="G200" s="463"/>
      <c r="H200" s="463"/>
      <c r="I200" s="463"/>
      <c r="J200" s="463"/>
      <c r="K200" s="463"/>
      <c r="L200" s="463"/>
      <c r="M200" s="463"/>
      <c r="N200" s="463"/>
      <c r="O200" s="463"/>
      <c r="P200" s="463"/>
      <c r="Q200" s="463"/>
      <c r="R200" s="463"/>
      <c r="S200" s="463"/>
      <c r="T200" s="463"/>
      <c r="U200" s="463"/>
      <c r="V200" s="463"/>
      <c r="W200" s="463"/>
      <c r="X200" s="463"/>
      <c r="Y200" s="463"/>
      <c r="Z200" s="463"/>
    </row>
    <row r="201" spans="1:26" ht="15.75" customHeight="1" x14ac:dyDescent="0.3">
      <c r="A201" s="463"/>
      <c r="B201" s="463"/>
      <c r="C201" s="463"/>
      <c r="D201" s="463"/>
      <c r="E201" s="463"/>
      <c r="F201" s="463"/>
      <c r="G201" s="463"/>
      <c r="H201" s="463"/>
      <c r="I201" s="463"/>
      <c r="J201" s="463"/>
      <c r="K201" s="463"/>
      <c r="L201" s="463"/>
      <c r="M201" s="463"/>
      <c r="N201" s="463"/>
      <c r="O201" s="463"/>
      <c r="P201" s="463"/>
      <c r="Q201" s="463"/>
      <c r="R201" s="463"/>
      <c r="S201" s="463"/>
      <c r="T201" s="463"/>
      <c r="U201" s="463"/>
      <c r="V201" s="463"/>
      <c r="W201" s="463"/>
      <c r="X201" s="463"/>
      <c r="Y201" s="463"/>
      <c r="Z201" s="463"/>
    </row>
    <row r="202" spans="1:26" ht="15.75" customHeight="1" x14ac:dyDescent="0.3">
      <c r="A202" s="463"/>
      <c r="B202" s="463"/>
      <c r="C202" s="463"/>
      <c r="D202" s="463"/>
      <c r="E202" s="463"/>
      <c r="F202" s="463"/>
      <c r="G202" s="463"/>
      <c r="H202" s="463"/>
      <c r="I202" s="463"/>
      <c r="J202" s="463"/>
      <c r="K202" s="463"/>
      <c r="L202" s="463"/>
      <c r="M202" s="463"/>
      <c r="N202" s="463"/>
      <c r="O202" s="463"/>
      <c r="P202" s="463"/>
      <c r="Q202" s="463"/>
      <c r="R202" s="463"/>
      <c r="S202" s="463"/>
      <c r="T202" s="463"/>
      <c r="U202" s="463"/>
      <c r="V202" s="463"/>
      <c r="W202" s="463"/>
      <c r="X202" s="463"/>
      <c r="Y202" s="463"/>
      <c r="Z202" s="463"/>
    </row>
    <row r="203" spans="1:26" ht="15.75" customHeight="1" x14ac:dyDescent="0.3">
      <c r="A203" s="463"/>
      <c r="B203" s="463"/>
      <c r="C203" s="463"/>
      <c r="D203" s="463"/>
      <c r="E203" s="463"/>
      <c r="F203" s="463"/>
      <c r="G203" s="463"/>
      <c r="H203" s="463"/>
      <c r="I203" s="463"/>
      <c r="J203" s="463"/>
      <c r="K203" s="463"/>
      <c r="L203" s="463"/>
      <c r="M203" s="463"/>
      <c r="N203" s="463"/>
      <c r="O203" s="463"/>
      <c r="P203" s="463"/>
      <c r="Q203" s="463"/>
      <c r="R203" s="463"/>
      <c r="S203" s="463"/>
      <c r="T203" s="463"/>
      <c r="U203" s="463"/>
      <c r="V203" s="463"/>
      <c r="W203" s="463"/>
      <c r="X203" s="463"/>
      <c r="Y203" s="463"/>
      <c r="Z203" s="463"/>
    </row>
    <row r="204" spans="1:26" ht="15.75" customHeight="1" x14ac:dyDescent="0.3">
      <c r="A204" s="463"/>
      <c r="B204" s="463"/>
      <c r="C204" s="463"/>
      <c r="D204" s="463"/>
      <c r="E204" s="463"/>
      <c r="F204" s="463"/>
      <c r="G204" s="463"/>
      <c r="H204" s="463"/>
      <c r="I204" s="463"/>
      <c r="J204" s="463"/>
      <c r="K204" s="463"/>
      <c r="L204" s="463"/>
      <c r="M204" s="463"/>
      <c r="N204" s="463"/>
      <c r="O204" s="463"/>
      <c r="P204" s="463"/>
      <c r="Q204" s="463"/>
      <c r="R204" s="463"/>
      <c r="S204" s="463"/>
      <c r="T204" s="463"/>
      <c r="U204" s="463"/>
      <c r="V204" s="463"/>
      <c r="W204" s="463"/>
      <c r="X204" s="463"/>
      <c r="Y204" s="463"/>
      <c r="Z204" s="463"/>
    </row>
    <row r="205" spans="1:26" ht="15.75" customHeight="1" x14ac:dyDescent="0.3">
      <c r="A205" s="463"/>
      <c r="B205" s="463"/>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row>
    <row r="206" spans="1:26" ht="15.75" customHeight="1" x14ac:dyDescent="0.3">
      <c r="A206" s="463"/>
      <c r="B206" s="463"/>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3"/>
      <c r="Z206" s="463"/>
    </row>
    <row r="207" spans="1:26" ht="15.75" customHeight="1" x14ac:dyDescent="0.3">
      <c r="A207" s="463"/>
      <c r="B207" s="463"/>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3"/>
      <c r="Z207" s="463"/>
    </row>
    <row r="208" spans="1:26" ht="15.75" customHeight="1" x14ac:dyDescent="0.3">
      <c r="A208" s="463"/>
      <c r="B208" s="463"/>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3"/>
      <c r="Z208" s="463"/>
    </row>
    <row r="209" spans="1:26" ht="15.75" customHeight="1" x14ac:dyDescent="0.3">
      <c r="A209" s="463"/>
      <c r="B209" s="463"/>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3"/>
      <c r="Z209" s="463"/>
    </row>
    <row r="210" spans="1:26" ht="15.75" customHeight="1" x14ac:dyDescent="0.3">
      <c r="A210" s="463"/>
      <c r="B210" s="463"/>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3"/>
      <c r="Z210" s="463"/>
    </row>
    <row r="211" spans="1:26" ht="15.75" customHeight="1" x14ac:dyDescent="0.3">
      <c r="A211" s="463"/>
      <c r="B211" s="463"/>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3"/>
      <c r="Z211" s="463"/>
    </row>
    <row r="212" spans="1:26" ht="15.75" customHeight="1" x14ac:dyDescent="0.3">
      <c r="A212" s="463"/>
      <c r="B212" s="463"/>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row>
    <row r="213" spans="1:26" ht="15.75" customHeight="1" x14ac:dyDescent="0.3">
      <c r="A213" s="463"/>
      <c r="B213" s="463"/>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3"/>
      <c r="Z213" s="463"/>
    </row>
    <row r="214" spans="1:26" ht="15.75" customHeight="1" x14ac:dyDescent="0.3">
      <c r="A214" s="463"/>
      <c r="B214" s="463"/>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3"/>
      <c r="Z214" s="463"/>
    </row>
    <row r="215" spans="1:26" ht="15.75" customHeight="1" x14ac:dyDescent="0.3">
      <c r="A215" s="463"/>
      <c r="B215" s="463"/>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3"/>
      <c r="Z215" s="463"/>
    </row>
    <row r="216" spans="1:26" ht="15.75" customHeight="1" x14ac:dyDescent="0.3">
      <c r="A216" s="463"/>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row>
    <row r="217" spans="1:26" ht="15.75" customHeight="1" x14ac:dyDescent="0.3">
      <c r="A217" s="463"/>
      <c r="B217" s="463"/>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3"/>
      <c r="Z217" s="463"/>
    </row>
    <row r="218" spans="1:26" ht="15.75" customHeight="1" x14ac:dyDescent="0.3">
      <c r="A218" s="463"/>
      <c r="B218" s="463"/>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3"/>
      <c r="Z218" s="463"/>
    </row>
    <row r="219" spans="1:26" ht="15.75" customHeight="1" x14ac:dyDescent="0.3">
      <c r="A219" s="463"/>
      <c r="B219" s="463"/>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row>
    <row r="220" spans="1:26" ht="15.75" customHeight="1" x14ac:dyDescent="0.3">
      <c r="A220" s="463"/>
      <c r="B220" s="463"/>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row>
    <row r="221" spans="1:26" ht="15.75" customHeight="1" x14ac:dyDescent="0.3">
      <c r="A221" s="463"/>
      <c r="B221" s="463"/>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3"/>
      <c r="Z221" s="463"/>
    </row>
    <row r="222" spans="1:26" ht="15.75" customHeight="1" x14ac:dyDescent="0.3">
      <c r="A222" s="463"/>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row>
    <row r="223" spans="1:26" ht="15.75" customHeight="1" x14ac:dyDescent="0.3">
      <c r="A223" s="463"/>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row>
    <row r="224" spans="1:26" ht="15.75" customHeight="1" x14ac:dyDescent="0.3">
      <c r="A224" s="463"/>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row>
    <row r="225" spans="1:26" ht="15.75" customHeight="1" x14ac:dyDescent="0.3">
      <c r="A225" s="463"/>
      <c r="B225" s="463"/>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row>
    <row r="226" spans="1:26" ht="15.75" customHeight="1" x14ac:dyDescent="0.3">
      <c r="A226" s="463"/>
      <c r="B226" s="463"/>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3"/>
      <c r="Z226" s="463"/>
    </row>
    <row r="227" spans="1:26" ht="15.75" customHeight="1" x14ac:dyDescent="0.3">
      <c r="A227" s="463"/>
      <c r="B227" s="463"/>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3"/>
      <c r="Z227" s="463"/>
    </row>
    <row r="228" spans="1:26" ht="15.75" customHeight="1" x14ac:dyDescent="0.3">
      <c r="A228" s="463"/>
      <c r="B228" s="463"/>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3"/>
      <c r="Z228" s="463"/>
    </row>
    <row r="229" spans="1:26" ht="15.75" customHeight="1" x14ac:dyDescent="0.3">
      <c r="A229" s="463"/>
      <c r="B229" s="463"/>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row>
    <row r="230" spans="1:26" ht="15.75" customHeight="1" x14ac:dyDescent="0.3">
      <c r="A230" s="463"/>
      <c r="B230" s="463"/>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row>
    <row r="231" spans="1:26" ht="15.75" customHeight="1" x14ac:dyDescent="0.3">
      <c r="A231" s="463"/>
      <c r="B231" s="463"/>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3"/>
      <c r="Z231" s="463"/>
    </row>
    <row r="232" spans="1:26" ht="15.75" customHeight="1" x14ac:dyDescent="0.3">
      <c r="A232" s="463"/>
      <c r="B232" s="463"/>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3"/>
      <c r="Z232" s="463"/>
    </row>
    <row r="233" spans="1:26" ht="15.75" customHeight="1" x14ac:dyDescent="0.3">
      <c r="A233" s="463"/>
      <c r="B233" s="463"/>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3"/>
      <c r="Z233" s="463"/>
    </row>
    <row r="234" spans="1:26" ht="15.75" customHeight="1" x14ac:dyDescent="0.3">
      <c r="A234" s="463"/>
      <c r="B234" s="463"/>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row>
    <row r="235" spans="1:26" ht="15.75" customHeight="1" x14ac:dyDescent="0.3">
      <c r="A235" s="463"/>
      <c r="B235" s="463"/>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3"/>
      <c r="Z235" s="463"/>
    </row>
    <row r="236" spans="1:26" ht="15.75" customHeight="1" x14ac:dyDescent="0.3">
      <c r="A236" s="463"/>
      <c r="B236" s="463"/>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row>
    <row r="237" spans="1:26" ht="15.75" customHeight="1" x14ac:dyDescent="0.3">
      <c r="A237" s="463"/>
      <c r="B237" s="463"/>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3"/>
      <c r="Z237" s="463"/>
    </row>
    <row r="238" spans="1:26" ht="15.75" customHeight="1" x14ac:dyDescent="0.3">
      <c r="A238" s="463"/>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row>
    <row r="239" spans="1:26" ht="15.75" customHeight="1" x14ac:dyDescent="0.3">
      <c r="A239" s="463"/>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row>
    <row r="240" spans="1:26" ht="15.75" customHeight="1" x14ac:dyDescent="0.3">
      <c r="A240" s="463"/>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row>
    <row r="241" spans="1:26" ht="15.75" customHeight="1" x14ac:dyDescent="0.3">
      <c r="A241" s="463"/>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row>
    <row r="242" spans="1:26" ht="15.75" customHeight="1" x14ac:dyDescent="0.3">
      <c r="A242" s="463"/>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row>
    <row r="243" spans="1:26" ht="15.75" customHeight="1" x14ac:dyDescent="0.3">
      <c r="A243" s="463"/>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row>
    <row r="244" spans="1:26" ht="15.75" customHeight="1" x14ac:dyDescent="0.3">
      <c r="A244" s="463"/>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row>
    <row r="245" spans="1:26" ht="15.75" customHeight="1" x14ac:dyDescent="0.3">
      <c r="A245" s="463"/>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row>
    <row r="246" spans="1:26" ht="15.75" customHeight="1" x14ac:dyDescent="0.3">
      <c r="A246" s="463"/>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row>
    <row r="247" spans="1:26" ht="15.75" customHeight="1" x14ac:dyDescent="0.3">
      <c r="A247" s="463"/>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row>
    <row r="248" spans="1:26" ht="15.75" customHeight="1" x14ac:dyDescent="0.3">
      <c r="A248" s="463"/>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row>
    <row r="249" spans="1:26" ht="15.75" customHeight="1" x14ac:dyDescent="0.3">
      <c r="A249" s="463"/>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row>
    <row r="250" spans="1:26" ht="15.75" customHeight="1" x14ac:dyDescent="0.3">
      <c r="A250" s="463"/>
      <c r="B250" s="463"/>
      <c r="C250" s="463"/>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row>
    <row r="251" spans="1:26" ht="15.75" customHeight="1" x14ac:dyDescent="0.3">
      <c r="A251" s="463"/>
      <c r="B251" s="463"/>
      <c r="C251" s="463"/>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row>
    <row r="252" spans="1:26" ht="15.75" customHeight="1" x14ac:dyDescent="0.3">
      <c r="A252" s="463"/>
      <c r="B252" s="463"/>
      <c r="C252" s="463"/>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row>
    <row r="253" spans="1:26" ht="15.75" customHeight="1" x14ac:dyDescent="0.3">
      <c r="A253" s="463"/>
      <c r="B253" s="463"/>
      <c r="C253" s="463"/>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row>
    <row r="254" spans="1:26" ht="15.75" customHeight="1" x14ac:dyDescent="0.3">
      <c r="A254" s="463"/>
      <c r="B254" s="463"/>
      <c r="C254" s="463"/>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row>
    <row r="255" spans="1:26" ht="15.75" customHeight="1" x14ac:dyDescent="0.3">
      <c r="A255" s="463"/>
      <c r="B255" s="463"/>
      <c r="C255" s="463"/>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row>
    <row r="256" spans="1:26" ht="15.75" customHeight="1" x14ac:dyDescent="0.3">
      <c r="A256" s="463"/>
      <c r="B256" s="463"/>
      <c r="C256" s="463"/>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row>
    <row r="257" spans="1:26" ht="15.75" customHeight="1" x14ac:dyDescent="0.3">
      <c r="A257" s="463"/>
      <c r="B257" s="463"/>
      <c r="C257" s="463"/>
      <c r="D257" s="463"/>
      <c r="E257" s="463"/>
      <c r="F257" s="463"/>
      <c r="G257" s="463"/>
      <c r="H257" s="463"/>
      <c r="I257" s="463"/>
      <c r="J257" s="463"/>
      <c r="K257" s="463"/>
      <c r="L257" s="463"/>
      <c r="M257" s="463"/>
      <c r="N257" s="463"/>
      <c r="O257" s="463"/>
      <c r="P257" s="463"/>
      <c r="Q257" s="463"/>
      <c r="R257" s="463"/>
      <c r="S257" s="463"/>
      <c r="T257" s="463"/>
      <c r="U257" s="463"/>
      <c r="V257" s="463"/>
      <c r="W257" s="463"/>
      <c r="X257" s="463"/>
      <c r="Y257" s="463"/>
      <c r="Z257" s="463"/>
    </row>
    <row r="258" spans="1:26" ht="15.75" customHeight="1" x14ac:dyDescent="0.3">
      <c r="A258" s="463"/>
      <c r="B258" s="463"/>
      <c r="C258" s="463"/>
      <c r="D258" s="463"/>
      <c r="E258" s="463"/>
      <c r="F258" s="463"/>
      <c r="G258" s="463"/>
      <c r="H258" s="463"/>
      <c r="I258" s="463"/>
      <c r="J258" s="463"/>
      <c r="K258" s="463"/>
      <c r="L258" s="463"/>
      <c r="M258" s="463"/>
      <c r="N258" s="463"/>
      <c r="O258" s="463"/>
      <c r="P258" s="463"/>
      <c r="Q258" s="463"/>
      <c r="R258" s="463"/>
      <c r="S258" s="463"/>
      <c r="T258" s="463"/>
      <c r="U258" s="463"/>
      <c r="V258" s="463"/>
      <c r="W258" s="463"/>
      <c r="X258" s="463"/>
      <c r="Y258" s="463"/>
      <c r="Z258" s="463"/>
    </row>
    <row r="259" spans="1:26" ht="15.75" customHeight="1" x14ac:dyDescent="0.3">
      <c r="A259" s="463"/>
      <c r="B259" s="463"/>
      <c r="C259" s="463"/>
      <c r="D259" s="463"/>
      <c r="E259" s="463"/>
      <c r="F259" s="463"/>
      <c r="G259" s="463"/>
      <c r="H259" s="463"/>
      <c r="I259" s="463"/>
      <c r="J259" s="463"/>
      <c r="K259" s="463"/>
      <c r="L259" s="463"/>
      <c r="M259" s="463"/>
      <c r="N259" s="463"/>
      <c r="O259" s="463"/>
      <c r="P259" s="463"/>
      <c r="Q259" s="463"/>
      <c r="R259" s="463"/>
      <c r="S259" s="463"/>
      <c r="T259" s="463"/>
      <c r="U259" s="463"/>
      <c r="V259" s="463"/>
      <c r="W259" s="463"/>
      <c r="X259" s="463"/>
      <c r="Y259" s="463"/>
      <c r="Z259" s="463"/>
    </row>
    <row r="260" spans="1:26" ht="15.75" customHeight="1" x14ac:dyDescent="0.3">
      <c r="A260" s="463"/>
      <c r="B260" s="463"/>
      <c r="C260" s="463"/>
      <c r="D260" s="463"/>
      <c r="E260" s="463"/>
      <c r="F260" s="463"/>
      <c r="G260" s="463"/>
      <c r="H260" s="463"/>
      <c r="I260" s="463"/>
      <c r="J260" s="463"/>
      <c r="K260" s="463"/>
      <c r="L260" s="463"/>
      <c r="M260" s="463"/>
      <c r="N260" s="463"/>
      <c r="O260" s="463"/>
      <c r="P260" s="463"/>
      <c r="Q260" s="463"/>
      <c r="R260" s="463"/>
      <c r="S260" s="463"/>
      <c r="T260" s="463"/>
      <c r="U260" s="463"/>
      <c r="V260" s="463"/>
      <c r="W260" s="463"/>
      <c r="X260" s="463"/>
      <c r="Y260" s="463"/>
      <c r="Z260" s="463"/>
    </row>
    <row r="261" spans="1:26" ht="15.75" customHeight="1" x14ac:dyDescent="0.3">
      <c r="A261" s="463"/>
      <c r="B261" s="463"/>
      <c r="C261" s="463"/>
      <c r="D261" s="463"/>
      <c r="E261" s="463"/>
      <c r="F261" s="463"/>
      <c r="G261" s="463"/>
      <c r="H261" s="463"/>
      <c r="I261" s="463"/>
      <c r="J261" s="463"/>
      <c r="K261" s="463"/>
      <c r="L261" s="463"/>
      <c r="M261" s="463"/>
      <c r="N261" s="463"/>
      <c r="O261" s="463"/>
      <c r="P261" s="463"/>
      <c r="Q261" s="463"/>
      <c r="R261" s="463"/>
      <c r="S261" s="463"/>
      <c r="T261" s="463"/>
      <c r="U261" s="463"/>
      <c r="V261" s="463"/>
      <c r="W261" s="463"/>
      <c r="X261" s="463"/>
      <c r="Y261" s="463"/>
      <c r="Z261" s="463"/>
    </row>
    <row r="262" spans="1:26" ht="15.75" customHeight="1" x14ac:dyDescent="0.3">
      <c r="A262" s="463"/>
      <c r="B262" s="463"/>
      <c r="C262" s="463"/>
      <c r="D262" s="463"/>
      <c r="E262" s="463"/>
      <c r="F262" s="463"/>
      <c r="G262" s="463"/>
      <c r="H262" s="463"/>
      <c r="I262" s="463"/>
      <c r="J262" s="463"/>
      <c r="K262" s="463"/>
      <c r="L262" s="463"/>
      <c r="M262" s="463"/>
      <c r="N262" s="463"/>
      <c r="O262" s="463"/>
      <c r="P262" s="463"/>
      <c r="Q262" s="463"/>
      <c r="R262" s="463"/>
      <c r="S262" s="463"/>
      <c r="T262" s="463"/>
      <c r="U262" s="463"/>
      <c r="V262" s="463"/>
      <c r="W262" s="463"/>
      <c r="X262" s="463"/>
      <c r="Y262" s="463"/>
      <c r="Z262" s="463"/>
    </row>
    <row r="263" spans="1:26" ht="15.75" customHeight="1" x14ac:dyDescent="0.3">
      <c r="A263" s="463"/>
      <c r="B263" s="463"/>
      <c r="C263" s="463"/>
      <c r="D263" s="463"/>
      <c r="E263" s="463"/>
      <c r="F263" s="463"/>
      <c r="G263" s="463"/>
      <c r="H263" s="463"/>
      <c r="I263" s="463"/>
      <c r="J263" s="463"/>
      <c r="K263" s="463"/>
      <c r="L263" s="463"/>
      <c r="M263" s="463"/>
      <c r="N263" s="463"/>
      <c r="O263" s="463"/>
      <c r="P263" s="463"/>
      <c r="Q263" s="463"/>
      <c r="R263" s="463"/>
      <c r="S263" s="463"/>
      <c r="T263" s="463"/>
      <c r="U263" s="463"/>
      <c r="V263" s="463"/>
      <c r="W263" s="463"/>
      <c r="X263" s="463"/>
      <c r="Y263" s="463"/>
      <c r="Z263" s="463"/>
    </row>
    <row r="264" spans="1:26" ht="15.75" customHeight="1" x14ac:dyDescent="0.3">
      <c r="A264" s="463"/>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3"/>
      <c r="Z264" s="463"/>
    </row>
    <row r="265" spans="1:26" ht="15.75" customHeight="1" x14ac:dyDescent="0.3">
      <c r="A265" s="463"/>
      <c r="B265" s="463"/>
      <c r="C265" s="463"/>
      <c r="D265" s="463"/>
      <c r="E265" s="463"/>
      <c r="F265" s="463"/>
      <c r="G265" s="463"/>
      <c r="H265" s="463"/>
      <c r="I265" s="463"/>
      <c r="J265" s="463"/>
      <c r="K265" s="463"/>
      <c r="L265" s="463"/>
      <c r="M265" s="463"/>
      <c r="N265" s="463"/>
      <c r="O265" s="463"/>
      <c r="P265" s="463"/>
      <c r="Q265" s="463"/>
      <c r="R265" s="463"/>
      <c r="S265" s="463"/>
      <c r="T265" s="463"/>
      <c r="U265" s="463"/>
      <c r="V265" s="463"/>
      <c r="W265" s="463"/>
      <c r="X265" s="463"/>
      <c r="Y265" s="463"/>
      <c r="Z265" s="463"/>
    </row>
    <row r="266" spans="1:26" ht="15.75" customHeight="1" x14ac:dyDescent="0.3">
      <c r="A266" s="463"/>
      <c r="B266" s="463"/>
      <c r="C266" s="463"/>
      <c r="D266" s="463"/>
      <c r="E266" s="463"/>
      <c r="F266" s="463"/>
      <c r="G266" s="463"/>
      <c r="H266" s="463"/>
      <c r="I266" s="463"/>
      <c r="J266" s="463"/>
      <c r="K266" s="463"/>
      <c r="L266" s="463"/>
      <c r="M266" s="463"/>
      <c r="N266" s="463"/>
      <c r="O266" s="463"/>
      <c r="P266" s="463"/>
      <c r="Q266" s="463"/>
      <c r="R266" s="463"/>
      <c r="S266" s="463"/>
      <c r="T266" s="463"/>
      <c r="U266" s="463"/>
      <c r="V266" s="463"/>
      <c r="W266" s="463"/>
      <c r="X266" s="463"/>
      <c r="Y266" s="463"/>
      <c r="Z266" s="463"/>
    </row>
    <row r="267" spans="1:26" ht="15.75" customHeight="1" x14ac:dyDescent="0.3">
      <c r="A267" s="463"/>
      <c r="B267" s="463"/>
      <c r="C267" s="463"/>
      <c r="D267" s="463"/>
      <c r="E267" s="463"/>
      <c r="F267" s="463"/>
      <c r="G267" s="463"/>
      <c r="H267" s="463"/>
      <c r="I267" s="463"/>
      <c r="J267" s="463"/>
      <c r="K267" s="463"/>
      <c r="L267" s="463"/>
      <c r="M267" s="463"/>
      <c r="N267" s="463"/>
      <c r="O267" s="463"/>
      <c r="P267" s="463"/>
      <c r="Q267" s="463"/>
      <c r="R267" s="463"/>
      <c r="S267" s="463"/>
      <c r="T267" s="463"/>
      <c r="U267" s="463"/>
      <c r="V267" s="463"/>
      <c r="W267" s="463"/>
      <c r="X267" s="463"/>
      <c r="Y267" s="463"/>
      <c r="Z267" s="463"/>
    </row>
    <row r="268" spans="1:26" ht="15.75" customHeight="1" x14ac:dyDescent="0.3">
      <c r="A268" s="463"/>
      <c r="B268" s="463"/>
      <c r="C268" s="463"/>
      <c r="D268" s="463"/>
      <c r="E268" s="463"/>
      <c r="F268" s="463"/>
      <c r="G268" s="463"/>
      <c r="H268" s="463"/>
      <c r="I268" s="463"/>
      <c r="J268" s="463"/>
      <c r="K268" s="463"/>
      <c r="L268" s="463"/>
      <c r="M268" s="463"/>
      <c r="N268" s="463"/>
      <c r="O268" s="463"/>
      <c r="P268" s="463"/>
      <c r="Q268" s="463"/>
      <c r="R268" s="463"/>
      <c r="S268" s="463"/>
      <c r="T268" s="463"/>
      <c r="U268" s="463"/>
      <c r="V268" s="463"/>
      <c r="W268" s="463"/>
      <c r="X268" s="463"/>
      <c r="Y268" s="463"/>
      <c r="Z268" s="463"/>
    </row>
    <row r="269" spans="1:26" ht="15.75" customHeight="1" x14ac:dyDescent="0.3">
      <c r="A269" s="46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row>
    <row r="270" spans="1:26" ht="15.75" customHeight="1" x14ac:dyDescent="0.3">
      <c r="A270" s="463"/>
      <c r="B270" s="463"/>
      <c r="C270" s="463"/>
      <c r="D270" s="463"/>
      <c r="E270" s="463"/>
      <c r="F270" s="463"/>
      <c r="G270" s="463"/>
      <c r="H270" s="463"/>
      <c r="I270" s="463"/>
      <c r="J270" s="463"/>
      <c r="K270" s="463"/>
      <c r="L270" s="463"/>
      <c r="M270" s="463"/>
      <c r="N270" s="463"/>
      <c r="O270" s="463"/>
      <c r="P270" s="463"/>
      <c r="Q270" s="463"/>
      <c r="R270" s="463"/>
      <c r="S270" s="463"/>
      <c r="T270" s="463"/>
      <c r="U270" s="463"/>
      <c r="V270" s="463"/>
      <c r="W270" s="463"/>
      <c r="X270" s="463"/>
      <c r="Y270" s="463"/>
      <c r="Z270" s="463"/>
    </row>
    <row r="271" spans="1:26" ht="15.75" customHeight="1" x14ac:dyDescent="0.3">
      <c r="A271" s="463"/>
      <c r="B271" s="463"/>
      <c r="C271" s="463"/>
      <c r="D271" s="463"/>
      <c r="E271" s="463"/>
      <c r="F271" s="463"/>
      <c r="G271" s="463"/>
      <c r="H271" s="463"/>
      <c r="I271" s="463"/>
      <c r="J271" s="463"/>
      <c r="K271" s="463"/>
      <c r="L271" s="463"/>
      <c r="M271" s="463"/>
      <c r="N271" s="463"/>
      <c r="O271" s="463"/>
      <c r="P271" s="463"/>
      <c r="Q271" s="463"/>
      <c r="R271" s="463"/>
      <c r="S271" s="463"/>
      <c r="T271" s="463"/>
      <c r="U271" s="463"/>
      <c r="V271" s="463"/>
      <c r="W271" s="463"/>
      <c r="X271" s="463"/>
      <c r="Y271" s="463"/>
      <c r="Z271" s="463"/>
    </row>
    <row r="272" spans="1:26" ht="15.75" customHeight="1" x14ac:dyDescent="0.3">
      <c r="A272" s="463"/>
      <c r="B272" s="463"/>
      <c r="C272" s="463"/>
      <c r="D272" s="463"/>
      <c r="E272" s="463"/>
      <c r="F272" s="463"/>
      <c r="G272" s="463"/>
      <c r="H272" s="463"/>
      <c r="I272" s="463"/>
      <c r="J272" s="463"/>
      <c r="K272" s="463"/>
      <c r="L272" s="463"/>
      <c r="M272" s="463"/>
      <c r="N272" s="463"/>
      <c r="O272" s="463"/>
      <c r="P272" s="463"/>
      <c r="Q272" s="463"/>
      <c r="R272" s="463"/>
      <c r="S272" s="463"/>
      <c r="T272" s="463"/>
      <c r="U272" s="463"/>
      <c r="V272" s="463"/>
      <c r="W272" s="463"/>
      <c r="X272" s="463"/>
      <c r="Y272" s="463"/>
      <c r="Z272" s="463"/>
    </row>
    <row r="273" spans="1:26" ht="15.75" customHeight="1" x14ac:dyDescent="0.3">
      <c r="A273" s="463"/>
      <c r="B273" s="463"/>
      <c r="C273" s="463"/>
      <c r="D273" s="463"/>
      <c r="E273" s="463"/>
      <c r="F273" s="463"/>
      <c r="G273" s="463"/>
      <c r="H273" s="463"/>
      <c r="I273" s="463"/>
      <c r="J273" s="463"/>
      <c r="K273" s="463"/>
      <c r="L273" s="463"/>
      <c r="M273" s="463"/>
      <c r="N273" s="463"/>
      <c r="O273" s="463"/>
      <c r="P273" s="463"/>
      <c r="Q273" s="463"/>
      <c r="R273" s="463"/>
      <c r="S273" s="463"/>
      <c r="T273" s="463"/>
      <c r="U273" s="463"/>
      <c r="V273" s="463"/>
      <c r="W273" s="463"/>
      <c r="X273" s="463"/>
      <c r="Y273" s="463"/>
      <c r="Z273" s="463"/>
    </row>
    <row r="274" spans="1:26" ht="15.75" customHeight="1" x14ac:dyDescent="0.3">
      <c r="A274" s="463"/>
      <c r="B274" s="463"/>
      <c r="C274" s="463"/>
      <c r="D274" s="463"/>
      <c r="E274" s="463"/>
      <c r="F274" s="463"/>
      <c r="G274" s="463"/>
      <c r="H274" s="463"/>
      <c r="I274" s="463"/>
      <c r="J274" s="463"/>
      <c r="K274" s="463"/>
      <c r="L274" s="463"/>
      <c r="M274" s="463"/>
      <c r="N274" s="463"/>
      <c r="O274" s="463"/>
      <c r="P274" s="463"/>
      <c r="Q274" s="463"/>
      <c r="R274" s="463"/>
      <c r="S274" s="463"/>
      <c r="T274" s="463"/>
      <c r="U274" s="463"/>
      <c r="V274" s="463"/>
      <c r="W274" s="463"/>
      <c r="X274" s="463"/>
      <c r="Y274" s="463"/>
      <c r="Z274" s="463"/>
    </row>
    <row r="275" spans="1:26" ht="15.75" customHeight="1" x14ac:dyDescent="0.3">
      <c r="A275" s="463"/>
      <c r="B275" s="463"/>
      <c r="C275" s="463"/>
      <c r="D275" s="463"/>
      <c r="E275" s="463"/>
      <c r="F275" s="463"/>
      <c r="G275" s="463"/>
      <c r="H275" s="463"/>
      <c r="I275" s="463"/>
      <c r="J275" s="463"/>
      <c r="K275" s="463"/>
      <c r="L275" s="463"/>
      <c r="M275" s="463"/>
      <c r="N275" s="463"/>
      <c r="O275" s="463"/>
      <c r="P275" s="463"/>
      <c r="Q275" s="463"/>
      <c r="R275" s="463"/>
      <c r="S275" s="463"/>
      <c r="T275" s="463"/>
      <c r="U275" s="463"/>
      <c r="V275" s="463"/>
      <c r="W275" s="463"/>
      <c r="X275" s="463"/>
      <c r="Y275" s="463"/>
      <c r="Z275" s="463"/>
    </row>
    <row r="276" spans="1:26" ht="15.75" customHeight="1" x14ac:dyDescent="0.3">
      <c r="A276" s="463"/>
      <c r="B276" s="463"/>
      <c r="C276" s="463"/>
      <c r="D276" s="463"/>
      <c r="E276" s="463"/>
      <c r="F276" s="463"/>
      <c r="G276" s="463"/>
      <c r="H276" s="463"/>
      <c r="I276" s="463"/>
      <c r="J276" s="463"/>
      <c r="K276" s="463"/>
      <c r="L276" s="463"/>
      <c r="M276" s="463"/>
      <c r="N276" s="463"/>
      <c r="O276" s="463"/>
      <c r="P276" s="463"/>
      <c r="Q276" s="463"/>
      <c r="R276" s="463"/>
      <c r="S276" s="463"/>
      <c r="T276" s="463"/>
      <c r="U276" s="463"/>
      <c r="V276" s="463"/>
      <c r="W276" s="463"/>
      <c r="X276" s="463"/>
      <c r="Y276" s="463"/>
      <c r="Z276" s="463"/>
    </row>
    <row r="277" spans="1:26" ht="15.75" customHeight="1" x14ac:dyDescent="0.3">
      <c r="A277" s="463"/>
      <c r="B277" s="463"/>
      <c r="C277" s="463"/>
      <c r="D277" s="46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row>
    <row r="278" spans="1:26" ht="15.75" customHeight="1" x14ac:dyDescent="0.3">
      <c r="A278" s="463"/>
      <c r="B278" s="463"/>
      <c r="C278" s="463"/>
      <c r="D278" s="463"/>
      <c r="E278" s="463"/>
      <c r="F278" s="463"/>
      <c r="G278" s="463"/>
      <c r="H278" s="463"/>
      <c r="I278" s="463"/>
      <c r="J278" s="463"/>
      <c r="K278" s="463"/>
      <c r="L278" s="463"/>
      <c r="M278" s="463"/>
      <c r="N278" s="463"/>
      <c r="O278" s="463"/>
      <c r="P278" s="463"/>
      <c r="Q278" s="463"/>
      <c r="R278" s="463"/>
      <c r="S278" s="463"/>
      <c r="T278" s="463"/>
      <c r="U278" s="463"/>
      <c r="V278" s="463"/>
      <c r="W278" s="463"/>
      <c r="X278" s="463"/>
      <c r="Y278" s="463"/>
      <c r="Z278" s="463"/>
    </row>
    <row r="279" spans="1:26" ht="15.75" customHeight="1" x14ac:dyDescent="0.3">
      <c r="A279" s="463"/>
      <c r="B279" s="463"/>
      <c r="C279" s="463"/>
      <c r="D279" s="463"/>
      <c r="E279" s="463"/>
      <c r="F279" s="463"/>
      <c r="G279" s="463"/>
      <c r="H279" s="463"/>
      <c r="I279" s="463"/>
      <c r="J279" s="463"/>
      <c r="K279" s="463"/>
      <c r="L279" s="463"/>
      <c r="M279" s="463"/>
      <c r="N279" s="463"/>
      <c r="O279" s="463"/>
      <c r="P279" s="463"/>
      <c r="Q279" s="463"/>
      <c r="R279" s="463"/>
      <c r="S279" s="463"/>
      <c r="T279" s="463"/>
      <c r="U279" s="463"/>
      <c r="V279" s="463"/>
      <c r="W279" s="463"/>
      <c r="X279" s="463"/>
      <c r="Y279" s="463"/>
      <c r="Z279" s="463"/>
    </row>
    <row r="280" spans="1:26" ht="15.75" customHeight="1" x14ac:dyDescent="0.3">
      <c r="A280" s="463"/>
      <c r="B280" s="463"/>
      <c r="C280" s="463"/>
      <c r="D280" s="463"/>
      <c r="E280" s="463"/>
      <c r="F280" s="463"/>
      <c r="G280" s="463"/>
      <c r="H280" s="463"/>
      <c r="I280" s="463"/>
      <c r="J280" s="463"/>
      <c r="K280" s="463"/>
      <c r="L280" s="463"/>
      <c r="M280" s="463"/>
      <c r="N280" s="463"/>
      <c r="O280" s="463"/>
      <c r="P280" s="463"/>
      <c r="Q280" s="463"/>
      <c r="R280" s="463"/>
      <c r="S280" s="463"/>
      <c r="T280" s="463"/>
      <c r="U280" s="463"/>
      <c r="V280" s="463"/>
      <c r="W280" s="463"/>
      <c r="X280" s="463"/>
      <c r="Y280" s="463"/>
      <c r="Z280" s="463"/>
    </row>
    <row r="281" spans="1:26" ht="15.75" customHeight="1" x14ac:dyDescent="0.3">
      <c r="A281" s="463"/>
      <c r="B281" s="463"/>
      <c r="C281" s="463"/>
      <c r="D281" s="463"/>
      <c r="E281" s="463"/>
      <c r="F281" s="463"/>
      <c r="G281" s="463"/>
      <c r="H281" s="463"/>
      <c r="I281" s="463"/>
      <c r="J281" s="463"/>
      <c r="K281" s="463"/>
      <c r="L281" s="463"/>
      <c r="M281" s="463"/>
      <c r="N281" s="463"/>
      <c r="O281" s="463"/>
      <c r="P281" s="463"/>
      <c r="Q281" s="463"/>
      <c r="R281" s="463"/>
      <c r="S281" s="463"/>
      <c r="T281" s="463"/>
      <c r="U281" s="463"/>
      <c r="V281" s="463"/>
      <c r="W281" s="463"/>
      <c r="X281" s="463"/>
      <c r="Y281" s="463"/>
      <c r="Z281" s="463"/>
    </row>
    <row r="282" spans="1:26" ht="15.75" customHeight="1" x14ac:dyDescent="0.3">
      <c r="A282" s="463"/>
      <c r="B282" s="463"/>
      <c r="C282" s="463"/>
      <c r="D282" s="463"/>
      <c r="E282" s="463"/>
      <c r="F282" s="463"/>
      <c r="G282" s="463"/>
      <c r="H282" s="463"/>
      <c r="I282" s="463"/>
      <c r="J282" s="463"/>
      <c r="K282" s="463"/>
      <c r="L282" s="463"/>
      <c r="M282" s="463"/>
      <c r="N282" s="463"/>
      <c r="O282" s="463"/>
      <c r="P282" s="463"/>
      <c r="Q282" s="463"/>
      <c r="R282" s="463"/>
      <c r="S282" s="463"/>
      <c r="T282" s="463"/>
      <c r="U282" s="463"/>
      <c r="V282" s="463"/>
      <c r="W282" s="463"/>
      <c r="X282" s="463"/>
      <c r="Y282" s="463"/>
      <c r="Z282" s="463"/>
    </row>
    <row r="283" spans="1:26" ht="15.75" customHeight="1" x14ac:dyDescent="0.3">
      <c r="A283" s="463"/>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3"/>
      <c r="Z283" s="463"/>
    </row>
    <row r="284" spans="1:26" ht="15.75" customHeight="1" x14ac:dyDescent="0.3">
      <c r="A284" s="463"/>
      <c r="B284" s="463"/>
      <c r="C284" s="463"/>
      <c r="D284" s="463"/>
      <c r="E284" s="463"/>
      <c r="F284" s="463"/>
      <c r="G284" s="463"/>
      <c r="H284" s="463"/>
      <c r="I284" s="463"/>
      <c r="J284" s="463"/>
      <c r="K284" s="463"/>
      <c r="L284" s="463"/>
      <c r="M284" s="463"/>
      <c r="N284" s="463"/>
      <c r="O284" s="463"/>
      <c r="P284" s="463"/>
      <c r="Q284" s="463"/>
      <c r="R284" s="463"/>
      <c r="S284" s="463"/>
      <c r="T284" s="463"/>
      <c r="U284" s="463"/>
      <c r="V284" s="463"/>
      <c r="W284" s="463"/>
      <c r="X284" s="463"/>
      <c r="Y284" s="463"/>
      <c r="Z284" s="463"/>
    </row>
    <row r="285" spans="1:26" ht="15.75" customHeight="1" x14ac:dyDescent="0.3">
      <c r="A285" s="463"/>
      <c r="B285" s="463"/>
      <c r="C285" s="463"/>
      <c r="D285" s="463"/>
      <c r="E285" s="463"/>
      <c r="F285" s="463"/>
      <c r="G285" s="463"/>
      <c r="H285" s="463"/>
      <c r="I285" s="463"/>
      <c r="J285" s="463"/>
      <c r="K285" s="463"/>
      <c r="L285" s="463"/>
      <c r="M285" s="463"/>
      <c r="N285" s="463"/>
      <c r="O285" s="463"/>
      <c r="P285" s="463"/>
      <c r="Q285" s="463"/>
      <c r="R285" s="463"/>
      <c r="S285" s="463"/>
      <c r="T285" s="463"/>
      <c r="U285" s="463"/>
      <c r="V285" s="463"/>
      <c r="W285" s="463"/>
      <c r="X285" s="463"/>
      <c r="Y285" s="463"/>
      <c r="Z285" s="463"/>
    </row>
    <row r="286" spans="1:26" ht="15.75" customHeight="1" x14ac:dyDescent="0.3">
      <c r="A286" s="463"/>
      <c r="B286" s="463"/>
      <c r="C286" s="463"/>
      <c r="D286" s="463"/>
      <c r="E286" s="463"/>
      <c r="F286" s="463"/>
      <c r="G286" s="463"/>
      <c r="H286" s="463"/>
      <c r="I286" s="463"/>
      <c r="J286" s="463"/>
      <c r="K286" s="463"/>
      <c r="L286" s="463"/>
      <c r="M286" s="463"/>
      <c r="N286" s="463"/>
      <c r="O286" s="463"/>
      <c r="P286" s="463"/>
      <c r="Q286" s="463"/>
      <c r="R286" s="463"/>
      <c r="S286" s="463"/>
      <c r="T286" s="463"/>
      <c r="U286" s="463"/>
      <c r="V286" s="463"/>
      <c r="W286" s="463"/>
      <c r="X286" s="463"/>
      <c r="Y286" s="463"/>
      <c r="Z286" s="463"/>
    </row>
    <row r="287" spans="1:26" ht="15.75" customHeight="1" x14ac:dyDescent="0.3">
      <c r="A287" s="463"/>
      <c r="B287" s="463"/>
      <c r="C287" s="463"/>
      <c r="D287" s="463"/>
      <c r="E287" s="463"/>
      <c r="F287" s="463"/>
      <c r="G287" s="463"/>
      <c r="H287" s="463"/>
      <c r="I287" s="463"/>
      <c r="J287" s="463"/>
      <c r="K287" s="463"/>
      <c r="L287" s="463"/>
      <c r="M287" s="463"/>
      <c r="N287" s="463"/>
      <c r="O287" s="463"/>
      <c r="P287" s="463"/>
      <c r="Q287" s="463"/>
      <c r="R287" s="463"/>
      <c r="S287" s="463"/>
      <c r="T287" s="463"/>
      <c r="U287" s="463"/>
      <c r="V287" s="463"/>
      <c r="W287" s="463"/>
      <c r="X287" s="463"/>
      <c r="Y287" s="463"/>
      <c r="Z287" s="463"/>
    </row>
    <row r="288" spans="1:26" ht="15.75" customHeight="1" x14ac:dyDescent="0.3">
      <c r="A288" s="463"/>
      <c r="B288" s="463"/>
      <c r="C288" s="463"/>
      <c r="D288" s="463"/>
      <c r="E288" s="463"/>
      <c r="F288" s="463"/>
      <c r="G288" s="463"/>
      <c r="H288" s="463"/>
      <c r="I288" s="463"/>
      <c r="J288" s="463"/>
      <c r="K288" s="463"/>
      <c r="L288" s="463"/>
      <c r="M288" s="463"/>
      <c r="N288" s="463"/>
      <c r="O288" s="463"/>
      <c r="P288" s="463"/>
      <c r="Q288" s="463"/>
      <c r="R288" s="463"/>
      <c r="S288" s="463"/>
      <c r="T288" s="463"/>
      <c r="U288" s="463"/>
      <c r="V288" s="463"/>
      <c r="W288" s="463"/>
      <c r="X288" s="463"/>
      <c r="Y288" s="463"/>
      <c r="Z288" s="463"/>
    </row>
    <row r="289" spans="1:26" ht="15.75" customHeight="1" x14ac:dyDescent="0.3">
      <c r="A289" s="463"/>
      <c r="B289" s="463"/>
      <c r="C289" s="463"/>
      <c r="D289" s="463"/>
      <c r="E289" s="463"/>
      <c r="F289" s="463"/>
      <c r="G289" s="463"/>
      <c r="H289" s="463"/>
      <c r="I289" s="463"/>
      <c r="J289" s="463"/>
      <c r="K289" s="463"/>
      <c r="L289" s="463"/>
      <c r="M289" s="463"/>
      <c r="N289" s="463"/>
      <c r="O289" s="463"/>
      <c r="P289" s="463"/>
      <c r="Q289" s="463"/>
      <c r="R289" s="463"/>
      <c r="S289" s="463"/>
      <c r="T289" s="463"/>
      <c r="U289" s="463"/>
      <c r="V289" s="463"/>
      <c r="W289" s="463"/>
      <c r="X289" s="463"/>
      <c r="Y289" s="463"/>
      <c r="Z289" s="463"/>
    </row>
    <row r="290" spans="1:26" ht="15.75" customHeight="1" x14ac:dyDescent="0.3">
      <c r="A290" s="463"/>
      <c r="B290" s="463"/>
      <c r="C290" s="463"/>
      <c r="D290" s="463"/>
      <c r="E290" s="463"/>
      <c r="F290" s="463"/>
      <c r="G290" s="463"/>
      <c r="H290" s="463"/>
      <c r="I290" s="463"/>
      <c r="J290" s="463"/>
      <c r="K290" s="463"/>
      <c r="L290" s="463"/>
      <c r="M290" s="463"/>
      <c r="N290" s="463"/>
      <c r="O290" s="463"/>
      <c r="P290" s="463"/>
      <c r="Q290" s="463"/>
      <c r="R290" s="463"/>
      <c r="S290" s="463"/>
      <c r="T290" s="463"/>
      <c r="U290" s="463"/>
      <c r="V290" s="463"/>
      <c r="W290" s="463"/>
      <c r="X290" s="463"/>
      <c r="Y290" s="463"/>
      <c r="Z290" s="463"/>
    </row>
    <row r="291" spans="1:26" ht="15.75" customHeight="1" x14ac:dyDescent="0.3">
      <c r="A291" s="463"/>
      <c r="B291" s="463"/>
      <c r="C291" s="463"/>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row>
    <row r="292" spans="1:26" ht="15.75" customHeight="1" x14ac:dyDescent="0.3">
      <c r="A292" s="463"/>
      <c r="B292" s="463"/>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row>
    <row r="293" spans="1:26" ht="15.75" customHeight="1" x14ac:dyDescent="0.3">
      <c r="A293" s="463"/>
      <c r="B293" s="463"/>
      <c r="C293" s="463"/>
      <c r="D293" s="463"/>
      <c r="E293" s="463"/>
      <c r="F293" s="463"/>
      <c r="G293" s="463"/>
      <c r="H293" s="463"/>
      <c r="I293" s="463"/>
      <c r="J293" s="463"/>
      <c r="K293" s="463"/>
      <c r="L293" s="463"/>
      <c r="M293" s="463"/>
      <c r="N293" s="463"/>
      <c r="O293" s="463"/>
      <c r="P293" s="463"/>
      <c r="Q293" s="463"/>
      <c r="R293" s="463"/>
      <c r="S293" s="463"/>
      <c r="T293" s="463"/>
      <c r="U293" s="463"/>
      <c r="V293" s="463"/>
      <c r="W293" s="463"/>
      <c r="X293" s="463"/>
      <c r="Y293" s="463"/>
      <c r="Z293" s="463"/>
    </row>
    <row r="294" spans="1:26" ht="15.75" customHeight="1" x14ac:dyDescent="0.3">
      <c r="A294" s="463"/>
      <c r="B294" s="463"/>
      <c r="C294" s="46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row>
    <row r="295" spans="1:26" ht="15.75" customHeight="1" x14ac:dyDescent="0.3">
      <c r="A295" s="463"/>
      <c r="B295" s="463"/>
      <c r="C295" s="463"/>
      <c r="D295" s="463"/>
      <c r="E295" s="463"/>
      <c r="F295" s="463"/>
      <c r="G295" s="463"/>
      <c r="H295" s="463"/>
      <c r="I295" s="463"/>
      <c r="J295" s="463"/>
      <c r="K295" s="463"/>
      <c r="L295" s="463"/>
      <c r="M295" s="463"/>
      <c r="N295" s="463"/>
      <c r="O295" s="463"/>
      <c r="P295" s="463"/>
      <c r="Q295" s="463"/>
      <c r="R295" s="463"/>
      <c r="S295" s="463"/>
      <c r="T295" s="463"/>
      <c r="U295" s="463"/>
      <c r="V295" s="463"/>
      <c r="W295" s="463"/>
      <c r="X295" s="463"/>
      <c r="Y295" s="463"/>
      <c r="Z295" s="463"/>
    </row>
    <row r="296" spans="1:26" ht="15.75" customHeight="1" x14ac:dyDescent="0.3">
      <c r="A296" s="463"/>
      <c r="B296" s="463"/>
      <c r="C296" s="463"/>
      <c r="D296" s="463"/>
      <c r="E296" s="463"/>
      <c r="F296" s="463"/>
      <c r="G296" s="463"/>
      <c r="H296" s="463"/>
      <c r="I296" s="463"/>
      <c r="J296" s="463"/>
      <c r="K296" s="463"/>
      <c r="L296" s="463"/>
      <c r="M296" s="463"/>
      <c r="N296" s="463"/>
      <c r="O296" s="463"/>
      <c r="P296" s="463"/>
      <c r="Q296" s="463"/>
      <c r="R296" s="463"/>
      <c r="S296" s="463"/>
      <c r="T296" s="463"/>
      <c r="U296" s="463"/>
      <c r="V296" s="463"/>
      <c r="W296" s="463"/>
      <c r="X296" s="463"/>
      <c r="Y296" s="463"/>
      <c r="Z296" s="463"/>
    </row>
    <row r="297" spans="1:26" ht="15.75" customHeight="1" x14ac:dyDescent="0.3">
      <c r="A297" s="463"/>
      <c r="B297" s="463"/>
      <c r="C297" s="463"/>
      <c r="D297" s="463"/>
      <c r="E297" s="463"/>
      <c r="F297" s="463"/>
      <c r="G297" s="463"/>
      <c r="H297" s="463"/>
      <c r="I297" s="463"/>
      <c r="J297" s="463"/>
      <c r="K297" s="463"/>
      <c r="L297" s="463"/>
      <c r="M297" s="463"/>
      <c r="N297" s="463"/>
      <c r="O297" s="463"/>
      <c r="P297" s="463"/>
      <c r="Q297" s="463"/>
      <c r="R297" s="463"/>
      <c r="S297" s="463"/>
      <c r="T297" s="463"/>
      <c r="U297" s="463"/>
      <c r="V297" s="463"/>
      <c r="W297" s="463"/>
      <c r="X297" s="463"/>
      <c r="Y297" s="463"/>
      <c r="Z297" s="463"/>
    </row>
    <row r="298" spans="1:26" ht="15.75" customHeight="1" x14ac:dyDescent="0.3">
      <c r="A298" s="463"/>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c r="Y298" s="463"/>
      <c r="Z298" s="463"/>
    </row>
    <row r="299" spans="1:26" ht="15.75" customHeight="1" x14ac:dyDescent="0.3">
      <c r="A299" s="463"/>
      <c r="B299" s="463"/>
      <c r="C299" s="463"/>
      <c r="D299" s="463"/>
      <c r="E299" s="463"/>
      <c r="F299" s="463"/>
      <c r="G299" s="463"/>
      <c r="H299" s="463"/>
      <c r="I299" s="463"/>
      <c r="J299" s="463"/>
      <c r="K299" s="463"/>
      <c r="L299" s="463"/>
      <c r="M299" s="463"/>
      <c r="N299" s="463"/>
      <c r="O299" s="463"/>
      <c r="P299" s="463"/>
      <c r="Q299" s="463"/>
      <c r="R299" s="463"/>
      <c r="S299" s="463"/>
      <c r="T299" s="463"/>
      <c r="U299" s="463"/>
      <c r="V299" s="463"/>
      <c r="W299" s="463"/>
      <c r="X299" s="463"/>
      <c r="Y299" s="463"/>
      <c r="Z299" s="463"/>
    </row>
    <row r="300" spans="1:26" ht="15.75" customHeight="1" x14ac:dyDescent="0.3">
      <c r="A300" s="463"/>
      <c r="B300" s="463"/>
      <c r="C300" s="463"/>
      <c r="D300" s="463"/>
      <c r="E300" s="463"/>
      <c r="F300" s="463"/>
      <c r="G300" s="463"/>
      <c r="H300" s="463"/>
      <c r="I300" s="463"/>
      <c r="J300" s="463"/>
      <c r="K300" s="463"/>
      <c r="L300" s="463"/>
      <c r="M300" s="463"/>
      <c r="N300" s="463"/>
      <c r="O300" s="463"/>
      <c r="P300" s="463"/>
      <c r="Q300" s="463"/>
      <c r="R300" s="463"/>
      <c r="S300" s="463"/>
      <c r="T300" s="463"/>
      <c r="U300" s="463"/>
      <c r="V300" s="463"/>
      <c r="W300" s="463"/>
      <c r="X300" s="463"/>
      <c r="Y300" s="463"/>
      <c r="Z300" s="463"/>
    </row>
    <row r="301" spans="1:26" ht="15.75" customHeight="1" x14ac:dyDescent="0.3">
      <c r="A301" s="463"/>
      <c r="B301" s="463"/>
      <c r="C301" s="463"/>
      <c r="D301" s="463"/>
      <c r="E301" s="463"/>
      <c r="F301" s="463"/>
      <c r="G301" s="463"/>
      <c r="H301" s="463"/>
      <c r="I301" s="463"/>
      <c r="J301" s="463"/>
      <c r="K301" s="463"/>
      <c r="L301" s="463"/>
      <c r="M301" s="463"/>
      <c r="N301" s="463"/>
      <c r="O301" s="463"/>
      <c r="P301" s="463"/>
      <c r="Q301" s="463"/>
      <c r="R301" s="463"/>
      <c r="S301" s="463"/>
      <c r="T301" s="463"/>
      <c r="U301" s="463"/>
      <c r="V301" s="463"/>
      <c r="W301" s="463"/>
      <c r="X301" s="463"/>
      <c r="Y301" s="463"/>
      <c r="Z301" s="463"/>
    </row>
    <row r="302" spans="1:26" ht="15.75" customHeight="1" x14ac:dyDescent="0.3">
      <c r="A302" s="463"/>
      <c r="B302" s="463"/>
      <c r="C302" s="463"/>
      <c r="D302" s="463"/>
      <c r="E302" s="463"/>
      <c r="F302" s="463"/>
      <c r="G302" s="463"/>
      <c r="H302" s="463"/>
      <c r="I302" s="463"/>
      <c r="J302" s="463"/>
      <c r="K302" s="463"/>
      <c r="L302" s="463"/>
      <c r="M302" s="463"/>
      <c r="N302" s="463"/>
      <c r="O302" s="463"/>
      <c r="P302" s="463"/>
      <c r="Q302" s="463"/>
      <c r="R302" s="463"/>
      <c r="S302" s="463"/>
      <c r="T302" s="463"/>
      <c r="U302" s="463"/>
      <c r="V302" s="463"/>
      <c r="W302" s="463"/>
      <c r="X302" s="463"/>
      <c r="Y302" s="463"/>
      <c r="Z302" s="463"/>
    </row>
    <row r="303" spans="1:26" ht="15.75" customHeight="1" x14ac:dyDescent="0.3">
      <c r="A303" s="463"/>
      <c r="B303" s="463"/>
      <c r="C303" s="463"/>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3"/>
      <c r="Z303" s="463"/>
    </row>
    <row r="304" spans="1:26" ht="15.75" customHeight="1" x14ac:dyDescent="0.3">
      <c r="A304" s="463"/>
      <c r="B304" s="463"/>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3"/>
      <c r="Z304" s="463"/>
    </row>
    <row r="305" spans="1:26" ht="15.75" customHeight="1" x14ac:dyDescent="0.3">
      <c r="A305" s="463"/>
      <c r="B305" s="463"/>
      <c r="C305" s="463"/>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63"/>
      <c r="Z305" s="463"/>
    </row>
    <row r="306" spans="1:26" ht="15.75" customHeight="1" x14ac:dyDescent="0.3">
      <c r="A306" s="463"/>
      <c r="B306" s="463"/>
      <c r="C306" s="463"/>
      <c r="D306" s="463"/>
      <c r="E306" s="463"/>
      <c r="F306" s="463"/>
      <c r="G306" s="463"/>
      <c r="H306" s="463"/>
      <c r="I306" s="463"/>
      <c r="J306" s="463"/>
      <c r="K306" s="463"/>
      <c r="L306" s="463"/>
      <c r="M306" s="463"/>
      <c r="N306" s="463"/>
      <c r="O306" s="463"/>
      <c r="P306" s="463"/>
      <c r="Q306" s="463"/>
      <c r="R306" s="463"/>
      <c r="S306" s="463"/>
      <c r="T306" s="463"/>
      <c r="U306" s="463"/>
      <c r="V306" s="463"/>
      <c r="W306" s="463"/>
      <c r="X306" s="463"/>
      <c r="Y306" s="463"/>
      <c r="Z306" s="463"/>
    </row>
    <row r="307" spans="1:26" ht="15.75" customHeight="1" x14ac:dyDescent="0.3">
      <c r="A307" s="463"/>
      <c r="B307" s="463"/>
      <c r="C307" s="463"/>
      <c r="D307" s="463"/>
      <c r="E307" s="463"/>
      <c r="F307" s="463"/>
      <c r="G307" s="463"/>
      <c r="H307" s="463"/>
      <c r="I307" s="463"/>
      <c r="J307" s="463"/>
      <c r="K307" s="463"/>
      <c r="L307" s="463"/>
      <c r="M307" s="463"/>
      <c r="N307" s="463"/>
      <c r="O307" s="463"/>
      <c r="P307" s="463"/>
      <c r="Q307" s="463"/>
      <c r="R307" s="463"/>
      <c r="S307" s="463"/>
      <c r="T307" s="463"/>
      <c r="U307" s="463"/>
      <c r="V307" s="463"/>
      <c r="W307" s="463"/>
      <c r="X307" s="463"/>
      <c r="Y307" s="463"/>
      <c r="Z307" s="463"/>
    </row>
    <row r="308" spans="1:26" ht="15.75" customHeight="1" x14ac:dyDescent="0.3">
      <c r="A308" s="463"/>
      <c r="B308" s="463"/>
      <c r="C308" s="463"/>
      <c r="D308" s="463"/>
      <c r="E308" s="463"/>
      <c r="F308" s="463"/>
      <c r="G308" s="463"/>
      <c r="H308" s="463"/>
      <c r="I308" s="463"/>
      <c r="J308" s="463"/>
      <c r="K308" s="463"/>
      <c r="L308" s="463"/>
      <c r="M308" s="463"/>
      <c r="N308" s="463"/>
      <c r="O308" s="463"/>
      <c r="P308" s="463"/>
      <c r="Q308" s="463"/>
      <c r="R308" s="463"/>
      <c r="S308" s="463"/>
      <c r="T308" s="463"/>
      <c r="U308" s="463"/>
      <c r="V308" s="463"/>
      <c r="W308" s="463"/>
      <c r="X308" s="463"/>
      <c r="Y308" s="463"/>
      <c r="Z308" s="463"/>
    </row>
    <row r="309" spans="1:26" ht="15.75" customHeight="1" x14ac:dyDescent="0.3">
      <c r="A309" s="463"/>
      <c r="B309" s="463"/>
      <c r="C309" s="463"/>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row>
    <row r="310" spans="1:26" ht="15.75" customHeight="1" x14ac:dyDescent="0.3">
      <c r="A310" s="463"/>
      <c r="B310" s="463"/>
      <c r="C310" s="463"/>
      <c r="D310" s="463"/>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row>
    <row r="311" spans="1:26" ht="15.75" customHeight="1" x14ac:dyDescent="0.3">
      <c r="A311" s="463"/>
      <c r="B311" s="463"/>
      <c r="C311" s="463"/>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63"/>
      <c r="Z311" s="463"/>
    </row>
    <row r="312" spans="1:26" ht="15.75" customHeight="1" x14ac:dyDescent="0.3">
      <c r="A312" s="463"/>
      <c r="B312" s="463"/>
      <c r="C312" s="463"/>
      <c r="D312" s="463"/>
      <c r="E312" s="463"/>
      <c r="F312" s="463"/>
      <c r="G312" s="463"/>
      <c r="H312" s="463"/>
      <c r="I312" s="463"/>
      <c r="J312" s="463"/>
      <c r="K312" s="463"/>
      <c r="L312" s="463"/>
      <c r="M312" s="463"/>
      <c r="N312" s="463"/>
      <c r="O312" s="463"/>
      <c r="P312" s="463"/>
      <c r="Q312" s="463"/>
      <c r="R312" s="463"/>
      <c r="S312" s="463"/>
      <c r="T312" s="463"/>
      <c r="U312" s="463"/>
      <c r="V312" s="463"/>
      <c r="W312" s="463"/>
      <c r="X312" s="463"/>
      <c r="Y312" s="463"/>
      <c r="Z312" s="463"/>
    </row>
    <row r="313" spans="1:26" ht="15.75" customHeight="1" x14ac:dyDescent="0.3">
      <c r="A313" s="463"/>
      <c r="B313" s="463"/>
      <c r="C313" s="463"/>
      <c r="D313" s="463"/>
      <c r="E313" s="463"/>
      <c r="F313" s="463"/>
      <c r="G313" s="463"/>
      <c r="H313" s="463"/>
      <c r="I313" s="463"/>
      <c r="J313" s="463"/>
      <c r="K313" s="463"/>
      <c r="L313" s="463"/>
      <c r="M313" s="463"/>
      <c r="N313" s="463"/>
      <c r="O313" s="463"/>
      <c r="P313" s="463"/>
      <c r="Q313" s="463"/>
      <c r="R313" s="463"/>
      <c r="S313" s="463"/>
      <c r="T313" s="463"/>
      <c r="U313" s="463"/>
      <c r="V313" s="463"/>
      <c r="W313" s="463"/>
      <c r="X313" s="463"/>
      <c r="Y313" s="463"/>
      <c r="Z313" s="463"/>
    </row>
    <row r="314" spans="1:26" ht="15.75" customHeight="1" x14ac:dyDescent="0.3">
      <c r="A314" s="463"/>
      <c r="B314" s="463"/>
      <c r="C314" s="463"/>
      <c r="D314" s="463"/>
      <c r="E314" s="463"/>
      <c r="F314" s="463"/>
      <c r="G314" s="463"/>
      <c r="H314" s="463"/>
      <c r="I314" s="463"/>
      <c r="J314" s="463"/>
      <c r="K314" s="463"/>
      <c r="L314" s="463"/>
      <c r="M314" s="463"/>
      <c r="N314" s="463"/>
      <c r="O314" s="463"/>
      <c r="P314" s="463"/>
      <c r="Q314" s="463"/>
      <c r="R314" s="463"/>
      <c r="S314" s="463"/>
      <c r="T314" s="463"/>
      <c r="U314" s="463"/>
      <c r="V314" s="463"/>
      <c r="W314" s="463"/>
      <c r="X314" s="463"/>
      <c r="Y314" s="463"/>
      <c r="Z314" s="463"/>
    </row>
    <row r="315" spans="1:26" ht="15.75" customHeight="1" x14ac:dyDescent="0.3">
      <c r="A315" s="463"/>
      <c r="B315" s="463"/>
      <c r="C315" s="463"/>
      <c r="D315" s="463"/>
      <c r="E315" s="463"/>
      <c r="F315" s="463"/>
      <c r="G315" s="463"/>
      <c r="H315" s="463"/>
      <c r="I315" s="463"/>
      <c r="J315" s="463"/>
      <c r="K315" s="463"/>
      <c r="L315" s="463"/>
      <c r="M315" s="463"/>
      <c r="N315" s="463"/>
      <c r="O315" s="463"/>
      <c r="P315" s="463"/>
      <c r="Q315" s="463"/>
      <c r="R315" s="463"/>
      <c r="S315" s="463"/>
      <c r="T315" s="463"/>
      <c r="U315" s="463"/>
      <c r="V315" s="463"/>
      <c r="W315" s="463"/>
      <c r="X315" s="463"/>
      <c r="Y315" s="463"/>
      <c r="Z315" s="463"/>
    </row>
    <row r="316" spans="1:26" ht="15.75" customHeight="1" x14ac:dyDescent="0.3">
      <c r="A316" s="463"/>
      <c r="B316" s="463"/>
      <c r="C316" s="463"/>
      <c r="D316" s="463"/>
      <c r="E316" s="463"/>
      <c r="F316" s="463"/>
      <c r="G316" s="463"/>
      <c r="H316" s="463"/>
      <c r="I316" s="463"/>
      <c r="J316" s="463"/>
      <c r="K316" s="463"/>
      <c r="L316" s="463"/>
      <c r="M316" s="463"/>
      <c r="N316" s="463"/>
      <c r="O316" s="463"/>
      <c r="P316" s="463"/>
      <c r="Q316" s="463"/>
      <c r="R316" s="463"/>
      <c r="S316" s="463"/>
      <c r="T316" s="463"/>
      <c r="U316" s="463"/>
      <c r="V316" s="463"/>
      <c r="W316" s="463"/>
      <c r="X316" s="463"/>
      <c r="Y316" s="463"/>
      <c r="Z316" s="463"/>
    </row>
    <row r="317" spans="1:26" ht="15.75" customHeight="1" x14ac:dyDescent="0.3">
      <c r="A317" s="463"/>
      <c r="B317" s="463"/>
      <c r="C317" s="463"/>
      <c r="D317" s="463"/>
      <c r="E317" s="463"/>
      <c r="F317" s="463"/>
      <c r="G317" s="463"/>
      <c r="H317" s="463"/>
      <c r="I317" s="463"/>
      <c r="J317" s="463"/>
      <c r="K317" s="463"/>
      <c r="L317" s="463"/>
      <c r="M317" s="463"/>
      <c r="N317" s="463"/>
      <c r="O317" s="463"/>
      <c r="P317" s="463"/>
      <c r="Q317" s="463"/>
      <c r="R317" s="463"/>
      <c r="S317" s="463"/>
      <c r="T317" s="463"/>
      <c r="U317" s="463"/>
      <c r="V317" s="463"/>
      <c r="W317" s="463"/>
      <c r="X317" s="463"/>
      <c r="Y317" s="463"/>
      <c r="Z317" s="463"/>
    </row>
    <row r="318" spans="1:26" ht="15.75" customHeight="1" x14ac:dyDescent="0.3">
      <c r="A318" s="463"/>
      <c r="B318" s="463"/>
      <c r="C318" s="463"/>
      <c r="D318" s="463"/>
      <c r="E318" s="463"/>
      <c r="F318" s="463"/>
      <c r="G318" s="463"/>
      <c r="H318" s="463"/>
      <c r="I318" s="463"/>
      <c r="J318" s="463"/>
      <c r="K318" s="463"/>
      <c r="L318" s="463"/>
      <c r="M318" s="463"/>
      <c r="N318" s="463"/>
      <c r="O318" s="463"/>
      <c r="P318" s="463"/>
      <c r="Q318" s="463"/>
      <c r="R318" s="463"/>
      <c r="S318" s="463"/>
      <c r="T318" s="463"/>
      <c r="U318" s="463"/>
      <c r="V318" s="463"/>
      <c r="W318" s="463"/>
      <c r="X318" s="463"/>
      <c r="Y318" s="463"/>
      <c r="Z318" s="463"/>
    </row>
    <row r="319" spans="1:26" ht="15.75" customHeight="1" x14ac:dyDescent="0.3">
      <c r="A319" s="463"/>
      <c r="B319" s="463"/>
      <c r="C319" s="463"/>
      <c r="D319" s="463"/>
      <c r="E319" s="463"/>
      <c r="F319" s="463"/>
      <c r="G319" s="463"/>
      <c r="H319" s="463"/>
      <c r="I319" s="463"/>
      <c r="J319" s="463"/>
      <c r="K319" s="463"/>
      <c r="L319" s="463"/>
      <c r="M319" s="463"/>
      <c r="N319" s="463"/>
      <c r="O319" s="463"/>
      <c r="P319" s="463"/>
      <c r="Q319" s="463"/>
      <c r="R319" s="463"/>
      <c r="S319" s="463"/>
      <c r="T319" s="463"/>
      <c r="U319" s="463"/>
      <c r="V319" s="463"/>
      <c r="W319" s="463"/>
      <c r="X319" s="463"/>
      <c r="Y319" s="463"/>
      <c r="Z319" s="463"/>
    </row>
    <row r="320" spans="1:26" ht="15.75" customHeight="1" x14ac:dyDescent="0.3">
      <c r="A320" s="463"/>
      <c r="B320" s="463"/>
      <c r="C320" s="463"/>
      <c r="D320" s="463"/>
      <c r="E320" s="463"/>
      <c r="F320" s="463"/>
      <c r="G320" s="463"/>
      <c r="H320" s="463"/>
      <c r="I320" s="463"/>
      <c r="J320" s="463"/>
      <c r="K320" s="463"/>
      <c r="L320" s="463"/>
      <c r="M320" s="463"/>
      <c r="N320" s="463"/>
      <c r="O320" s="463"/>
      <c r="P320" s="463"/>
      <c r="Q320" s="463"/>
      <c r="R320" s="463"/>
      <c r="S320" s="463"/>
      <c r="T320" s="463"/>
      <c r="U320" s="463"/>
      <c r="V320" s="463"/>
      <c r="W320" s="463"/>
      <c r="X320" s="463"/>
      <c r="Y320" s="463"/>
      <c r="Z320" s="463"/>
    </row>
    <row r="321" spans="1:26" ht="15.75" customHeight="1" x14ac:dyDescent="0.3">
      <c r="A321" s="463"/>
      <c r="B321" s="463"/>
      <c r="C321" s="463"/>
      <c r="D321" s="463"/>
      <c r="E321" s="463"/>
      <c r="F321" s="463"/>
      <c r="G321" s="463"/>
      <c r="H321" s="463"/>
      <c r="I321" s="463"/>
      <c r="J321" s="463"/>
      <c r="K321" s="463"/>
      <c r="L321" s="463"/>
      <c r="M321" s="463"/>
      <c r="N321" s="463"/>
      <c r="O321" s="463"/>
      <c r="P321" s="463"/>
      <c r="Q321" s="463"/>
      <c r="R321" s="463"/>
      <c r="S321" s="463"/>
      <c r="T321" s="463"/>
      <c r="U321" s="463"/>
      <c r="V321" s="463"/>
      <c r="W321" s="463"/>
      <c r="X321" s="463"/>
      <c r="Y321" s="463"/>
      <c r="Z321" s="463"/>
    </row>
    <row r="322" spans="1:26" ht="15.75" customHeight="1" x14ac:dyDescent="0.3">
      <c r="A322" s="463"/>
      <c r="B322" s="463"/>
      <c r="C322" s="463"/>
      <c r="D322" s="463"/>
      <c r="E322" s="463"/>
      <c r="F322" s="463"/>
      <c r="G322" s="463"/>
      <c r="H322" s="463"/>
      <c r="I322" s="463"/>
      <c r="J322" s="463"/>
      <c r="K322" s="463"/>
      <c r="L322" s="463"/>
      <c r="M322" s="463"/>
      <c r="N322" s="463"/>
      <c r="O322" s="463"/>
      <c r="P322" s="463"/>
      <c r="Q322" s="463"/>
      <c r="R322" s="463"/>
      <c r="S322" s="463"/>
      <c r="T322" s="463"/>
      <c r="U322" s="463"/>
      <c r="V322" s="463"/>
      <c r="W322" s="463"/>
      <c r="X322" s="463"/>
      <c r="Y322" s="463"/>
      <c r="Z322" s="463"/>
    </row>
    <row r="323" spans="1:26" ht="15.75" customHeight="1" x14ac:dyDescent="0.3">
      <c r="A323" s="463"/>
      <c r="B323" s="463"/>
      <c r="C323" s="463"/>
      <c r="D323" s="463"/>
      <c r="E323" s="463"/>
      <c r="F323" s="463"/>
      <c r="G323" s="463"/>
      <c r="H323" s="463"/>
      <c r="I323" s="463"/>
      <c r="J323" s="463"/>
      <c r="K323" s="463"/>
      <c r="L323" s="463"/>
      <c r="M323" s="463"/>
      <c r="N323" s="463"/>
      <c r="O323" s="463"/>
      <c r="P323" s="463"/>
      <c r="Q323" s="463"/>
      <c r="R323" s="463"/>
      <c r="S323" s="463"/>
      <c r="T323" s="463"/>
      <c r="U323" s="463"/>
      <c r="V323" s="463"/>
      <c r="W323" s="463"/>
      <c r="X323" s="463"/>
      <c r="Y323" s="463"/>
      <c r="Z323" s="463"/>
    </row>
    <row r="324" spans="1:26" ht="15.75" customHeight="1" x14ac:dyDescent="0.3">
      <c r="A324" s="463"/>
      <c r="B324" s="463"/>
      <c r="C324" s="463"/>
      <c r="D324" s="463"/>
      <c r="E324" s="463"/>
      <c r="F324" s="463"/>
      <c r="G324" s="463"/>
      <c r="H324" s="463"/>
      <c r="I324" s="463"/>
      <c r="J324" s="463"/>
      <c r="K324" s="463"/>
      <c r="L324" s="463"/>
      <c r="M324" s="463"/>
      <c r="N324" s="463"/>
      <c r="O324" s="463"/>
      <c r="P324" s="463"/>
      <c r="Q324" s="463"/>
      <c r="R324" s="463"/>
      <c r="S324" s="463"/>
      <c r="T324" s="463"/>
      <c r="U324" s="463"/>
      <c r="V324" s="463"/>
      <c r="W324" s="463"/>
      <c r="X324" s="463"/>
      <c r="Y324" s="463"/>
      <c r="Z324" s="463"/>
    </row>
    <row r="325" spans="1:26" ht="15.75" customHeight="1" x14ac:dyDescent="0.3">
      <c r="A325" s="463"/>
      <c r="B325" s="463"/>
      <c r="C325" s="463"/>
      <c r="D325" s="463"/>
      <c r="E325" s="463"/>
      <c r="F325" s="463"/>
      <c r="G325" s="463"/>
      <c r="H325" s="463"/>
      <c r="I325" s="463"/>
      <c r="J325" s="463"/>
      <c r="K325" s="463"/>
      <c r="L325" s="463"/>
      <c r="M325" s="463"/>
      <c r="N325" s="463"/>
      <c r="O325" s="463"/>
      <c r="P325" s="463"/>
      <c r="Q325" s="463"/>
      <c r="R325" s="463"/>
      <c r="S325" s="463"/>
      <c r="T325" s="463"/>
      <c r="U325" s="463"/>
      <c r="V325" s="463"/>
      <c r="W325" s="463"/>
      <c r="X325" s="463"/>
      <c r="Y325" s="463"/>
      <c r="Z325" s="463"/>
    </row>
    <row r="326" spans="1:26" ht="15.75" customHeight="1" x14ac:dyDescent="0.3">
      <c r="A326" s="463"/>
      <c r="B326" s="463"/>
      <c r="C326" s="463"/>
      <c r="D326" s="463"/>
      <c r="E326" s="463"/>
      <c r="F326" s="463"/>
      <c r="G326" s="463"/>
      <c r="H326" s="463"/>
      <c r="I326" s="463"/>
      <c r="J326" s="463"/>
      <c r="K326" s="463"/>
      <c r="L326" s="463"/>
      <c r="M326" s="463"/>
      <c r="N326" s="463"/>
      <c r="O326" s="463"/>
      <c r="P326" s="463"/>
      <c r="Q326" s="463"/>
      <c r="R326" s="463"/>
      <c r="S326" s="463"/>
      <c r="T326" s="463"/>
      <c r="U326" s="463"/>
      <c r="V326" s="463"/>
      <c r="W326" s="463"/>
      <c r="X326" s="463"/>
      <c r="Y326" s="463"/>
      <c r="Z326" s="463"/>
    </row>
    <row r="327" spans="1:26" ht="15.75" customHeight="1" x14ac:dyDescent="0.3">
      <c r="A327" s="463"/>
      <c r="B327" s="463"/>
      <c r="C327" s="463"/>
      <c r="D327" s="463"/>
      <c r="E327" s="463"/>
      <c r="F327" s="463"/>
      <c r="G327" s="463"/>
      <c r="H327" s="463"/>
      <c r="I327" s="463"/>
      <c r="J327" s="463"/>
      <c r="K327" s="463"/>
      <c r="L327" s="463"/>
      <c r="M327" s="463"/>
      <c r="N327" s="463"/>
      <c r="O327" s="463"/>
      <c r="P327" s="463"/>
      <c r="Q327" s="463"/>
      <c r="R327" s="463"/>
      <c r="S327" s="463"/>
      <c r="T327" s="463"/>
      <c r="U327" s="463"/>
      <c r="V327" s="463"/>
      <c r="W327" s="463"/>
      <c r="X327" s="463"/>
      <c r="Y327" s="463"/>
      <c r="Z327" s="463"/>
    </row>
    <row r="328" spans="1:26" ht="15.75" customHeight="1" x14ac:dyDescent="0.3">
      <c r="A328" s="463"/>
      <c r="B328" s="463"/>
      <c r="C328" s="463"/>
      <c r="D328" s="463"/>
      <c r="E328" s="463"/>
      <c r="F328" s="463"/>
      <c r="G328" s="463"/>
      <c r="H328" s="463"/>
      <c r="I328" s="463"/>
      <c r="J328" s="463"/>
      <c r="K328" s="463"/>
      <c r="L328" s="463"/>
      <c r="M328" s="463"/>
      <c r="N328" s="463"/>
      <c r="O328" s="463"/>
      <c r="P328" s="463"/>
      <c r="Q328" s="463"/>
      <c r="R328" s="463"/>
      <c r="S328" s="463"/>
      <c r="T328" s="463"/>
      <c r="U328" s="463"/>
      <c r="V328" s="463"/>
      <c r="W328" s="463"/>
      <c r="X328" s="463"/>
      <c r="Y328" s="463"/>
      <c r="Z328" s="463"/>
    </row>
    <row r="329" spans="1:26" ht="15.75" customHeight="1" x14ac:dyDescent="0.3">
      <c r="A329" s="463"/>
      <c r="B329" s="463"/>
      <c r="C329" s="463"/>
      <c r="D329" s="463"/>
      <c r="E329" s="463"/>
      <c r="F329" s="463"/>
      <c r="G329" s="463"/>
      <c r="H329" s="463"/>
      <c r="I329" s="463"/>
      <c r="J329" s="463"/>
      <c r="K329" s="463"/>
      <c r="L329" s="463"/>
      <c r="M329" s="463"/>
      <c r="N329" s="463"/>
      <c r="O329" s="463"/>
      <c r="P329" s="463"/>
      <c r="Q329" s="463"/>
      <c r="R329" s="463"/>
      <c r="S329" s="463"/>
      <c r="T329" s="463"/>
      <c r="U329" s="463"/>
      <c r="V329" s="463"/>
      <c r="W329" s="463"/>
      <c r="X329" s="463"/>
      <c r="Y329" s="463"/>
      <c r="Z329" s="463"/>
    </row>
    <row r="330" spans="1:26" ht="15.75" customHeight="1" x14ac:dyDescent="0.3">
      <c r="A330" s="463"/>
      <c r="B330" s="463"/>
      <c r="C330" s="463"/>
      <c r="D330" s="463"/>
      <c r="E330" s="463"/>
      <c r="F330" s="463"/>
      <c r="G330" s="463"/>
      <c r="H330" s="463"/>
      <c r="I330" s="463"/>
      <c r="J330" s="463"/>
      <c r="K330" s="463"/>
      <c r="L330" s="463"/>
      <c r="M330" s="463"/>
      <c r="N330" s="463"/>
      <c r="O330" s="463"/>
      <c r="P330" s="463"/>
      <c r="Q330" s="463"/>
      <c r="R330" s="463"/>
      <c r="S330" s="463"/>
      <c r="T330" s="463"/>
      <c r="U330" s="463"/>
      <c r="V330" s="463"/>
      <c r="W330" s="463"/>
      <c r="X330" s="463"/>
      <c r="Y330" s="463"/>
      <c r="Z330" s="463"/>
    </row>
    <row r="331" spans="1:26" ht="15.75" customHeight="1" x14ac:dyDescent="0.3">
      <c r="A331" s="463"/>
      <c r="B331" s="463"/>
      <c r="C331" s="463"/>
      <c r="D331" s="463"/>
      <c r="E331" s="463"/>
      <c r="F331" s="463"/>
      <c r="G331" s="463"/>
      <c r="H331" s="463"/>
      <c r="I331" s="463"/>
      <c r="J331" s="463"/>
      <c r="K331" s="463"/>
      <c r="L331" s="463"/>
      <c r="M331" s="463"/>
      <c r="N331" s="463"/>
      <c r="O331" s="463"/>
      <c r="P331" s="463"/>
      <c r="Q331" s="463"/>
      <c r="R331" s="463"/>
      <c r="S331" s="463"/>
      <c r="T331" s="463"/>
      <c r="U331" s="463"/>
      <c r="V331" s="463"/>
      <c r="W331" s="463"/>
      <c r="X331" s="463"/>
      <c r="Y331" s="463"/>
      <c r="Z331" s="463"/>
    </row>
    <row r="332" spans="1:26" ht="15.75" customHeight="1" x14ac:dyDescent="0.3">
      <c r="A332" s="463"/>
      <c r="B332" s="463"/>
      <c r="C332" s="463"/>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row>
    <row r="333" spans="1:26" ht="15.75" customHeight="1" x14ac:dyDescent="0.3">
      <c r="A333" s="463"/>
      <c r="B333" s="463"/>
      <c r="C333" s="463"/>
      <c r="D333" s="463"/>
      <c r="E333" s="463"/>
      <c r="F333" s="463"/>
      <c r="G333" s="463"/>
      <c r="H333" s="463"/>
      <c r="I333" s="463"/>
      <c r="J333" s="463"/>
      <c r="K333" s="463"/>
      <c r="L333" s="463"/>
      <c r="M333" s="463"/>
      <c r="N333" s="463"/>
      <c r="O333" s="463"/>
      <c r="P333" s="463"/>
      <c r="Q333" s="463"/>
      <c r="R333" s="463"/>
      <c r="S333" s="463"/>
      <c r="T333" s="463"/>
      <c r="U333" s="463"/>
      <c r="V333" s="463"/>
      <c r="W333" s="463"/>
      <c r="X333" s="463"/>
      <c r="Y333" s="463"/>
      <c r="Z333" s="463"/>
    </row>
    <row r="334" spans="1:26" ht="15.75" customHeight="1" x14ac:dyDescent="0.3">
      <c r="A334" s="463"/>
      <c r="B334" s="463"/>
      <c r="C334" s="463"/>
      <c r="D334" s="463"/>
      <c r="E334" s="463"/>
      <c r="F334" s="463"/>
      <c r="G334" s="463"/>
      <c r="H334" s="463"/>
      <c r="I334" s="463"/>
      <c r="J334" s="463"/>
      <c r="K334" s="463"/>
      <c r="L334" s="463"/>
      <c r="M334" s="463"/>
      <c r="N334" s="463"/>
      <c r="O334" s="463"/>
      <c r="P334" s="463"/>
      <c r="Q334" s="463"/>
      <c r="R334" s="463"/>
      <c r="S334" s="463"/>
      <c r="T334" s="463"/>
      <c r="U334" s="463"/>
      <c r="V334" s="463"/>
      <c r="W334" s="463"/>
      <c r="X334" s="463"/>
      <c r="Y334" s="463"/>
      <c r="Z334" s="463"/>
    </row>
    <row r="335" spans="1:26" ht="15.75" customHeight="1" x14ac:dyDescent="0.3">
      <c r="A335" s="463"/>
      <c r="B335" s="463"/>
      <c r="C335" s="463"/>
      <c r="D335" s="463"/>
      <c r="E335" s="463"/>
      <c r="F335" s="463"/>
      <c r="G335" s="463"/>
      <c r="H335" s="463"/>
      <c r="I335" s="463"/>
      <c r="J335" s="463"/>
      <c r="K335" s="463"/>
      <c r="L335" s="463"/>
      <c r="M335" s="463"/>
      <c r="N335" s="463"/>
      <c r="O335" s="463"/>
      <c r="P335" s="463"/>
      <c r="Q335" s="463"/>
      <c r="R335" s="463"/>
      <c r="S335" s="463"/>
      <c r="T335" s="463"/>
      <c r="U335" s="463"/>
      <c r="V335" s="463"/>
      <c r="W335" s="463"/>
      <c r="X335" s="463"/>
      <c r="Y335" s="463"/>
      <c r="Z335" s="463"/>
    </row>
    <row r="336" spans="1:26" ht="15.75" customHeight="1" x14ac:dyDescent="0.3">
      <c r="A336" s="463"/>
      <c r="B336" s="463"/>
      <c r="C336" s="463"/>
      <c r="D336" s="463"/>
      <c r="E336" s="463"/>
      <c r="F336" s="463"/>
      <c r="G336" s="463"/>
      <c r="H336" s="463"/>
      <c r="I336" s="463"/>
      <c r="J336" s="463"/>
      <c r="K336" s="463"/>
      <c r="L336" s="463"/>
      <c r="M336" s="463"/>
      <c r="N336" s="463"/>
      <c r="O336" s="463"/>
      <c r="P336" s="463"/>
      <c r="Q336" s="463"/>
      <c r="R336" s="463"/>
      <c r="S336" s="463"/>
      <c r="T336" s="463"/>
      <c r="U336" s="463"/>
      <c r="V336" s="463"/>
      <c r="W336" s="463"/>
      <c r="X336" s="463"/>
      <c r="Y336" s="463"/>
      <c r="Z336" s="463"/>
    </row>
    <row r="337" spans="1:26" ht="15.75" customHeight="1" x14ac:dyDescent="0.3">
      <c r="A337" s="463"/>
      <c r="B337" s="463"/>
      <c r="C337" s="463"/>
      <c r="D337" s="463"/>
      <c r="E337" s="463"/>
      <c r="F337" s="463"/>
      <c r="G337" s="463"/>
      <c r="H337" s="463"/>
      <c r="I337" s="463"/>
      <c r="J337" s="463"/>
      <c r="K337" s="463"/>
      <c r="L337" s="463"/>
      <c r="M337" s="463"/>
      <c r="N337" s="463"/>
      <c r="O337" s="463"/>
      <c r="P337" s="463"/>
      <c r="Q337" s="463"/>
      <c r="R337" s="463"/>
      <c r="S337" s="463"/>
      <c r="T337" s="463"/>
      <c r="U337" s="463"/>
      <c r="V337" s="463"/>
      <c r="W337" s="463"/>
      <c r="X337" s="463"/>
      <c r="Y337" s="463"/>
      <c r="Z337" s="463"/>
    </row>
    <row r="338" spans="1:26" ht="15.75" customHeight="1" x14ac:dyDescent="0.3">
      <c r="A338" s="463"/>
      <c r="B338" s="463"/>
      <c r="C338" s="463"/>
      <c r="D338" s="463"/>
      <c r="E338" s="463"/>
      <c r="F338" s="463"/>
      <c r="G338" s="463"/>
      <c r="H338" s="463"/>
      <c r="I338" s="463"/>
      <c r="J338" s="463"/>
      <c r="K338" s="463"/>
      <c r="L338" s="463"/>
      <c r="M338" s="463"/>
      <c r="N338" s="463"/>
      <c r="O338" s="463"/>
      <c r="P338" s="463"/>
      <c r="Q338" s="463"/>
      <c r="R338" s="463"/>
      <c r="S338" s="463"/>
      <c r="T338" s="463"/>
      <c r="U338" s="463"/>
      <c r="V338" s="463"/>
      <c r="W338" s="463"/>
      <c r="X338" s="463"/>
      <c r="Y338" s="463"/>
      <c r="Z338" s="463"/>
    </row>
    <row r="339" spans="1:26" ht="15.75" customHeight="1" x14ac:dyDescent="0.3">
      <c r="A339" s="463"/>
      <c r="B339" s="463"/>
      <c r="C339" s="463"/>
      <c r="D339" s="463"/>
      <c r="E339" s="463"/>
      <c r="F339" s="463"/>
      <c r="G339" s="463"/>
      <c r="H339" s="463"/>
      <c r="I339" s="463"/>
      <c r="J339" s="463"/>
      <c r="K339" s="463"/>
      <c r="L339" s="463"/>
      <c r="M339" s="463"/>
      <c r="N339" s="463"/>
      <c r="O339" s="463"/>
      <c r="P339" s="463"/>
      <c r="Q339" s="463"/>
      <c r="R339" s="463"/>
      <c r="S339" s="463"/>
      <c r="T339" s="463"/>
      <c r="U339" s="463"/>
      <c r="V339" s="463"/>
      <c r="W339" s="463"/>
      <c r="X339" s="463"/>
      <c r="Y339" s="463"/>
      <c r="Z339" s="463"/>
    </row>
    <row r="340" spans="1:26" ht="15.75" customHeight="1" x14ac:dyDescent="0.3">
      <c r="A340" s="463"/>
      <c r="B340" s="463"/>
      <c r="C340" s="463"/>
      <c r="D340" s="463"/>
      <c r="E340" s="463"/>
      <c r="F340" s="463"/>
      <c r="G340" s="463"/>
      <c r="H340" s="463"/>
      <c r="I340" s="463"/>
      <c r="J340" s="463"/>
      <c r="K340" s="463"/>
      <c r="L340" s="463"/>
      <c r="M340" s="463"/>
      <c r="N340" s="463"/>
      <c r="O340" s="463"/>
      <c r="P340" s="463"/>
      <c r="Q340" s="463"/>
      <c r="R340" s="463"/>
      <c r="S340" s="463"/>
      <c r="T340" s="463"/>
      <c r="U340" s="463"/>
      <c r="V340" s="463"/>
      <c r="W340" s="463"/>
      <c r="X340" s="463"/>
      <c r="Y340" s="463"/>
      <c r="Z340" s="463"/>
    </row>
    <row r="341" spans="1:26" ht="15.75" customHeight="1" x14ac:dyDescent="0.3">
      <c r="A341" s="463"/>
      <c r="B341" s="463"/>
      <c r="C341" s="463"/>
      <c r="D341" s="463"/>
      <c r="E341" s="463"/>
      <c r="F341" s="463"/>
      <c r="G341" s="463"/>
      <c r="H341" s="463"/>
      <c r="I341" s="463"/>
      <c r="J341" s="463"/>
      <c r="K341" s="463"/>
      <c r="L341" s="463"/>
      <c r="M341" s="463"/>
      <c r="N341" s="463"/>
      <c r="O341" s="463"/>
      <c r="P341" s="463"/>
      <c r="Q341" s="463"/>
      <c r="R341" s="463"/>
      <c r="S341" s="463"/>
      <c r="T341" s="463"/>
      <c r="U341" s="463"/>
      <c r="V341" s="463"/>
      <c r="W341" s="463"/>
      <c r="X341" s="463"/>
      <c r="Y341" s="463"/>
      <c r="Z341" s="463"/>
    </row>
    <row r="342" spans="1:26" ht="15.75" customHeight="1" x14ac:dyDescent="0.3">
      <c r="A342" s="463"/>
      <c r="B342" s="463"/>
      <c r="C342" s="463"/>
      <c r="D342" s="463"/>
      <c r="E342" s="463"/>
      <c r="F342" s="463"/>
      <c r="G342" s="463"/>
      <c r="H342" s="463"/>
      <c r="I342" s="463"/>
      <c r="J342" s="463"/>
      <c r="K342" s="463"/>
      <c r="L342" s="463"/>
      <c r="M342" s="463"/>
      <c r="N342" s="463"/>
      <c r="O342" s="463"/>
      <c r="P342" s="463"/>
      <c r="Q342" s="463"/>
      <c r="R342" s="463"/>
      <c r="S342" s="463"/>
      <c r="T342" s="463"/>
      <c r="U342" s="463"/>
      <c r="V342" s="463"/>
      <c r="W342" s="463"/>
      <c r="X342" s="463"/>
      <c r="Y342" s="463"/>
      <c r="Z342" s="463"/>
    </row>
    <row r="343" spans="1:26" ht="15.75" customHeight="1" x14ac:dyDescent="0.3">
      <c r="A343" s="463"/>
      <c r="B343" s="463"/>
      <c r="C343" s="463"/>
      <c r="D343" s="463"/>
      <c r="E343" s="463"/>
      <c r="F343" s="463"/>
      <c r="G343" s="463"/>
      <c r="H343" s="463"/>
      <c r="I343" s="463"/>
      <c r="J343" s="463"/>
      <c r="K343" s="463"/>
      <c r="L343" s="463"/>
      <c r="M343" s="463"/>
      <c r="N343" s="463"/>
      <c r="O343" s="463"/>
      <c r="P343" s="463"/>
      <c r="Q343" s="463"/>
      <c r="R343" s="463"/>
      <c r="S343" s="463"/>
      <c r="T343" s="463"/>
      <c r="U343" s="463"/>
      <c r="V343" s="463"/>
      <c r="W343" s="463"/>
      <c r="X343" s="463"/>
      <c r="Y343" s="463"/>
      <c r="Z343" s="463"/>
    </row>
    <row r="344" spans="1:26" ht="15.75" customHeight="1" x14ac:dyDescent="0.3">
      <c r="A344" s="463"/>
      <c r="B344" s="463"/>
      <c r="C344" s="463"/>
      <c r="D344" s="463"/>
      <c r="E344" s="463"/>
      <c r="F344" s="463"/>
      <c r="G344" s="463"/>
      <c r="H344" s="463"/>
      <c r="I344" s="463"/>
      <c r="J344" s="463"/>
      <c r="K344" s="463"/>
      <c r="L344" s="463"/>
      <c r="M344" s="463"/>
      <c r="N344" s="463"/>
      <c r="O344" s="463"/>
      <c r="P344" s="463"/>
      <c r="Q344" s="463"/>
      <c r="R344" s="463"/>
      <c r="S344" s="463"/>
      <c r="T344" s="463"/>
      <c r="U344" s="463"/>
      <c r="V344" s="463"/>
      <c r="W344" s="463"/>
      <c r="X344" s="463"/>
      <c r="Y344" s="463"/>
      <c r="Z344" s="463"/>
    </row>
    <row r="345" spans="1:26" ht="15.75" customHeight="1" x14ac:dyDescent="0.3">
      <c r="A345" s="463"/>
      <c r="B345" s="463"/>
      <c r="C345" s="463"/>
      <c r="D345" s="463"/>
      <c r="E345" s="463"/>
      <c r="F345" s="463"/>
      <c r="G345" s="463"/>
      <c r="H345" s="463"/>
      <c r="I345" s="463"/>
      <c r="J345" s="463"/>
      <c r="K345" s="463"/>
      <c r="L345" s="463"/>
      <c r="M345" s="463"/>
      <c r="N345" s="463"/>
      <c r="O345" s="463"/>
      <c r="P345" s="463"/>
      <c r="Q345" s="463"/>
      <c r="R345" s="463"/>
      <c r="S345" s="463"/>
      <c r="T345" s="463"/>
      <c r="U345" s="463"/>
      <c r="V345" s="463"/>
      <c r="W345" s="463"/>
      <c r="X345" s="463"/>
      <c r="Y345" s="463"/>
      <c r="Z345" s="463"/>
    </row>
    <row r="346" spans="1:26" ht="15.75" customHeight="1" x14ac:dyDescent="0.3">
      <c r="A346" s="463"/>
      <c r="B346" s="463"/>
      <c r="C346" s="463"/>
      <c r="D346" s="463"/>
      <c r="E346" s="463"/>
      <c r="F346" s="463"/>
      <c r="G346" s="463"/>
      <c r="H346" s="463"/>
      <c r="I346" s="463"/>
      <c r="J346" s="463"/>
      <c r="K346" s="463"/>
      <c r="L346" s="463"/>
      <c r="M346" s="463"/>
      <c r="N346" s="463"/>
      <c r="O346" s="463"/>
      <c r="P346" s="463"/>
      <c r="Q346" s="463"/>
      <c r="R346" s="463"/>
      <c r="S346" s="463"/>
      <c r="T346" s="463"/>
      <c r="U346" s="463"/>
      <c r="V346" s="463"/>
      <c r="W346" s="463"/>
      <c r="X346" s="463"/>
      <c r="Y346" s="463"/>
      <c r="Z346" s="463"/>
    </row>
    <row r="347" spans="1:26" ht="15.75" customHeight="1" x14ac:dyDescent="0.3">
      <c r="A347" s="463"/>
      <c r="B347" s="463"/>
      <c r="C347" s="463"/>
      <c r="D347" s="463"/>
      <c r="E347" s="463"/>
      <c r="F347" s="463"/>
      <c r="G347" s="463"/>
      <c r="H347" s="463"/>
      <c r="I347" s="463"/>
      <c r="J347" s="463"/>
      <c r="K347" s="463"/>
      <c r="L347" s="463"/>
      <c r="M347" s="463"/>
      <c r="N347" s="463"/>
      <c r="O347" s="463"/>
      <c r="P347" s="463"/>
      <c r="Q347" s="463"/>
      <c r="R347" s="463"/>
      <c r="S347" s="463"/>
      <c r="T347" s="463"/>
      <c r="U347" s="463"/>
      <c r="V347" s="463"/>
      <c r="W347" s="463"/>
      <c r="X347" s="463"/>
      <c r="Y347" s="463"/>
      <c r="Z347" s="463"/>
    </row>
    <row r="348" spans="1:26" ht="15.75" customHeight="1" x14ac:dyDescent="0.3">
      <c r="A348" s="463"/>
      <c r="B348" s="463"/>
      <c r="C348" s="463"/>
      <c r="D348" s="463"/>
      <c r="E348" s="463"/>
      <c r="F348" s="463"/>
      <c r="G348" s="463"/>
      <c r="H348" s="463"/>
      <c r="I348" s="463"/>
      <c r="J348" s="463"/>
      <c r="K348" s="463"/>
      <c r="L348" s="463"/>
      <c r="M348" s="463"/>
      <c r="N348" s="463"/>
      <c r="O348" s="463"/>
      <c r="P348" s="463"/>
      <c r="Q348" s="463"/>
      <c r="R348" s="463"/>
      <c r="S348" s="463"/>
      <c r="T348" s="463"/>
      <c r="U348" s="463"/>
      <c r="V348" s="463"/>
      <c r="W348" s="463"/>
      <c r="X348" s="463"/>
      <c r="Y348" s="463"/>
      <c r="Z348" s="463"/>
    </row>
    <row r="349" spans="1:26" ht="15.75" customHeight="1" x14ac:dyDescent="0.3">
      <c r="A349" s="463"/>
      <c r="B349" s="463"/>
      <c r="C349" s="463"/>
      <c r="D349" s="463"/>
      <c r="E349" s="463"/>
      <c r="F349" s="463"/>
      <c r="G349" s="463"/>
      <c r="H349" s="463"/>
      <c r="I349" s="463"/>
      <c r="J349" s="463"/>
      <c r="K349" s="463"/>
      <c r="L349" s="463"/>
      <c r="M349" s="463"/>
      <c r="N349" s="463"/>
      <c r="O349" s="463"/>
      <c r="P349" s="463"/>
      <c r="Q349" s="463"/>
      <c r="R349" s="463"/>
      <c r="S349" s="463"/>
      <c r="T349" s="463"/>
      <c r="U349" s="463"/>
      <c r="V349" s="463"/>
      <c r="W349" s="463"/>
      <c r="X349" s="463"/>
      <c r="Y349" s="463"/>
      <c r="Z349" s="463"/>
    </row>
    <row r="350" spans="1:26" ht="15.75" customHeight="1" x14ac:dyDescent="0.3">
      <c r="A350" s="463"/>
      <c r="B350" s="463"/>
      <c r="C350" s="463"/>
      <c r="D350" s="463"/>
      <c r="E350" s="463"/>
      <c r="F350" s="463"/>
      <c r="G350" s="463"/>
      <c r="H350" s="463"/>
      <c r="I350" s="463"/>
      <c r="J350" s="463"/>
      <c r="K350" s="463"/>
      <c r="L350" s="463"/>
      <c r="M350" s="463"/>
      <c r="N350" s="463"/>
      <c r="O350" s="463"/>
      <c r="P350" s="463"/>
      <c r="Q350" s="463"/>
      <c r="R350" s="463"/>
      <c r="S350" s="463"/>
      <c r="T350" s="463"/>
      <c r="U350" s="463"/>
      <c r="V350" s="463"/>
      <c r="W350" s="463"/>
      <c r="X350" s="463"/>
      <c r="Y350" s="463"/>
      <c r="Z350" s="463"/>
    </row>
    <row r="351" spans="1:26" ht="15.75" customHeight="1" x14ac:dyDescent="0.3">
      <c r="A351" s="463"/>
      <c r="B351" s="463"/>
      <c r="C351" s="463"/>
      <c r="D351" s="463"/>
      <c r="E351" s="463"/>
      <c r="F351" s="463"/>
      <c r="G351" s="463"/>
      <c r="H351" s="463"/>
      <c r="I351" s="463"/>
      <c r="J351" s="463"/>
      <c r="K351" s="463"/>
      <c r="L351" s="463"/>
      <c r="M351" s="463"/>
      <c r="N351" s="463"/>
      <c r="O351" s="463"/>
      <c r="P351" s="463"/>
      <c r="Q351" s="463"/>
      <c r="R351" s="463"/>
      <c r="S351" s="463"/>
      <c r="T351" s="463"/>
      <c r="U351" s="463"/>
      <c r="V351" s="463"/>
      <c r="W351" s="463"/>
      <c r="X351" s="463"/>
      <c r="Y351" s="463"/>
      <c r="Z351" s="463"/>
    </row>
    <row r="352" spans="1:26" ht="15.75" customHeight="1" x14ac:dyDescent="0.3">
      <c r="A352" s="463"/>
      <c r="B352" s="463"/>
      <c r="C352" s="463"/>
      <c r="D352" s="463"/>
      <c r="E352" s="463"/>
      <c r="F352" s="463"/>
      <c r="G352" s="463"/>
      <c r="H352" s="463"/>
      <c r="I352" s="463"/>
      <c r="J352" s="463"/>
      <c r="K352" s="463"/>
      <c r="L352" s="463"/>
      <c r="M352" s="463"/>
      <c r="N352" s="463"/>
      <c r="O352" s="463"/>
      <c r="P352" s="463"/>
      <c r="Q352" s="463"/>
      <c r="R352" s="463"/>
      <c r="S352" s="463"/>
      <c r="T352" s="463"/>
      <c r="U352" s="463"/>
      <c r="V352" s="463"/>
      <c r="W352" s="463"/>
      <c r="X352" s="463"/>
      <c r="Y352" s="463"/>
      <c r="Z352" s="463"/>
    </row>
    <row r="353" spans="1:26" ht="15.75" customHeight="1" x14ac:dyDescent="0.3">
      <c r="A353" s="463"/>
      <c r="B353" s="463"/>
      <c r="C353" s="463"/>
      <c r="D353" s="463"/>
      <c r="E353" s="463"/>
      <c r="F353" s="463"/>
      <c r="G353" s="463"/>
      <c r="H353" s="463"/>
      <c r="I353" s="463"/>
      <c r="J353" s="463"/>
      <c r="K353" s="463"/>
      <c r="L353" s="463"/>
      <c r="M353" s="463"/>
      <c r="N353" s="463"/>
      <c r="O353" s="463"/>
      <c r="P353" s="463"/>
      <c r="Q353" s="463"/>
      <c r="R353" s="463"/>
      <c r="S353" s="463"/>
      <c r="T353" s="463"/>
      <c r="U353" s="463"/>
      <c r="V353" s="463"/>
      <c r="W353" s="463"/>
      <c r="X353" s="463"/>
      <c r="Y353" s="463"/>
      <c r="Z353" s="463"/>
    </row>
    <row r="354" spans="1:26" ht="15.75" customHeight="1" x14ac:dyDescent="0.3">
      <c r="A354" s="463"/>
      <c r="B354" s="463"/>
      <c r="C354" s="463"/>
      <c r="D354" s="463"/>
      <c r="E354" s="463"/>
      <c r="F354" s="463"/>
      <c r="G354" s="463"/>
      <c r="H354" s="463"/>
      <c r="I354" s="463"/>
      <c r="J354" s="463"/>
      <c r="K354" s="463"/>
      <c r="L354" s="463"/>
      <c r="M354" s="463"/>
      <c r="N354" s="463"/>
      <c r="O354" s="463"/>
      <c r="P354" s="463"/>
      <c r="Q354" s="463"/>
      <c r="R354" s="463"/>
      <c r="S354" s="463"/>
      <c r="T354" s="463"/>
      <c r="U354" s="463"/>
      <c r="V354" s="463"/>
      <c r="W354" s="463"/>
      <c r="X354" s="463"/>
      <c r="Y354" s="463"/>
      <c r="Z354" s="463"/>
    </row>
    <row r="355" spans="1:26" ht="15.75" customHeight="1" x14ac:dyDescent="0.3">
      <c r="A355" s="463"/>
      <c r="B355" s="463"/>
      <c r="C355" s="463"/>
      <c r="D355" s="463"/>
      <c r="E355" s="463"/>
      <c r="F355" s="463"/>
      <c r="G355" s="463"/>
      <c r="H355" s="463"/>
      <c r="I355" s="463"/>
      <c r="J355" s="463"/>
      <c r="K355" s="463"/>
      <c r="L355" s="463"/>
      <c r="M355" s="463"/>
      <c r="N355" s="463"/>
      <c r="O355" s="463"/>
      <c r="P355" s="463"/>
      <c r="Q355" s="463"/>
      <c r="R355" s="463"/>
      <c r="S355" s="463"/>
      <c r="T355" s="463"/>
      <c r="U355" s="463"/>
      <c r="V355" s="463"/>
      <c r="W355" s="463"/>
      <c r="X355" s="463"/>
      <c r="Y355" s="463"/>
      <c r="Z355" s="463"/>
    </row>
    <row r="356" spans="1:26" ht="15.75" customHeight="1" x14ac:dyDescent="0.3">
      <c r="A356" s="463"/>
      <c r="B356" s="463"/>
      <c r="C356" s="463"/>
      <c r="D356" s="463"/>
      <c r="E356" s="463"/>
      <c r="F356" s="463"/>
      <c r="G356" s="463"/>
      <c r="H356" s="463"/>
      <c r="I356" s="463"/>
      <c r="J356" s="463"/>
      <c r="K356" s="463"/>
      <c r="L356" s="463"/>
      <c r="M356" s="463"/>
      <c r="N356" s="463"/>
      <c r="O356" s="463"/>
      <c r="P356" s="463"/>
      <c r="Q356" s="463"/>
      <c r="R356" s="463"/>
      <c r="S356" s="463"/>
      <c r="T356" s="463"/>
      <c r="U356" s="463"/>
      <c r="V356" s="463"/>
      <c r="W356" s="463"/>
      <c r="X356" s="463"/>
      <c r="Y356" s="463"/>
      <c r="Z356" s="463"/>
    </row>
    <row r="357" spans="1:26" ht="15.75" customHeight="1" x14ac:dyDescent="0.3">
      <c r="A357" s="463"/>
      <c r="B357" s="463"/>
      <c r="C357" s="463"/>
      <c r="D357" s="463"/>
      <c r="E357" s="463"/>
      <c r="F357" s="463"/>
      <c r="G357" s="463"/>
      <c r="H357" s="463"/>
      <c r="I357" s="463"/>
      <c r="J357" s="463"/>
      <c r="K357" s="463"/>
      <c r="L357" s="463"/>
      <c r="M357" s="463"/>
      <c r="N357" s="463"/>
      <c r="O357" s="463"/>
      <c r="P357" s="463"/>
      <c r="Q357" s="463"/>
      <c r="R357" s="463"/>
      <c r="S357" s="463"/>
      <c r="T357" s="463"/>
      <c r="U357" s="463"/>
      <c r="V357" s="463"/>
      <c r="W357" s="463"/>
      <c r="X357" s="463"/>
      <c r="Y357" s="463"/>
      <c r="Z357" s="463"/>
    </row>
    <row r="358" spans="1:26" ht="15.75" customHeight="1" x14ac:dyDescent="0.3">
      <c r="A358" s="463"/>
      <c r="B358" s="463"/>
      <c r="C358" s="463"/>
      <c r="D358" s="463"/>
      <c r="E358" s="463"/>
      <c r="F358" s="463"/>
      <c r="G358" s="463"/>
      <c r="H358" s="463"/>
      <c r="I358" s="463"/>
      <c r="J358" s="463"/>
      <c r="K358" s="463"/>
      <c r="L358" s="463"/>
      <c r="M358" s="463"/>
      <c r="N358" s="463"/>
      <c r="O358" s="463"/>
      <c r="P358" s="463"/>
      <c r="Q358" s="463"/>
      <c r="R358" s="463"/>
      <c r="S358" s="463"/>
      <c r="T358" s="463"/>
      <c r="U358" s="463"/>
      <c r="V358" s="463"/>
      <c r="W358" s="463"/>
      <c r="X358" s="463"/>
      <c r="Y358" s="463"/>
      <c r="Z358" s="463"/>
    </row>
    <row r="359" spans="1:26" ht="15.75" customHeight="1" x14ac:dyDescent="0.3">
      <c r="A359" s="463"/>
      <c r="B359" s="463"/>
      <c r="C359" s="463"/>
      <c r="D359" s="463"/>
      <c r="E359" s="463"/>
      <c r="F359" s="463"/>
      <c r="G359" s="463"/>
      <c r="H359" s="463"/>
      <c r="I359" s="463"/>
      <c r="J359" s="463"/>
      <c r="K359" s="463"/>
      <c r="L359" s="463"/>
      <c r="M359" s="463"/>
      <c r="N359" s="463"/>
      <c r="O359" s="463"/>
      <c r="P359" s="463"/>
      <c r="Q359" s="463"/>
      <c r="R359" s="463"/>
      <c r="S359" s="463"/>
      <c r="T359" s="463"/>
      <c r="U359" s="463"/>
      <c r="V359" s="463"/>
      <c r="W359" s="463"/>
      <c r="X359" s="463"/>
      <c r="Y359" s="463"/>
      <c r="Z359" s="463"/>
    </row>
    <row r="360" spans="1:26" ht="15.75" customHeight="1" x14ac:dyDescent="0.3">
      <c r="A360" s="463"/>
      <c r="B360" s="463"/>
      <c r="C360" s="463"/>
      <c r="D360" s="463"/>
      <c r="E360" s="463"/>
      <c r="F360" s="463"/>
      <c r="G360" s="463"/>
      <c r="H360" s="463"/>
      <c r="I360" s="463"/>
      <c r="J360" s="463"/>
      <c r="K360" s="463"/>
      <c r="L360" s="463"/>
      <c r="M360" s="463"/>
      <c r="N360" s="463"/>
      <c r="O360" s="463"/>
      <c r="P360" s="463"/>
      <c r="Q360" s="463"/>
      <c r="R360" s="463"/>
      <c r="S360" s="463"/>
      <c r="T360" s="463"/>
      <c r="U360" s="463"/>
      <c r="V360" s="463"/>
      <c r="W360" s="463"/>
      <c r="X360" s="463"/>
      <c r="Y360" s="463"/>
      <c r="Z360" s="463"/>
    </row>
    <row r="361" spans="1:26" ht="15.75" customHeight="1" x14ac:dyDescent="0.3">
      <c r="A361" s="463"/>
      <c r="B361" s="463"/>
      <c r="C361" s="463"/>
      <c r="D361" s="463"/>
      <c r="E361" s="463"/>
      <c r="F361" s="463"/>
      <c r="G361" s="463"/>
      <c r="H361" s="463"/>
      <c r="I361" s="463"/>
      <c r="J361" s="463"/>
      <c r="K361" s="463"/>
      <c r="L361" s="463"/>
      <c r="M361" s="463"/>
      <c r="N361" s="463"/>
      <c r="O361" s="463"/>
      <c r="P361" s="463"/>
      <c r="Q361" s="463"/>
      <c r="R361" s="463"/>
      <c r="S361" s="463"/>
      <c r="T361" s="463"/>
      <c r="U361" s="463"/>
      <c r="V361" s="463"/>
      <c r="W361" s="463"/>
      <c r="X361" s="463"/>
      <c r="Y361" s="463"/>
      <c r="Z361" s="463"/>
    </row>
    <row r="362" spans="1:26" ht="15.75" customHeight="1" x14ac:dyDescent="0.3">
      <c r="A362" s="463"/>
      <c r="B362" s="463"/>
      <c r="C362" s="463"/>
      <c r="D362" s="463"/>
      <c r="E362" s="463"/>
      <c r="F362" s="463"/>
      <c r="G362" s="463"/>
      <c r="H362" s="463"/>
      <c r="I362" s="463"/>
      <c r="J362" s="463"/>
      <c r="K362" s="463"/>
      <c r="L362" s="463"/>
      <c r="M362" s="463"/>
      <c r="N362" s="463"/>
      <c r="O362" s="463"/>
      <c r="P362" s="463"/>
      <c r="Q362" s="463"/>
      <c r="R362" s="463"/>
      <c r="S362" s="463"/>
      <c r="T362" s="463"/>
      <c r="U362" s="463"/>
      <c r="V362" s="463"/>
      <c r="W362" s="463"/>
      <c r="X362" s="463"/>
      <c r="Y362" s="463"/>
      <c r="Z362" s="463"/>
    </row>
    <row r="363" spans="1:26" ht="15.75" customHeight="1" x14ac:dyDescent="0.3">
      <c r="A363" s="463"/>
      <c r="B363" s="463"/>
      <c r="C363" s="463"/>
      <c r="D363" s="463"/>
      <c r="E363" s="463"/>
      <c r="F363" s="463"/>
      <c r="G363" s="463"/>
      <c r="H363" s="463"/>
      <c r="I363" s="463"/>
      <c r="J363" s="463"/>
      <c r="K363" s="463"/>
      <c r="L363" s="463"/>
      <c r="M363" s="463"/>
      <c r="N363" s="463"/>
      <c r="O363" s="463"/>
      <c r="P363" s="463"/>
      <c r="Q363" s="463"/>
      <c r="R363" s="463"/>
      <c r="S363" s="463"/>
      <c r="T363" s="463"/>
      <c r="U363" s="463"/>
      <c r="V363" s="463"/>
      <c r="W363" s="463"/>
      <c r="X363" s="463"/>
      <c r="Y363" s="463"/>
      <c r="Z363" s="463"/>
    </row>
    <row r="364" spans="1:26" ht="15.75" customHeight="1" x14ac:dyDescent="0.3">
      <c r="A364" s="463"/>
      <c r="B364" s="463"/>
      <c r="C364" s="463"/>
      <c r="D364" s="463"/>
      <c r="E364" s="463"/>
      <c r="F364" s="463"/>
      <c r="G364" s="463"/>
      <c r="H364" s="463"/>
      <c r="I364" s="463"/>
      <c r="J364" s="463"/>
      <c r="K364" s="463"/>
      <c r="L364" s="463"/>
      <c r="M364" s="463"/>
      <c r="N364" s="463"/>
      <c r="O364" s="463"/>
      <c r="P364" s="463"/>
      <c r="Q364" s="463"/>
      <c r="R364" s="463"/>
      <c r="S364" s="463"/>
      <c r="T364" s="463"/>
      <c r="U364" s="463"/>
      <c r="V364" s="463"/>
      <c r="W364" s="463"/>
      <c r="X364" s="463"/>
      <c r="Y364" s="463"/>
      <c r="Z364" s="463"/>
    </row>
    <row r="365" spans="1:26" ht="15.75" customHeight="1" x14ac:dyDescent="0.3">
      <c r="A365" s="463"/>
      <c r="B365" s="463"/>
      <c r="C365" s="463"/>
      <c r="D365" s="463"/>
      <c r="E365" s="463"/>
      <c r="F365" s="463"/>
      <c r="G365" s="463"/>
      <c r="H365" s="463"/>
      <c r="I365" s="463"/>
      <c r="J365" s="463"/>
      <c r="K365" s="463"/>
      <c r="L365" s="463"/>
      <c r="M365" s="463"/>
      <c r="N365" s="463"/>
      <c r="O365" s="463"/>
      <c r="P365" s="463"/>
      <c r="Q365" s="463"/>
      <c r="R365" s="463"/>
      <c r="S365" s="463"/>
      <c r="T365" s="463"/>
      <c r="U365" s="463"/>
      <c r="V365" s="463"/>
      <c r="W365" s="463"/>
      <c r="X365" s="463"/>
      <c r="Y365" s="463"/>
      <c r="Z365" s="463"/>
    </row>
    <row r="366" spans="1:26" ht="15.75" customHeight="1" x14ac:dyDescent="0.3">
      <c r="A366" s="463"/>
      <c r="B366" s="463"/>
      <c r="C366" s="463"/>
      <c r="D366" s="463"/>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row>
    <row r="367" spans="1:26" ht="15.75" customHeight="1" x14ac:dyDescent="0.3">
      <c r="A367" s="463"/>
      <c r="B367" s="463"/>
      <c r="C367" s="463"/>
      <c r="D367" s="463"/>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row>
    <row r="368" spans="1:26" ht="15.75" customHeight="1" x14ac:dyDescent="0.3">
      <c r="A368" s="463"/>
      <c r="B368" s="463"/>
      <c r="C368" s="463"/>
      <c r="D368" s="463"/>
      <c r="E368" s="463"/>
      <c r="F368" s="463"/>
      <c r="G368" s="463"/>
      <c r="H368" s="463"/>
      <c r="I368" s="463"/>
      <c r="J368" s="463"/>
      <c r="K368" s="463"/>
      <c r="L368" s="463"/>
      <c r="M368" s="463"/>
      <c r="N368" s="463"/>
      <c r="O368" s="463"/>
      <c r="P368" s="463"/>
      <c r="Q368" s="463"/>
      <c r="R368" s="463"/>
      <c r="S368" s="463"/>
      <c r="T368" s="463"/>
      <c r="U368" s="463"/>
      <c r="V368" s="463"/>
      <c r="W368" s="463"/>
      <c r="X368" s="463"/>
      <c r="Y368" s="463"/>
      <c r="Z368" s="463"/>
    </row>
    <row r="369" spans="1:26" ht="15.75" customHeight="1" x14ac:dyDescent="0.3">
      <c r="A369" s="463"/>
      <c r="B369" s="463"/>
      <c r="C369" s="463"/>
      <c r="D369" s="463"/>
      <c r="E369" s="463"/>
      <c r="F369" s="463"/>
      <c r="G369" s="463"/>
      <c r="H369" s="463"/>
      <c r="I369" s="463"/>
      <c r="J369" s="463"/>
      <c r="K369" s="463"/>
      <c r="L369" s="463"/>
      <c r="M369" s="463"/>
      <c r="N369" s="463"/>
      <c r="O369" s="463"/>
      <c r="P369" s="463"/>
      <c r="Q369" s="463"/>
      <c r="R369" s="463"/>
      <c r="S369" s="463"/>
      <c r="T369" s="463"/>
      <c r="U369" s="463"/>
      <c r="V369" s="463"/>
      <c r="W369" s="463"/>
      <c r="X369" s="463"/>
      <c r="Y369" s="463"/>
      <c r="Z369" s="463"/>
    </row>
    <row r="370" spans="1:26" ht="15.75" customHeight="1" x14ac:dyDescent="0.3">
      <c r="A370" s="463"/>
      <c r="B370" s="463"/>
      <c r="C370" s="463"/>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row>
    <row r="371" spans="1:26" ht="15.75" customHeight="1" x14ac:dyDescent="0.3">
      <c r="A371" s="463"/>
      <c r="B371" s="463"/>
      <c r="C371" s="463"/>
      <c r="D371" s="463"/>
      <c r="E371" s="463"/>
      <c r="F371" s="463"/>
      <c r="G371" s="463"/>
      <c r="H371" s="463"/>
      <c r="I371" s="463"/>
      <c r="J371" s="463"/>
      <c r="K371" s="463"/>
      <c r="L371" s="463"/>
      <c r="M371" s="463"/>
      <c r="N371" s="463"/>
      <c r="O371" s="463"/>
      <c r="P371" s="463"/>
      <c r="Q371" s="463"/>
      <c r="R371" s="463"/>
      <c r="S371" s="463"/>
      <c r="T371" s="463"/>
      <c r="U371" s="463"/>
      <c r="V371" s="463"/>
      <c r="W371" s="463"/>
      <c r="X371" s="463"/>
      <c r="Y371" s="463"/>
      <c r="Z371" s="463"/>
    </row>
    <row r="372" spans="1:26" ht="15.75" customHeight="1" x14ac:dyDescent="0.3">
      <c r="A372" s="463"/>
      <c r="B372" s="463"/>
      <c r="C372" s="463"/>
      <c r="D372" s="463"/>
      <c r="E372" s="463"/>
      <c r="F372" s="463"/>
      <c r="G372" s="463"/>
      <c r="H372" s="463"/>
      <c r="I372" s="463"/>
      <c r="J372" s="463"/>
      <c r="K372" s="463"/>
      <c r="L372" s="463"/>
      <c r="M372" s="463"/>
      <c r="N372" s="463"/>
      <c r="O372" s="463"/>
      <c r="P372" s="463"/>
      <c r="Q372" s="463"/>
      <c r="R372" s="463"/>
      <c r="S372" s="463"/>
      <c r="T372" s="463"/>
      <c r="U372" s="463"/>
      <c r="V372" s="463"/>
      <c r="W372" s="463"/>
      <c r="X372" s="463"/>
      <c r="Y372" s="463"/>
      <c r="Z372" s="463"/>
    </row>
    <row r="373" spans="1:26" ht="15.75" customHeight="1" x14ac:dyDescent="0.3">
      <c r="A373" s="463"/>
      <c r="B373" s="463"/>
      <c r="C373" s="463"/>
      <c r="D373" s="463"/>
      <c r="E373" s="463"/>
      <c r="F373" s="463"/>
      <c r="G373" s="463"/>
      <c r="H373" s="463"/>
      <c r="I373" s="463"/>
      <c r="J373" s="463"/>
      <c r="K373" s="463"/>
      <c r="L373" s="463"/>
      <c r="M373" s="463"/>
      <c r="N373" s="463"/>
      <c r="O373" s="463"/>
      <c r="P373" s="463"/>
      <c r="Q373" s="463"/>
      <c r="R373" s="463"/>
      <c r="S373" s="463"/>
      <c r="T373" s="463"/>
      <c r="U373" s="463"/>
      <c r="V373" s="463"/>
      <c r="W373" s="463"/>
      <c r="X373" s="463"/>
      <c r="Y373" s="463"/>
      <c r="Z373" s="463"/>
    </row>
    <row r="374" spans="1:26" ht="15.75" customHeight="1" x14ac:dyDescent="0.3">
      <c r="A374" s="463"/>
      <c r="B374" s="463"/>
      <c r="C374" s="463"/>
      <c r="D374" s="463"/>
      <c r="E374" s="463"/>
      <c r="F374" s="463"/>
      <c r="G374" s="463"/>
      <c r="H374" s="463"/>
      <c r="I374" s="463"/>
      <c r="J374" s="463"/>
      <c r="K374" s="463"/>
      <c r="L374" s="463"/>
      <c r="M374" s="463"/>
      <c r="N374" s="463"/>
      <c r="O374" s="463"/>
      <c r="P374" s="463"/>
      <c r="Q374" s="463"/>
      <c r="R374" s="463"/>
      <c r="S374" s="463"/>
      <c r="T374" s="463"/>
      <c r="U374" s="463"/>
      <c r="V374" s="463"/>
      <c r="W374" s="463"/>
      <c r="X374" s="463"/>
      <c r="Y374" s="463"/>
      <c r="Z374" s="463"/>
    </row>
    <row r="375" spans="1:26" ht="15.75" customHeight="1" x14ac:dyDescent="0.3">
      <c r="A375" s="463"/>
      <c r="B375" s="463"/>
      <c r="C375" s="463"/>
      <c r="D375" s="463"/>
      <c r="E375" s="463"/>
      <c r="F375" s="463"/>
      <c r="G375" s="463"/>
      <c r="H375" s="463"/>
      <c r="I375" s="463"/>
      <c r="J375" s="463"/>
      <c r="K375" s="463"/>
      <c r="L375" s="463"/>
      <c r="M375" s="463"/>
      <c r="N375" s="463"/>
      <c r="O375" s="463"/>
      <c r="P375" s="463"/>
      <c r="Q375" s="463"/>
      <c r="R375" s="463"/>
      <c r="S375" s="463"/>
      <c r="T375" s="463"/>
      <c r="U375" s="463"/>
      <c r="V375" s="463"/>
      <c r="W375" s="463"/>
      <c r="X375" s="463"/>
      <c r="Y375" s="463"/>
      <c r="Z375" s="463"/>
    </row>
    <row r="376" spans="1:26" ht="15.75" customHeight="1" x14ac:dyDescent="0.3">
      <c r="A376" s="463"/>
      <c r="B376" s="463"/>
      <c r="C376" s="463"/>
      <c r="D376" s="463"/>
      <c r="E376" s="463"/>
      <c r="F376" s="463"/>
      <c r="G376" s="463"/>
      <c r="H376" s="463"/>
      <c r="I376" s="463"/>
      <c r="J376" s="463"/>
      <c r="K376" s="463"/>
      <c r="L376" s="463"/>
      <c r="M376" s="463"/>
      <c r="N376" s="463"/>
      <c r="O376" s="463"/>
      <c r="P376" s="463"/>
      <c r="Q376" s="463"/>
      <c r="R376" s="463"/>
      <c r="S376" s="463"/>
      <c r="T376" s="463"/>
      <c r="U376" s="463"/>
      <c r="V376" s="463"/>
      <c r="W376" s="463"/>
      <c r="X376" s="463"/>
      <c r="Y376" s="463"/>
      <c r="Z376" s="463"/>
    </row>
    <row r="377" spans="1:26" ht="15.75" customHeight="1" x14ac:dyDescent="0.3">
      <c r="A377" s="463"/>
      <c r="B377" s="463"/>
      <c r="C377" s="463"/>
      <c r="D377" s="463"/>
      <c r="E377" s="463"/>
      <c r="F377" s="463"/>
      <c r="G377" s="463"/>
      <c r="H377" s="463"/>
      <c r="I377" s="463"/>
      <c r="J377" s="463"/>
      <c r="K377" s="463"/>
      <c r="L377" s="463"/>
      <c r="M377" s="463"/>
      <c r="N377" s="463"/>
      <c r="O377" s="463"/>
      <c r="P377" s="463"/>
      <c r="Q377" s="463"/>
      <c r="R377" s="463"/>
      <c r="S377" s="463"/>
      <c r="T377" s="463"/>
      <c r="U377" s="463"/>
      <c r="V377" s="463"/>
      <c r="W377" s="463"/>
      <c r="X377" s="463"/>
      <c r="Y377" s="463"/>
      <c r="Z377" s="463"/>
    </row>
    <row r="378" spans="1:26" ht="15.75" customHeight="1" x14ac:dyDescent="0.3">
      <c r="A378" s="463"/>
      <c r="B378" s="463"/>
      <c r="C378" s="463"/>
      <c r="D378" s="463"/>
      <c r="E378" s="463"/>
      <c r="F378" s="463"/>
      <c r="G378" s="463"/>
      <c r="H378" s="463"/>
      <c r="I378" s="463"/>
      <c r="J378" s="463"/>
      <c r="K378" s="463"/>
      <c r="L378" s="463"/>
      <c r="M378" s="463"/>
      <c r="N378" s="463"/>
      <c r="O378" s="463"/>
      <c r="P378" s="463"/>
      <c r="Q378" s="463"/>
      <c r="R378" s="463"/>
      <c r="S378" s="463"/>
      <c r="T378" s="463"/>
      <c r="U378" s="463"/>
      <c r="V378" s="463"/>
      <c r="W378" s="463"/>
      <c r="X378" s="463"/>
      <c r="Y378" s="463"/>
      <c r="Z378" s="463"/>
    </row>
    <row r="379" spans="1:26" ht="15.75" customHeight="1" x14ac:dyDescent="0.3">
      <c r="A379" s="463"/>
      <c r="B379" s="463"/>
      <c r="C379" s="463"/>
      <c r="D379" s="463"/>
      <c r="E379" s="463"/>
      <c r="F379" s="463"/>
      <c r="G379" s="463"/>
      <c r="H379" s="463"/>
      <c r="I379" s="463"/>
      <c r="J379" s="463"/>
      <c r="K379" s="463"/>
      <c r="L379" s="463"/>
      <c r="M379" s="463"/>
      <c r="N379" s="463"/>
      <c r="O379" s="463"/>
      <c r="P379" s="463"/>
      <c r="Q379" s="463"/>
      <c r="R379" s="463"/>
      <c r="S379" s="463"/>
      <c r="T379" s="463"/>
      <c r="U379" s="463"/>
      <c r="V379" s="463"/>
      <c r="W379" s="463"/>
      <c r="X379" s="463"/>
      <c r="Y379" s="463"/>
      <c r="Z379" s="463"/>
    </row>
    <row r="380" spans="1:26" ht="15.75" customHeight="1" x14ac:dyDescent="0.3">
      <c r="A380" s="463"/>
      <c r="B380" s="463"/>
      <c r="C380" s="463"/>
      <c r="D380" s="463"/>
      <c r="E380" s="463"/>
      <c r="F380" s="463"/>
      <c r="G380" s="463"/>
      <c r="H380" s="463"/>
      <c r="I380" s="463"/>
      <c r="J380" s="463"/>
      <c r="K380" s="463"/>
      <c r="L380" s="463"/>
      <c r="M380" s="463"/>
      <c r="N380" s="463"/>
      <c r="O380" s="463"/>
      <c r="P380" s="463"/>
      <c r="Q380" s="463"/>
      <c r="R380" s="463"/>
      <c r="S380" s="463"/>
      <c r="T380" s="463"/>
      <c r="U380" s="463"/>
      <c r="V380" s="463"/>
      <c r="W380" s="463"/>
      <c r="X380" s="463"/>
      <c r="Y380" s="463"/>
      <c r="Z380" s="463"/>
    </row>
    <row r="381" spans="1:26" ht="15.75" customHeight="1" x14ac:dyDescent="0.3">
      <c r="A381" s="463"/>
      <c r="B381" s="463"/>
      <c r="C381" s="463"/>
      <c r="D381" s="463"/>
      <c r="E381" s="463"/>
      <c r="F381" s="463"/>
      <c r="G381" s="463"/>
      <c r="H381" s="463"/>
      <c r="I381" s="463"/>
      <c r="J381" s="463"/>
      <c r="K381" s="463"/>
      <c r="L381" s="463"/>
      <c r="M381" s="463"/>
      <c r="N381" s="463"/>
      <c r="O381" s="463"/>
      <c r="P381" s="463"/>
      <c r="Q381" s="463"/>
      <c r="R381" s="463"/>
      <c r="S381" s="463"/>
      <c r="T381" s="463"/>
      <c r="U381" s="463"/>
      <c r="V381" s="463"/>
      <c r="W381" s="463"/>
      <c r="X381" s="463"/>
      <c r="Y381" s="463"/>
      <c r="Z381" s="463"/>
    </row>
    <row r="382" spans="1:26" ht="15.75" customHeight="1" x14ac:dyDescent="0.3">
      <c r="A382" s="463"/>
      <c r="B382" s="463"/>
      <c r="C382" s="463"/>
      <c r="D382" s="463"/>
      <c r="E382" s="463"/>
      <c r="F382" s="463"/>
      <c r="G382" s="463"/>
      <c r="H382" s="463"/>
      <c r="I382" s="463"/>
      <c r="J382" s="463"/>
      <c r="K382" s="463"/>
      <c r="L382" s="463"/>
      <c r="M382" s="463"/>
      <c r="N382" s="463"/>
      <c r="O382" s="463"/>
      <c r="P382" s="463"/>
      <c r="Q382" s="463"/>
      <c r="R382" s="463"/>
      <c r="S382" s="463"/>
      <c r="T382" s="463"/>
      <c r="U382" s="463"/>
      <c r="V382" s="463"/>
      <c r="W382" s="463"/>
      <c r="X382" s="463"/>
      <c r="Y382" s="463"/>
      <c r="Z382" s="463"/>
    </row>
    <row r="383" spans="1:26" ht="15.75" customHeight="1" x14ac:dyDescent="0.3">
      <c r="A383" s="463"/>
      <c r="B383" s="463"/>
      <c r="C383" s="463"/>
      <c r="D383" s="463"/>
      <c r="E383" s="463"/>
      <c r="F383" s="463"/>
      <c r="G383" s="463"/>
      <c r="H383" s="463"/>
      <c r="I383" s="463"/>
      <c r="J383" s="463"/>
      <c r="K383" s="463"/>
      <c r="L383" s="463"/>
      <c r="M383" s="463"/>
      <c r="N383" s="463"/>
      <c r="O383" s="463"/>
      <c r="P383" s="463"/>
      <c r="Q383" s="463"/>
      <c r="R383" s="463"/>
      <c r="S383" s="463"/>
      <c r="T383" s="463"/>
      <c r="U383" s="463"/>
      <c r="V383" s="463"/>
      <c r="W383" s="463"/>
      <c r="X383" s="463"/>
      <c r="Y383" s="463"/>
      <c r="Z383" s="463"/>
    </row>
    <row r="384" spans="1:26" ht="15.75" customHeight="1" x14ac:dyDescent="0.3">
      <c r="A384" s="463"/>
      <c r="B384" s="463"/>
      <c r="C384" s="463"/>
      <c r="D384" s="463"/>
      <c r="E384" s="463"/>
      <c r="F384" s="463"/>
      <c r="G384" s="463"/>
      <c r="H384" s="463"/>
      <c r="I384" s="463"/>
      <c r="J384" s="463"/>
      <c r="K384" s="463"/>
      <c r="L384" s="463"/>
      <c r="M384" s="463"/>
      <c r="N384" s="463"/>
      <c r="O384" s="463"/>
      <c r="P384" s="463"/>
      <c r="Q384" s="463"/>
      <c r="R384" s="463"/>
      <c r="S384" s="463"/>
      <c r="T384" s="463"/>
      <c r="U384" s="463"/>
      <c r="V384" s="463"/>
      <c r="W384" s="463"/>
      <c r="X384" s="463"/>
      <c r="Y384" s="463"/>
      <c r="Z384" s="463"/>
    </row>
    <row r="385" spans="1:26" ht="15.75" customHeight="1" x14ac:dyDescent="0.3">
      <c r="A385" s="463"/>
      <c r="B385" s="463"/>
      <c r="C385" s="463"/>
      <c r="D385" s="463"/>
      <c r="E385" s="463"/>
      <c r="F385" s="463"/>
      <c r="G385" s="463"/>
      <c r="H385" s="463"/>
      <c r="I385" s="463"/>
      <c r="J385" s="463"/>
      <c r="K385" s="463"/>
      <c r="L385" s="463"/>
      <c r="M385" s="463"/>
      <c r="N385" s="463"/>
      <c r="O385" s="463"/>
      <c r="P385" s="463"/>
      <c r="Q385" s="463"/>
      <c r="R385" s="463"/>
      <c r="S385" s="463"/>
      <c r="T385" s="463"/>
      <c r="U385" s="463"/>
      <c r="V385" s="463"/>
      <c r="W385" s="463"/>
      <c r="X385" s="463"/>
      <c r="Y385" s="463"/>
      <c r="Z385" s="463"/>
    </row>
    <row r="386" spans="1:26" ht="15.75" customHeight="1" x14ac:dyDescent="0.3">
      <c r="A386" s="463"/>
      <c r="B386" s="463"/>
      <c r="C386" s="463"/>
      <c r="D386" s="463"/>
      <c r="E386" s="463"/>
      <c r="F386" s="463"/>
      <c r="G386" s="463"/>
      <c r="H386" s="463"/>
      <c r="I386" s="463"/>
      <c r="J386" s="463"/>
      <c r="K386" s="463"/>
      <c r="L386" s="463"/>
      <c r="M386" s="463"/>
      <c r="N386" s="463"/>
      <c r="O386" s="463"/>
      <c r="P386" s="463"/>
      <c r="Q386" s="463"/>
      <c r="R386" s="463"/>
      <c r="S386" s="463"/>
      <c r="T386" s="463"/>
      <c r="U386" s="463"/>
      <c r="V386" s="463"/>
      <c r="W386" s="463"/>
      <c r="X386" s="463"/>
      <c r="Y386" s="463"/>
      <c r="Z386" s="463"/>
    </row>
    <row r="387" spans="1:26" ht="15.75" customHeight="1" x14ac:dyDescent="0.3">
      <c r="A387" s="463"/>
      <c r="B387" s="463"/>
      <c r="C387" s="463"/>
      <c r="D387" s="463"/>
      <c r="E387" s="463"/>
      <c r="F387" s="463"/>
      <c r="G387" s="463"/>
      <c r="H387" s="463"/>
      <c r="I387" s="463"/>
      <c r="J387" s="463"/>
      <c r="K387" s="463"/>
      <c r="L387" s="463"/>
      <c r="M387" s="463"/>
      <c r="N387" s="463"/>
      <c r="O387" s="463"/>
      <c r="P387" s="463"/>
      <c r="Q387" s="463"/>
      <c r="R387" s="463"/>
      <c r="S387" s="463"/>
      <c r="T387" s="463"/>
      <c r="U387" s="463"/>
      <c r="V387" s="463"/>
      <c r="W387" s="463"/>
      <c r="X387" s="463"/>
      <c r="Y387" s="463"/>
      <c r="Z387" s="463"/>
    </row>
    <row r="388" spans="1:26" ht="15.75" customHeight="1" x14ac:dyDescent="0.3">
      <c r="A388" s="463"/>
      <c r="B388" s="463"/>
      <c r="C388" s="463"/>
      <c r="D388" s="463"/>
      <c r="E388" s="463"/>
      <c r="F388" s="463"/>
      <c r="G388" s="463"/>
      <c r="H388" s="463"/>
      <c r="I388" s="463"/>
      <c r="J388" s="463"/>
      <c r="K388" s="463"/>
      <c r="L388" s="463"/>
      <c r="M388" s="463"/>
      <c r="N388" s="463"/>
      <c r="O388" s="463"/>
      <c r="P388" s="463"/>
      <c r="Q388" s="463"/>
      <c r="R388" s="463"/>
      <c r="S388" s="463"/>
      <c r="T388" s="463"/>
      <c r="U388" s="463"/>
      <c r="V388" s="463"/>
      <c r="W388" s="463"/>
      <c r="X388" s="463"/>
      <c r="Y388" s="463"/>
      <c r="Z388" s="463"/>
    </row>
    <row r="389" spans="1:26" ht="15.75" customHeight="1" x14ac:dyDescent="0.3">
      <c r="A389" s="463"/>
      <c r="B389" s="463"/>
      <c r="C389" s="463"/>
      <c r="D389" s="463"/>
      <c r="E389" s="463"/>
      <c r="F389" s="463"/>
      <c r="G389" s="463"/>
      <c r="H389" s="463"/>
      <c r="I389" s="463"/>
      <c r="J389" s="463"/>
      <c r="K389" s="463"/>
      <c r="L389" s="463"/>
      <c r="M389" s="463"/>
      <c r="N389" s="463"/>
      <c r="O389" s="463"/>
      <c r="P389" s="463"/>
      <c r="Q389" s="463"/>
      <c r="R389" s="463"/>
      <c r="S389" s="463"/>
      <c r="T389" s="463"/>
      <c r="U389" s="463"/>
      <c r="V389" s="463"/>
      <c r="W389" s="463"/>
      <c r="X389" s="463"/>
      <c r="Y389" s="463"/>
      <c r="Z389" s="463"/>
    </row>
    <row r="390" spans="1:26" ht="15.75" customHeight="1" x14ac:dyDescent="0.3">
      <c r="A390" s="463"/>
      <c r="B390" s="463"/>
      <c r="C390" s="463"/>
      <c r="D390" s="463"/>
      <c r="E390" s="463"/>
      <c r="F390" s="463"/>
      <c r="G390" s="463"/>
      <c r="H390" s="463"/>
      <c r="I390" s="463"/>
      <c r="J390" s="463"/>
      <c r="K390" s="463"/>
      <c r="L390" s="463"/>
      <c r="M390" s="463"/>
      <c r="N390" s="463"/>
      <c r="O390" s="463"/>
      <c r="P390" s="463"/>
      <c r="Q390" s="463"/>
      <c r="R390" s="463"/>
      <c r="S390" s="463"/>
      <c r="T390" s="463"/>
      <c r="U390" s="463"/>
      <c r="V390" s="463"/>
      <c r="W390" s="463"/>
      <c r="X390" s="463"/>
      <c r="Y390" s="463"/>
      <c r="Z390" s="463"/>
    </row>
    <row r="391" spans="1:26" ht="15.75" customHeight="1" x14ac:dyDescent="0.3">
      <c r="A391" s="463"/>
      <c r="B391" s="463"/>
      <c r="C391" s="463"/>
      <c r="D391" s="463"/>
      <c r="E391" s="463"/>
      <c r="F391" s="463"/>
      <c r="G391" s="463"/>
      <c r="H391" s="463"/>
      <c r="I391" s="463"/>
      <c r="J391" s="463"/>
      <c r="K391" s="463"/>
      <c r="L391" s="463"/>
      <c r="M391" s="463"/>
      <c r="N391" s="463"/>
      <c r="O391" s="463"/>
      <c r="P391" s="463"/>
      <c r="Q391" s="463"/>
      <c r="R391" s="463"/>
      <c r="S391" s="463"/>
      <c r="T391" s="463"/>
      <c r="U391" s="463"/>
      <c r="V391" s="463"/>
      <c r="W391" s="463"/>
      <c r="X391" s="463"/>
      <c r="Y391" s="463"/>
      <c r="Z391" s="463"/>
    </row>
    <row r="392" spans="1:26" ht="15.75" customHeight="1" x14ac:dyDescent="0.3">
      <c r="A392" s="463"/>
      <c r="B392" s="463"/>
      <c r="C392" s="463"/>
      <c r="D392" s="463"/>
      <c r="E392" s="463"/>
      <c r="F392" s="463"/>
      <c r="G392" s="463"/>
      <c r="H392" s="463"/>
      <c r="I392" s="463"/>
      <c r="J392" s="463"/>
      <c r="K392" s="463"/>
      <c r="L392" s="463"/>
      <c r="M392" s="463"/>
      <c r="N392" s="463"/>
      <c r="O392" s="463"/>
      <c r="P392" s="463"/>
      <c r="Q392" s="463"/>
      <c r="R392" s="463"/>
      <c r="S392" s="463"/>
      <c r="T392" s="463"/>
      <c r="U392" s="463"/>
      <c r="V392" s="463"/>
      <c r="W392" s="463"/>
      <c r="X392" s="463"/>
      <c r="Y392" s="463"/>
      <c r="Z392" s="463"/>
    </row>
    <row r="393" spans="1:26" ht="15.75" customHeight="1" x14ac:dyDescent="0.3">
      <c r="A393" s="463"/>
      <c r="B393" s="463"/>
      <c r="C393" s="463"/>
      <c r="D393" s="463"/>
      <c r="E393" s="463"/>
      <c r="F393" s="463"/>
      <c r="G393" s="463"/>
      <c r="H393" s="463"/>
      <c r="I393" s="463"/>
      <c r="J393" s="463"/>
      <c r="K393" s="463"/>
      <c r="L393" s="463"/>
      <c r="M393" s="463"/>
      <c r="N393" s="463"/>
      <c r="O393" s="463"/>
      <c r="P393" s="463"/>
      <c r="Q393" s="463"/>
      <c r="R393" s="463"/>
      <c r="S393" s="463"/>
      <c r="T393" s="463"/>
      <c r="U393" s="463"/>
      <c r="V393" s="463"/>
      <c r="W393" s="463"/>
      <c r="X393" s="463"/>
      <c r="Y393" s="463"/>
      <c r="Z393" s="463"/>
    </row>
    <row r="394" spans="1:26" ht="15.75" customHeight="1" x14ac:dyDescent="0.3">
      <c r="A394" s="463"/>
      <c r="B394" s="463"/>
      <c r="C394" s="463"/>
      <c r="D394" s="463"/>
      <c r="E394" s="463"/>
      <c r="F394" s="463"/>
      <c r="G394" s="463"/>
      <c r="H394" s="463"/>
      <c r="I394" s="463"/>
      <c r="J394" s="463"/>
      <c r="K394" s="463"/>
      <c r="L394" s="463"/>
      <c r="M394" s="463"/>
      <c r="N394" s="463"/>
      <c r="O394" s="463"/>
      <c r="P394" s="463"/>
      <c r="Q394" s="463"/>
      <c r="R394" s="463"/>
      <c r="S394" s="463"/>
      <c r="T394" s="463"/>
      <c r="U394" s="463"/>
      <c r="V394" s="463"/>
      <c r="W394" s="463"/>
      <c r="X394" s="463"/>
      <c r="Y394" s="463"/>
      <c r="Z394" s="463"/>
    </row>
    <row r="395" spans="1:26" ht="15.75" customHeight="1" x14ac:dyDescent="0.3">
      <c r="A395" s="463"/>
      <c r="B395" s="463"/>
      <c r="C395" s="463"/>
      <c r="D395" s="463"/>
      <c r="E395" s="463"/>
      <c r="F395" s="463"/>
      <c r="G395" s="463"/>
      <c r="H395" s="463"/>
      <c r="I395" s="463"/>
      <c r="J395" s="463"/>
      <c r="K395" s="463"/>
      <c r="L395" s="463"/>
      <c r="M395" s="463"/>
      <c r="N395" s="463"/>
      <c r="O395" s="463"/>
      <c r="P395" s="463"/>
      <c r="Q395" s="463"/>
      <c r="R395" s="463"/>
      <c r="S395" s="463"/>
      <c r="T395" s="463"/>
      <c r="U395" s="463"/>
      <c r="V395" s="463"/>
      <c r="W395" s="463"/>
      <c r="X395" s="463"/>
      <c r="Y395" s="463"/>
      <c r="Z395" s="463"/>
    </row>
    <row r="396" spans="1:26" ht="15.75" customHeight="1" x14ac:dyDescent="0.3">
      <c r="A396" s="463"/>
      <c r="B396" s="463"/>
      <c r="C396" s="463"/>
      <c r="D396" s="463"/>
      <c r="E396" s="463"/>
      <c r="F396" s="463"/>
      <c r="G396" s="463"/>
      <c r="H396" s="463"/>
      <c r="I396" s="463"/>
      <c r="J396" s="463"/>
      <c r="K396" s="463"/>
      <c r="L396" s="463"/>
      <c r="M396" s="463"/>
      <c r="N396" s="463"/>
      <c r="O396" s="463"/>
      <c r="P396" s="463"/>
      <c r="Q396" s="463"/>
      <c r="R396" s="463"/>
      <c r="S396" s="463"/>
      <c r="T396" s="463"/>
      <c r="U396" s="463"/>
      <c r="V396" s="463"/>
      <c r="W396" s="463"/>
      <c r="X396" s="463"/>
      <c r="Y396" s="463"/>
      <c r="Z396" s="463"/>
    </row>
    <row r="397" spans="1:26" ht="15.75" customHeight="1" x14ac:dyDescent="0.3">
      <c r="A397" s="463"/>
      <c r="B397" s="463"/>
      <c r="C397" s="463"/>
      <c r="D397" s="463"/>
      <c r="E397" s="463"/>
      <c r="F397" s="463"/>
      <c r="G397" s="463"/>
      <c r="H397" s="463"/>
      <c r="I397" s="463"/>
      <c r="J397" s="463"/>
      <c r="K397" s="463"/>
      <c r="L397" s="463"/>
      <c r="M397" s="463"/>
      <c r="N397" s="463"/>
      <c r="O397" s="463"/>
      <c r="P397" s="463"/>
      <c r="Q397" s="463"/>
      <c r="R397" s="463"/>
      <c r="S397" s="463"/>
      <c r="T397" s="463"/>
      <c r="U397" s="463"/>
      <c r="V397" s="463"/>
      <c r="W397" s="463"/>
      <c r="X397" s="463"/>
      <c r="Y397" s="463"/>
      <c r="Z397" s="463"/>
    </row>
    <row r="398" spans="1:26" ht="15.75" customHeight="1" x14ac:dyDescent="0.3">
      <c r="A398" s="463"/>
      <c r="B398" s="463"/>
      <c r="C398" s="463"/>
      <c r="D398" s="463"/>
      <c r="E398" s="463"/>
      <c r="F398" s="463"/>
      <c r="G398" s="463"/>
      <c r="H398" s="463"/>
      <c r="I398" s="463"/>
      <c r="J398" s="463"/>
      <c r="K398" s="463"/>
      <c r="L398" s="463"/>
      <c r="M398" s="463"/>
      <c r="N398" s="463"/>
      <c r="O398" s="463"/>
      <c r="P398" s="463"/>
      <c r="Q398" s="463"/>
      <c r="R398" s="463"/>
      <c r="S398" s="463"/>
      <c r="T398" s="463"/>
      <c r="U398" s="463"/>
      <c r="V398" s="463"/>
      <c r="W398" s="463"/>
      <c r="X398" s="463"/>
      <c r="Y398" s="463"/>
      <c r="Z398" s="463"/>
    </row>
    <row r="399" spans="1:26" ht="15.75" customHeight="1" x14ac:dyDescent="0.3">
      <c r="A399" s="463"/>
      <c r="B399" s="463"/>
      <c r="C399" s="463"/>
      <c r="D399" s="463"/>
      <c r="E399" s="463"/>
      <c r="F399" s="463"/>
      <c r="G399" s="463"/>
      <c r="H399" s="463"/>
      <c r="I399" s="463"/>
      <c r="J399" s="463"/>
      <c r="K399" s="463"/>
      <c r="L399" s="463"/>
      <c r="M399" s="463"/>
      <c r="N399" s="463"/>
      <c r="O399" s="463"/>
      <c r="P399" s="463"/>
      <c r="Q399" s="463"/>
      <c r="R399" s="463"/>
      <c r="S399" s="463"/>
      <c r="T399" s="463"/>
      <c r="U399" s="463"/>
      <c r="V399" s="463"/>
      <c r="W399" s="463"/>
      <c r="X399" s="463"/>
      <c r="Y399" s="463"/>
      <c r="Z399" s="463"/>
    </row>
    <row r="400" spans="1:26" ht="15.75" customHeight="1" x14ac:dyDescent="0.3">
      <c r="A400" s="463"/>
      <c r="B400" s="463"/>
      <c r="C400" s="463"/>
      <c r="D400" s="463"/>
      <c r="E400" s="463"/>
      <c r="F400" s="463"/>
      <c r="G400" s="463"/>
      <c r="H400" s="463"/>
      <c r="I400" s="463"/>
      <c r="J400" s="463"/>
      <c r="K400" s="463"/>
      <c r="L400" s="463"/>
      <c r="M400" s="463"/>
      <c r="N400" s="463"/>
      <c r="O400" s="463"/>
      <c r="P400" s="463"/>
      <c r="Q400" s="463"/>
      <c r="R400" s="463"/>
      <c r="S400" s="463"/>
      <c r="T400" s="463"/>
      <c r="U400" s="463"/>
      <c r="V400" s="463"/>
      <c r="W400" s="463"/>
      <c r="X400" s="463"/>
      <c r="Y400" s="463"/>
      <c r="Z400" s="463"/>
    </row>
    <row r="401" spans="1:26" ht="15.75" customHeight="1" x14ac:dyDescent="0.3">
      <c r="A401" s="463"/>
      <c r="B401" s="463"/>
      <c r="C401" s="463"/>
      <c r="D401" s="463"/>
      <c r="E401" s="463"/>
      <c r="F401" s="463"/>
      <c r="G401" s="463"/>
      <c r="H401" s="463"/>
      <c r="I401" s="463"/>
      <c r="J401" s="463"/>
      <c r="K401" s="463"/>
      <c r="L401" s="463"/>
      <c r="M401" s="463"/>
      <c r="N401" s="463"/>
      <c r="O401" s="463"/>
      <c r="P401" s="463"/>
      <c r="Q401" s="463"/>
      <c r="R401" s="463"/>
      <c r="S401" s="463"/>
      <c r="T401" s="463"/>
      <c r="U401" s="463"/>
      <c r="V401" s="463"/>
      <c r="W401" s="463"/>
      <c r="X401" s="463"/>
      <c r="Y401" s="463"/>
      <c r="Z401" s="463"/>
    </row>
    <row r="402" spans="1:26" ht="15.75" customHeight="1" x14ac:dyDescent="0.3">
      <c r="A402" s="463"/>
      <c r="B402" s="463"/>
      <c r="C402" s="463"/>
      <c r="D402" s="463"/>
      <c r="E402" s="463"/>
      <c r="F402" s="463"/>
      <c r="G402" s="463"/>
      <c r="H402" s="463"/>
      <c r="I402" s="463"/>
      <c r="J402" s="463"/>
      <c r="K402" s="463"/>
      <c r="L402" s="463"/>
      <c r="M402" s="463"/>
      <c r="N402" s="463"/>
      <c r="O402" s="463"/>
      <c r="P402" s="463"/>
      <c r="Q402" s="463"/>
      <c r="R402" s="463"/>
      <c r="S402" s="463"/>
      <c r="T402" s="463"/>
      <c r="U402" s="463"/>
      <c r="V402" s="463"/>
      <c r="W402" s="463"/>
      <c r="X402" s="463"/>
      <c r="Y402" s="463"/>
      <c r="Z402" s="463"/>
    </row>
    <row r="403" spans="1:26" ht="15.75" customHeight="1" x14ac:dyDescent="0.3">
      <c r="A403" s="463"/>
      <c r="B403" s="463"/>
      <c r="C403" s="463"/>
      <c r="D403" s="463"/>
      <c r="E403" s="463"/>
      <c r="F403" s="463"/>
      <c r="G403" s="463"/>
      <c r="H403" s="463"/>
      <c r="I403" s="463"/>
      <c r="J403" s="463"/>
      <c r="K403" s="463"/>
      <c r="L403" s="463"/>
      <c r="M403" s="463"/>
      <c r="N403" s="463"/>
      <c r="O403" s="463"/>
      <c r="P403" s="463"/>
      <c r="Q403" s="463"/>
      <c r="R403" s="463"/>
      <c r="S403" s="463"/>
      <c r="T403" s="463"/>
      <c r="U403" s="463"/>
      <c r="V403" s="463"/>
      <c r="W403" s="463"/>
      <c r="X403" s="463"/>
      <c r="Y403" s="463"/>
      <c r="Z403" s="463"/>
    </row>
    <row r="404" spans="1:26" ht="15.75" customHeight="1" x14ac:dyDescent="0.3">
      <c r="A404" s="463"/>
      <c r="B404" s="463"/>
      <c r="C404" s="463"/>
      <c r="D404" s="463"/>
      <c r="E404" s="463"/>
      <c r="F404" s="463"/>
      <c r="G404" s="463"/>
      <c r="H404" s="463"/>
      <c r="I404" s="463"/>
      <c r="J404" s="463"/>
      <c r="K404" s="463"/>
      <c r="L404" s="463"/>
      <c r="M404" s="463"/>
      <c r="N404" s="463"/>
      <c r="O404" s="463"/>
      <c r="P404" s="463"/>
      <c r="Q404" s="463"/>
      <c r="R404" s="463"/>
      <c r="S404" s="463"/>
      <c r="T404" s="463"/>
      <c r="U404" s="463"/>
      <c r="V404" s="463"/>
      <c r="W404" s="463"/>
      <c r="X404" s="463"/>
      <c r="Y404" s="463"/>
      <c r="Z404" s="463"/>
    </row>
    <row r="405" spans="1:26" ht="15.75" customHeight="1" x14ac:dyDescent="0.3">
      <c r="A405" s="463"/>
      <c r="B405" s="463"/>
      <c r="C405" s="463"/>
      <c r="D405" s="463"/>
      <c r="E405" s="463"/>
      <c r="F405" s="463"/>
      <c r="G405" s="463"/>
      <c r="H405" s="463"/>
      <c r="I405" s="463"/>
      <c r="J405" s="463"/>
      <c r="K405" s="463"/>
      <c r="L405" s="463"/>
      <c r="M405" s="463"/>
      <c r="N405" s="463"/>
      <c r="O405" s="463"/>
      <c r="P405" s="463"/>
      <c r="Q405" s="463"/>
      <c r="R405" s="463"/>
      <c r="S405" s="463"/>
      <c r="T405" s="463"/>
      <c r="U405" s="463"/>
      <c r="V405" s="463"/>
      <c r="W405" s="463"/>
      <c r="X405" s="463"/>
      <c r="Y405" s="463"/>
      <c r="Z405" s="463"/>
    </row>
    <row r="406" spans="1:26" ht="15.75" customHeight="1" x14ac:dyDescent="0.3">
      <c r="A406" s="463"/>
      <c r="B406" s="463"/>
      <c r="C406" s="463"/>
      <c r="D406" s="463"/>
      <c r="E406" s="463"/>
      <c r="F406" s="463"/>
      <c r="G406" s="463"/>
      <c r="H406" s="463"/>
      <c r="I406" s="463"/>
      <c r="J406" s="463"/>
      <c r="K406" s="463"/>
      <c r="L406" s="463"/>
      <c r="M406" s="463"/>
      <c r="N406" s="463"/>
      <c r="O406" s="463"/>
      <c r="P406" s="463"/>
      <c r="Q406" s="463"/>
      <c r="R406" s="463"/>
      <c r="S406" s="463"/>
      <c r="T406" s="463"/>
      <c r="U406" s="463"/>
      <c r="V406" s="463"/>
      <c r="W406" s="463"/>
      <c r="X406" s="463"/>
      <c r="Y406" s="463"/>
      <c r="Z406" s="463"/>
    </row>
    <row r="407" spans="1:26" ht="15.75" customHeight="1" x14ac:dyDescent="0.3">
      <c r="A407" s="463"/>
      <c r="B407" s="463"/>
      <c r="C407" s="463"/>
      <c r="D407" s="463"/>
      <c r="E407" s="463"/>
      <c r="F407" s="463"/>
      <c r="G407" s="463"/>
      <c r="H407" s="463"/>
      <c r="I407" s="463"/>
      <c r="J407" s="463"/>
      <c r="K407" s="463"/>
      <c r="L407" s="463"/>
      <c r="M407" s="463"/>
      <c r="N407" s="463"/>
      <c r="O407" s="463"/>
      <c r="P407" s="463"/>
      <c r="Q407" s="463"/>
      <c r="R407" s="463"/>
      <c r="S407" s="463"/>
      <c r="T407" s="463"/>
      <c r="U407" s="463"/>
      <c r="V407" s="463"/>
      <c r="W407" s="463"/>
      <c r="X407" s="463"/>
      <c r="Y407" s="463"/>
      <c r="Z407" s="463"/>
    </row>
    <row r="408" spans="1:26" ht="15.75" customHeight="1" x14ac:dyDescent="0.3">
      <c r="A408" s="463"/>
      <c r="B408" s="463"/>
      <c r="C408" s="463"/>
      <c r="D408" s="463"/>
      <c r="E408" s="463"/>
      <c r="F408" s="463"/>
      <c r="G408" s="463"/>
      <c r="H408" s="463"/>
      <c r="I408" s="463"/>
      <c r="J408" s="463"/>
      <c r="K408" s="463"/>
      <c r="L408" s="463"/>
      <c r="M408" s="463"/>
      <c r="N408" s="463"/>
      <c r="O408" s="463"/>
      <c r="P408" s="463"/>
      <c r="Q408" s="463"/>
      <c r="R408" s="463"/>
      <c r="S408" s="463"/>
      <c r="T408" s="463"/>
      <c r="U408" s="463"/>
      <c r="V408" s="463"/>
      <c r="W408" s="463"/>
      <c r="X408" s="463"/>
      <c r="Y408" s="463"/>
      <c r="Z408" s="463"/>
    </row>
    <row r="409" spans="1:26" ht="15.75" customHeight="1" x14ac:dyDescent="0.3">
      <c r="A409" s="463"/>
      <c r="B409" s="463"/>
      <c r="C409" s="463"/>
      <c r="D409" s="463"/>
      <c r="E409" s="463"/>
      <c r="F409" s="463"/>
      <c r="G409" s="463"/>
      <c r="H409" s="463"/>
      <c r="I409" s="463"/>
      <c r="J409" s="463"/>
      <c r="K409" s="463"/>
      <c r="L409" s="463"/>
      <c r="M409" s="463"/>
      <c r="N409" s="463"/>
      <c r="O409" s="463"/>
      <c r="P409" s="463"/>
      <c r="Q409" s="463"/>
      <c r="R409" s="463"/>
      <c r="S409" s="463"/>
      <c r="T409" s="463"/>
      <c r="U409" s="463"/>
      <c r="V409" s="463"/>
      <c r="W409" s="463"/>
      <c r="X409" s="463"/>
      <c r="Y409" s="463"/>
      <c r="Z409" s="463"/>
    </row>
    <row r="410" spans="1:26" ht="15.75" customHeight="1" x14ac:dyDescent="0.3">
      <c r="A410" s="463"/>
      <c r="B410" s="463"/>
      <c r="C410" s="463"/>
      <c r="D410" s="463"/>
      <c r="E410" s="463"/>
      <c r="F410" s="463"/>
      <c r="G410" s="463"/>
      <c r="H410" s="463"/>
      <c r="I410" s="463"/>
      <c r="J410" s="463"/>
      <c r="K410" s="463"/>
      <c r="L410" s="463"/>
      <c r="M410" s="463"/>
      <c r="N410" s="463"/>
      <c r="O410" s="463"/>
      <c r="P410" s="463"/>
      <c r="Q410" s="463"/>
      <c r="R410" s="463"/>
      <c r="S410" s="463"/>
      <c r="T410" s="463"/>
      <c r="U410" s="463"/>
      <c r="V410" s="463"/>
      <c r="W410" s="463"/>
      <c r="X410" s="463"/>
      <c r="Y410" s="463"/>
      <c r="Z410" s="463"/>
    </row>
    <row r="411" spans="1:26" ht="15.75" customHeight="1" x14ac:dyDescent="0.3">
      <c r="A411" s="463"/>
      <c r="B411" s="463"/>
      <c r="C411" s="463"/>
      <c r="D411" s="463"/>
      <c r="E411" s="463"/>
      <c r="F411" s="463"/>
      <c r="G411" s="463"/>
      <c r="H411" s="463"/>
      <c r="I411" s="463"/>
      <c r="J411" s="463"/>
      <c r="K411" s="463"/>
      <c r="L411" s="463"/>
      <c r="M411" s="463"/>
      <c r="N411" s="463"/>
      <c r="O411" s="463"/>
      <c r="P411" s="463"/>
      <c r="Q411" s="463"/>
      <c r="R411" s="463"/>
      <c r="S411" s="463"/>
      <c r="T411" s="463"/>
      <c r="U411" s="463"/>
      <c r="V411" s="463"/>
      <c r="W411" s="463"/>
      <c r="X411" s="463"/>
      <c r="Y411" s="463"/>
      <c r="Z411" s="463"/>
    </row>
    <row r="412" spans="1:26" ht="15.75" customHeight="1" x14ac:dyDescent="0.3">
      <c r="A412" s="463"/>
      <c r="B412" s="463"/>
      <c r="C412" s="463"/>
      <c r="D412" s="463"/>
      <c r="E412" s="463"/>
      <c r="F412" s="463"/>
      <c r="G412" s="463"/>
      <c r="H412" s="463"/>
      <c r="I412" s="463"/>
      <c r="J412" s="463"/>
      <c r="K412" s="463"/>
      <c r="L412" s="463"/>
      <c r="M412" s="463"/>
      <c r="N412" s="463"/>
      <c r="O412" s="463"/>
      <c r="P412" s="463"/>
      <c r="Q412" s="463"/>
      <c r="R412" s="463"/>
      <c r="S412" s="463"/>
      <c r="T412" s="463"/>
      <c r="U412" s="463"/>
      <c r="V412" s="463"/>
      <c r="W412" s="463"/>
      <c r="X412" s="463"/>
      <c r="Y412" s="463"/>
      <c r="Z412" s="463"/>
    </row>
    <row r="413" spans="1:26" ht="15.75" customHeight="1" x14ac:dyDescent="0.3">
      <c r="A413" s="463"/>
      <c r="B413" s="463"/>
      <c r="C413" s="463"/>
      <c r="D413" s="463"/>
      <c r="E413" s="463"/>
      <c r="F413" s="463"/>
      <c r="G413" s="463"/>
      <c r="H413" s="463"/>
      <c r="I413" s="463"/>
      <c r="J413" s="463"/>
      <c r="K413" s="463"/>
      <c r="L413" s="463"/>
      <c r="M413" s="463"/>
      <c r="N413" s="463"/>
      <c r="O413" s="463"/>
      <c r="P413" s="463"/>
      <c r="Q413" s="463"/>
      <c r="R413" s="463"/>
      <c r="S413" s="463"/>
      <c r="T413" s="463"/>
      <c r="U413" s="463"/>
      <c r="V413" s="463"/>
      <c r="W413" s="463"/>
      <c r="X413" s="463"/>
      <c r="Y413" s="463"/>
      <c r="Z413" s="463"/>
    </row>
    <row r="414" spans="1:26" ht="15.75" customHeight="1" x14ac:dyDescent="0.3">
      <c r="A414" s="463"/>
      <c r="B414" s="463"/>
      <c r="C414" s="463"/>
      <c r="D414" s="463"/>
      <c r="E414" s="463"/>
      <c r="F414" s="463"/>
      <c r="G414" s="463"/>
      <c r="H414" s="463"/>
      <c r="I414" s="463"/>
      <c r="J414" s="463"/>
      <c r="K414" s="463"/>
      <c r="L414" s="463"/>
      <c r="M414" s="463"/>
      <c r="N414" s="463"/>
      <c r="O414" s="463"/>
      <c r="P414" s="463"/>
      <c r="Q414" s="463"/>
      <c r="R414" s="463"/>
      <c r="S414" s="463"/>
      <c r="T414" s="463"/>
      <c r="U414" s="463"/>
      <c r="V414" s="463"/>
      <c r="W414" s="463"/>
      <c r="X414" s="463"/>
      <c r="Y414" s="463"/>
      <c r="Z414" s="463"/>
    </row>
    <row r="415" spans="1:26" ht="15.75" customHeight="1" x14ac:dyDescent="0.3">
      <c r="A415" s="463"/>
      <c r="B415" s="463"/>
      <c r="C415" s="463"/>
      <c r="D415" s="463"/>
      <c r="E415" s="463"/>
      <c r="F415" s="463"/>
      <c r="G415" s="463"/>
      <c r="H415" s="463"/>
      <c r="I415" s="463"/>
      <c r="J415" s="463"/>
      <c r="K415" s="463"/>
      <c r="L415" s="463"/>
      <c r="M415" s="463"/>
      <c r="N415" s="463"/>
      <c r="O415" s="463"/>
      <c r="P415" s="463"/>
      <c r="Q415" s="463"/>
      <c r="R415" s="463"/>
      <c r="S415" s="463"/>
      <c r="T415" s="463"/>
      <c r="U415" s="463"/>
      <c r="V415" s="463"/>
      <c r="W415" s="463"/>
      <c r="X415" s="463"/>
      <c r="Y415" s="463"/>
      <c r="Z415" s="463"/>
    </row>
    <row r="416" spans="1:26" ht="15.75" customHeight="1" x14ac:dyDescent="0.3">
      <c r="A416" s="463"/>
      <c r="B416" s="463"/>
      <c r="C416" s="463"/>
      <c r="D416" s="463"/>
      <c r="E416" s="463"/>
      <c r="F416" s="463"/>
      <c r="G416" s="463"/>
      <c r="H416" s="463"/>
      <c r="I416" s="463"/>
      <c r="J416" s="463"/>
      <c r="K416" s="463"/>
      <c r="L416" s="463"/>
      <c r="M416" s="463"/>
      <c r="N416" s="463"/>
      <c r="O416" s="463"/>
      <c r="P416" s="463"/>
      <c r="Q416" s="463"/>
      <c r="R416" s="463"/>
      <c r="S416" s="463"/>
      <c r="T416" s="463"/>
      <c r="U416" s="463"/>
      <c r="V416" s="463"/>
      <c r="W416" s="463"/>
      <c r="X416" s="463"/>
      <c r="Y416" s="463"/>
      <c r="Z416" s="463"/>
    </row>
    <row r="417" spans="1:26" ht="15.75" customHeight="1" x14ac:dyDescent="0.3">
      <c r="A417" s="463"/>
      <c r="B417" s="463"/>
      <c r="C417" s="463"/>
      <c r="D417" s="463"/>
      <c r="E417" s="463"/>
      <c r="F417" s="463"/>
      <c r="G417" s="463"/>
      <c r="H417" s="463"/>
      <c r="I417" s="463"/>
      <c r="J417" s="463"/>
      <c r="K417" s="463"/>
      <c r="L417" s="463"/>
      <c r="M417" s="463"/>
      <c r="N417" s="463"/>
      <c r="O417" s="463"/>
      <c r="P417" s="463"/>
      <c r="Q417" s="463"/>
      <c r="R417" s="463"/>
      <c r="S417" s="463"/>
      <c r="T417" s="463"/>
      <c r="U417" s="463"/>
      <c r="V417" s="463"/>
      <c r="W417" s="463"/>
      <c r="X417" s="463"/>
      <c r="Y417" s="463"/>
      <c r="Z417" s="463"/>
    </row>
    <row r="418" spans="1:26" ht="15.75" customHeight="1" x14ac:dyDescent="0.3">
      <c r="A418" s="463"/>
      <c r="B418" s="463"/>
      <c r="C418" s="463"/>
      <c r="D418" s="463"/>
      <c r="E418" s="463"/>
      <c r="F418" s="463"/>
      <c r="G418" s="463"/>
      <c r="H418" s="463"/>
      <c r="I418" s="463"/>
      <c r="J418" s="463"/>
      <c r="K418" s="463"/>
      <c r="L418" s="463"/>
      <c r="M418" s="463"/>
      <c r="N418" s="463"/>
      <c r="O418" s="463"/>
      <c r="P418" s="463"/>
      <c r="Q418" s="463"/>
      <c r="R418" s="463"/>
      <c r="S418" s="463"/>
      <c r="T418" s="463"/>
      <c r="U418" s="463"/>
      <c r="V418" s="463"/>
      <c r="W418" s="463"/>
      <c r="X418" s="463"/>
      <c r="Y418" s="463"/>
      <c r="Z418" s="463"/>
    </row>
    <row r="419" spans="1:26" ht="15.75" customHeight="1" x14ac:dyDescent="0.3">
      <c r="A419" s="463"/>
      <c r="B419" s="463"/>
      <c r="C419" s="463"/>
      <c r="D419" s="463"/>
      <c r="E419" s="463"/>
      <c r="F419" s="463"/>
      <c r="G419" s="463"/>
      <c r="H419" s="463"/>
      <c r="I419" s="463"/>
      <c r="J419" s="463"/>
      <c r="K419" s="463"/>
      <c r="L419" s="463"/>
      <c r="M419" s="463"/>
      <c r="N419" s="463"/>
      <c r="O419" s="463"/>
      <c r="P419" s="463"/>
      <c r="Q419" s="463"/>
      <c r="R419" s="463"/>
      <c r="S419" s="463"/>
      <c r="T419" s="463"/>
      <c r="U419" s="463"/>
      <c r="V419" s="463"/>
      <c r="W419" s="463"/>
      <c r="X419" s="463"/>
      <c r="Y419" s="463"/>
      <c r="Z419" s="463"/>
    </row>
    <row r="420" spans="1:26" ht="15.75" customHeight="1" x14ac:dyDescent="0.3">
      <c r="A420" s="463"/>
      <c r="B420" s="463"/>
      <c r="C420" s="463"/>
      <c r="D420" s="463"/>
      <c r="E420" s="463"/>
      <c r="F420" s="463"/>
      <c r="G420" s="463"/>
      <c r="H420" s="463"/>
      <c r="I420" s="463"/>
      <c r="J420" s="463"/>
      <c r="K420" s="463"/>
      <c r="L420" s="463"/>
      <c r="M420" s="463"/>
      <c r="N420" s="463"/>
      <c r="O420" s="463"/>
      <c r="P420" s="463"/>
      <c r="Q420" s="463"/>
      <c r="R420" s="463"/>
      <c r="S420" s="463"/>
      <c r="T420" s="463"/>
      <c r="U420" s="463"/>
      <c r="V420" s="463"/>
      <c r="W420" s="463"/>
      <c r="X420" s="463"/>
      <c r="Y420" s="463"/>
      <c r="Z420" s="463"/>
    </row>
    <row r="421" spans="1:26" ht="15.75" customHeight="1" x14ac:dyDescent="0.3">
      <c r="A421" s="463"/>
      <c r="B421" s="463"/>
      <c r="C421" s="463"/>
      <c r="D421" s="463"/>
      <c r="E421" s="463"/>
      <c r="F421" s="463"/>
      <c r="G421" s="463"/>
      <c r="H421" s="463"/>
      <c r="I421" s="463"/>
      <c r="J421" s="463"/>
      <c r="K421" s="463"/>
      <c r="L421" s="463"/>
      <c r="M421" s="463"/>
      <c r="N421" s="463"/>
      <c r="O421" s="463"/>
      <c r="P421" s="463"/>
      <c r="Q421" s="463"/>
      <c r="R421" s="463"/>
      <c r="S421" s="463"/>
      <c r="T421" s="463"/>
      <c r="U421" s="463"/>
      <c r="V421" s="463"/>
      <c r="W421" s="463"/>
      <c r="X421" s="463"/>
      <c r="Y421" s="463"/>
      <c r="Z421" s="463"/>
    </row>
    <row r="422" spans="1:26" ht="15.75" customHeight="1" x14ac:dyDescent="0.3">
      <c r="A422" s="463"/>
      <c r="B422" s="463"/>
      <c r="C422" s="463"/>
      <c r="D422" s="463"/>
      <c r="E422" s="463"/>
      <c r="F422" s="463"/>
      <c r="G422" s="463"/>
      <c r="H422" s="463"/>
      <c r="I422" s="463"/>
      <c r="J422" s="463"/>
      <c r="K422" s="463"/>
      <c r="L422" s="463"/>
      <c r="M422" s="463"/>
      <c r="N422" s="463"/>
      <c r="O422" s="463"/>
      <c r="P422" s="463"/>
      <c r="Q422" s="463"/>
      <c r="R422" s="463"/>
      <c r="S422" s="463"/>
      <c r="T422" s="463"/>
      <c r="U422" s="463"/>
      <c r="V422" s="463"/>
      <c r="W422" s="463"/>
      <c r="X422" s="463"/>
      <c r="Y422" s="463"/>
      <c r="Z422" s="463"/>
    </row>
    <row r="423" spans="1:26" ht="15.75" customHeight="1" x14ac:dyDescent="0.3">
      <c r="A423" s="463"/>
      <c r="B423" s="463"/>
      <c r="C423" s="463"/>
      <c r="D423" s="463"/>
      <c r="E423" s="463"/>
      <c r="F423" s="463"/>
      <c r="G423" s="463"/>
      <c r="H423" s="463"/>
      <c r="I423" s="463"/>
      <c r="J423" s="463"/>
      <c r="K423" s="463"/>
      <c r="L423" s="463"/>
      <c r="M423" s="463"/>
      <c r="N423" s="463"/>
      <c r="O423" s="463"/>
      <c r="P423" s="463"/>
      <c r="Q423" s="463"/>
      <c r="R423" s="463"/>
      <c r="S423" s="463"/>
      <c r="T423" s="463"/>
      <c r="U423" s="463"/>
      <c r="V423" s="463"/>
      <c r="W423" s="463"/>
      <c r="X423" s="463"/>
      <c r="Y423" s="463"/>
      <c r="Z423" s="463"/>
    </row>
    <row r="424" spans="1:26" ht="15.75" customHeight="1" x14ac:dyDescent="0.3">
      <c r="A424" s="463"/>
      <c r="B424" s="463"/>
      <c r="C424" s="463"/>
      <c r="D424" s="463"/>
      <c r="E424" s="463"/>
      <c r="F424" s="463"/>
      <c r="G424" s="463"/>
      <c r="H424" s="463"/>
      <c r="I424" s="463"/>
      <c r="J424" s="463"/>
      <c r="K424" s="463"/>
      <c r="L424" s="463"/>
      <c r="M424" s="463"/>
      <c r="N424" s="463"/>
      <c r="O424" s="463"/>
      <c r="P424" s="463"/>
      <c r="Q424" s="463"/>
      <c r="R424" s="463"/>
      <c r="S424" s="463"/>
      <c r="T424" s="463"/>
      <c r="U424" s="463"/>
      <c r="V424" s="463"/>
      <c r="W424" s="463"/>
      <c r="X424" s="463"/>
      <c r="Y424" s="463"/>
      <c r="Z424" s="463"/>
    </row>
    <row r="425" spans="1:26" ht="15.75" customHeight="1" x14ac:dyDescent="0.3">
      <c r="A425" s="463"/>
      <c r="B425" s="463"/>
      <c r="C425" s="463"/>
      <c r="D425" s="463"/>
      <c r="E425" s="463"/>
      <c r="F425" s="463"/>
      <c r="G425" s="463"/>
      <c r="H425" s="463"/>
      <c r="I425" s="463"/>
      <c r="J425" s="463"/>
      <c r="K425" s="463"/>
      <c r="L425" s="463"/>
      <c r="M425" s="463"/>
      <c r="N425" s="463"/>
      <c r="O425" s="463"/>
      <c r="P425" s="463"/>
      <c r="Q425" s="463"/>
      <c r="R425" s="463"/>
      <c r="S425" s="463"/>
      <c r="T425" s="463"/>
      <c r="U425" s="463"/>
      <c r="V425" s="463"/>
      <c r="W425" s="463"/>
      <c r="X425" s="463"/>
      <c r="Y425" s="463"/>
      <c r="Z425" s="463"/>
    </row>
    <row r="426" spans="1:26" ht="15.75" customHeight="1" x14ac:dyDescent="0.3">
      <c r="A426" s="463"/>
      <c r="B426" s="463"/>
      <c r="C426" s="463"/>
      <c r="D426" s="463"/>
      <c r="E426" s="463"/>
      <c r="F426" s="463"/>
      <c r="G426" s="463"/>
      <c r="H426" s="463"/>
      <c r="I426" s="463"/>
      <c r="J426" s="463"/>
      <c r="K426" s="463"/>
      <c r="L426" s="463"/>
      <c r="M426" s="463"/>
      <c r="N426" s="463"/>
      <c r="O426" s="463"/>
      <c r="P426" s="463"/>
      <c r="Q426" s="463"/>
      <c r="R426" s="463"/>
      <c r="S426" s="463"/>
      <c r="T426" s="463"/>
      <c r="U426" s="463"/>
      <c r="V426" s="463"/>
      <c r="W426" s="463"/>
      <c r="X426" s="463"/>
      <c r="Y426" s="463"/>
      <c r="Z426" s="463"/>
    </row>
    <row r="427" spans="1:26" ht="15.75" customHeight="1" x14ac:dyDescent="0.3">
      <c r="A427" s="463"/>
      <c r="B427" s="463"/>
      <c r="C427" s="463"/>
      <c r="D427" s="463"/>
      <c r="E427" s="463"/>
      <c r="F427" s="463"/>
      <c r="G427" s="463"/>
      <c r="H427" s="463"/>
      <c r="I427" s="463"/>
      <c r="J427" s="463"/>
      <c r="K427" s="463"/>
      <c r="L427" s="463"/>
      <c r="M427" s="463"/>
      <c r="N427" s="463"/>
      <c r="O427" s="463"/>
      <c r="P427" s="463"/>
      <c r="Q427" s="463"/>
      <c r="R427" s="463"/>
      <c r="S427" s="463"/>
      <c r="T427" s="463"/>
      <c r="U427" s="463"/>
      <c r="V427" s="463"/>
      <c r="W427" s="463"/>
      <c r="X427" s="463"/>
      <c r="Y427" s="463"/>
      <c r="Z427" s="463"/>
    </row>
    <row r="428" spans="1:26" ht="15.75" customHeight="1" x14ac:dyDescent="0.3">
      <c r="A428" s="463"/>
      <c r="B428" s="463"/>
      <c r="C428" s="463"/>
      <c r="D428" s="463"/>
      <c r="E428" s="463"/>
      <c r="F428" s="463"/>
      <c r="G428" s="463"/>
      <c r="H428" s="463"/>
      <c r="I428" s="463"/>
      <c r="J428" s="463"/>
      <c r="K428" s="463"/>
      <c r="L428" s="463"/>
      <c r="M428" s="463"/>
      <c r="N428" s="463"/>
      <c r="O428" s="463"/>
      <c r="P428" s="463"/>
      <c r="Q428" s="463"/>
      <c r="R428" s="463"/>
      <c r="S428" s="463"/>
      <c r="T428" s="463"/>
      <c r="U428" s="463"/>
      <c r="V428" s="463"/>
      <c r="W428" s="463"/>
      <c r="X428" s="463"/>
      <c r="Y428" s="463"/>
      <c r="Z428" s="463"/>
    </row>
    <row r="429" spans="1:26" ht="15.75" customHeight="1" x14ac:dyDescent="0.3">
      <c r="A429" s="463"/>
      <c r="B429" s="463"/>
      <c r="C429" s="463"/>
      <c r="D429" s="463"/>
      <c r="E429" s="463"/>
      <c r="F429" s="463"/>
      <c r="G429" s="463"/>
      <c r="H429" s="463"/>
      <c r="I429" s="463"/>
      <c r="J429" s="463"/>
      <c r="K429" s="463"/>
      <c r="L429" s="463"/>
      <c r="M429" s="463"/>
      <c r="N429" s="463"/>
      <c r="O429" s="463"/>
      <c r="P429" s="463"/>
      <c r="Q429" s="463"/>
      <c r="R429" s="463"/>
      <c r="S429" s="463"/>
      <c r="T429" s="463"/>
      <c r="U429" s="463"/>
      <c r="V429" s="463"/>
      <c r="W429" s="463"/>
      <c r="X429" s="463"/>
      <c r="Y429" s="463"/>
      <c r="Z429" s="463"/>
    </row>
    <row r="430" spans="1:26" ht="15.75" customHeight="1" x14ac:dyDescent="0.3">
      <c r="A430" s="463"/>
      <c r="B430" s="463"/>
      <c r="C430" s="463"/>
      <c r="D430" s="463"/>
      <c r="E430" s="463"/>
      <c r="F430" s="463"/>
      <c r="G430" s="463"/>
      <c r="H430" s="463"/>
      <c r="I430" s="463"/>
      <c r="J430" s="463"/>
      <c r="K430" s="463"/>
      <c r="L430" s="463"/>
      <c r="M430" s="463"/>
      <c r="N430" s="463"/>
      <c r="O430" s="463"/>
      <c r="P430" s="463"/>
      <c r="Q430" s="463"/>
      <c r="R430" s="463"/>
      <c r="S430" s="463"/>
      <c r="T430" s="463"/>
      <c r="U430" s="463"/>
      <c r="V430" s="463"/>
      <c r="W430" s="463"/>
      <c r="X430" s="463"/>
      <c r="Y430" s="463"/>
      <c r="Z430" s="463"/>
    </row>
    <row r="431" spans="1:26" ht="15.75" customHeight="1" x14ac:dyDescent="0.3">
      <c r="A431" s="463"/>
      <c r="B431" s="463"/>
      <c r="C431" s="463"/>
      <c r="D431" s="463"/>
      <c r="E431" s="463"/>
      <c r="F431" s="463"/>
      <c r="G431" s="463"/>
      <c r="H431" s="463"/>
      <c r="I431" s="463"/>
      <c r="J431" s="463"/>
      <c r="K431" s="463"/>
      <c r="L431" s="463"/>
      <c r="M431" s="463"/>
      <c r="N431" s="463"/>
      <c r="O431" s="463"/>
      <c r="P431" s="463"/>
      <c r="Q431" s="463"/>
      <c r="R431" s="463"/>
      <c r="S431" s="463"/>
      <c r="T431" s="463"/>
      <c r="U431" s="463"/>
      <c r="V431" s="463"/>
      <c r="W431" s="463"/>
      <c r="X431" s="463"/>
      <c r="Y431" s="463"/>
      <c r="Z431" s="463"/>
    </row>
    <row r="432" spans="1:26" ht="15.75" customHeight="1" x14ac:dyDescent="0.3">
      <c r="A432" s="463"/>
      <c r="B432" s="463"/>
      <c r="C432" s="463"/>
      <c r="D432" s="463"/>
      <c r="E432" s="463"/>
      <c r="F432" s="463"/>
      <c r="G432" s="463"/>
      <c r="H432" s="463"/>
      <c r="I432" s="463"/>
      <c r="J432" s="463"/>
      <c r="K432" s="463"/>
      <c r="L432" s="463"/>
      <c r="M432" s="463"/>
      <c r="N432" s="463"/>
      <c r="O432" s="463"/>
      <c r="P432" s="463"/>
      <c r="Q432" s="463"/>
      <c r="R432" s="463"/>
      <c r="S432" s="463"/>
      <c r="T432" s="463"/>
      <c r="U432" s="463"/>
      <c r="V432" s="463"/>
      <c r="W432" s="463"/>
      <c r="X432" s="463"/>
      <c r="Y432" s="463"/>
      <c r="Z432" s="463"/>
    </row>
    <row r="433" spans="1:26" ht="15.75" customHeight="1" x14ac:dyDescent="0.3">
      <c r="A433" s="463"/>
      <c r="B433" s="463"/>
      <c r="C433" s="463"/>
      <c r="D433" s="463"/>
      <c r="E433" s="463"/>
      <c r="F433" s="463"/>
      <c r="G433" s="463"/>
      <c r="H433" s="463"/>
      <c r="I433" s="463"/>
      <c r="J433" s="463"/>
      <c r="K433" s="463"/>
      <c r="L433" s="463"/>
      <c r="M433" s="463"/>
      <c r="N433" s="463"/>
      <c r="O433" s="463"/>
      <c r="P433" s="463"/>
      <c r="Q433" s="463"/>
      <c r="R433" s="463"/>
      <c r="S433" s="463"/>
      <c r="T433" s="463"/>
      <c r="U433" s="463"/>
      <c r="V433" s="463"/>
      <c r="W433" s="463"/>
      <c r="X433" s="463"/>
      <c r="Y433" s="463"/>
      <c r="Z433" s="463"/>
    </row>
    <row r="434" spans="1:26" ht="15.75" customHeight="1" x14ac:dyDescent="0.3">
      <c r="A434" s="463"/>
      <c r="B434" s="463"/>
      <c r="C434" s="463"/>
      <c r="D434" s="463"/>
      <c r="E434" s="463"/>
      <c r="F434" s="463"/>
      <c r="G434" s="463"/>
      <c r="H434" s="463"/>
      <c r="I434" s="463"/>
      <c r="J434" s="463"/>
      <c r="K434" s="463"/>
      <c r="L434" s="463"/>
      <c r="M434" s="463"/>
      <c r="N434" s="463"/>
      <c r="O434" s="463"/>
      <c r="P434" s="463"/>
      <c r="Q434" s="463"/>
      <c r="R434" s="463"/>
      <c r="S434" s="463"/>
      <c r="T434" s="463"/>
      <c r="U434" s="463"/>
      <c r="V434" s="463"/>
      <c r="W434" s="463"/>
      <c r="X434" s="463"/>
      <c r="Y434" s="463"/>
      <c r="Z434" s="463"/>
    </row>
    <row r="435" spans="1:26" ht="15.75" customHeight="1" x14ac:dyDescent="0.3">
      <c r="A435" s="463"/>
      <c r="B435" s="463"/>
      <c r="C435" s="463"/>
      <c r="D435" s="463"/>
      <c r="E435" s="463"/>
      <c r="F435" s="463"/>
      <c r="G435" s="463"/>
      <c r="H435" s="463"/>
      <c r="I435" s="463"/>
      <c r="J435" s="463"/>
      <c r="K435" s="463"/>
      <c r="L435" s="463"/>
      <c r="M435" s="463"/>
      <c r="N435" s="463"/>
      <c r="O435" s="463"/>
      <c r="P435" s="463"/>
      <c r="Q435" s="463"/>
      <c r="R435" s="463"/>
      <c r="S435" s="463"/>
      <c r="T435" s="463"/>
      <c r="U435" s="463"/>
      <c r="V435" s="463"/>
      <c r="W435" s="463"/>
      <c r="X435" s="463"/>
      <c r="Y435" s="463"/>
      <c r="Z435" s="463"/>
    </row>
    <row r="436" spans="1:26" ht="15.75" customHeight="1" x14ac:dyDescent="0.3">
      <c r="A436" s="463"/>
      <c r="B436" s="463"/>
      <c r="C436" s="463"/>
      <c r="D436" s="463"/>
      <c r="E436" s="463"/>
      <c r="F436" s="463"/>
      <c r="G436" s="463"/>
      <c r="H436" s="463"/>
      <c r="I436" s="463"/>
      <c r="J436" s="463"/>
      <c r="K436" s="463"/>
      <c r="L436" s="463"/>
      <c r="M436" s="463"/>
      <c r="N436" s="463"/>
      <c r="O436" s="463"/>
      <c r="P436" s="463"/>
      <c r="Q436" s="463"/>
      <c r="R436" s="463"/>
      <c r="S436" s="463"/>
      <c r="T436" s="463"/>
      <c r="U436" s="463"/>
      <c r="V436" s="463"/>
      <c r="W436" s="463"/>
      <c r="X436" s="463"/>
      <c r="Y436" s="463"/>
      <c r="Z436" s="463"/>
    </row>
    <row r="437" spans="1:26" ht="15.75" customHeight="1" x14ac:dyDescent="0.3">
      <c r="A437" s="463"/>
      <c r="B437" s="463"/>
      <c r="C437" s="463"/>
      <c r="D437" s="463"/>
      <c r="E437" s="463"/>
      <c r="F437" s="463"/>
      <c r="G437" s="463"/>
      <c r="H437" s="463"/>
      <c r="I437" s="463"/>
      <c r="J437" s="463"/>
      <c r="K437" s="463"/>
      <c r="L437" s="463"/>
      <c r="M437" s="463"/>
      <c r="N437" s="463"/>
      <c r="O437" s="463"/>
      <c r="P437" s="463"/>
      <c r="Q437" s="463"/>
      <c r="R437" s="463"/>
      <c r="S437" s="463"/>
      <c r="T437" s="463"/>
      <c r="U437" s="463"/>
      <c r="V437" s="463"/>
      <c r="W437" s="463"/>
      <c r="X437" s="463"/>
      <c r="Y437" s="463"/>
      <c r="Z437" s="463"/>
    </row>
    <row r="438" spans="1:26" ht="15.75" customHeight="1" x14ac:dyDescent="0.3">
      <c r="A438" s="463"/>
      <c r="B438" s="463"/>
      <c r="C438" s="463"/>
      <c r="D438" s="463"/>
      <c r="E438" s="463"/>
      <c r="F438" s="463"/>
      <c r="G438" s="463"/>
      <c r="H438" s="463"/>
      <c r="I438" s="463"/>
      <c r="J438" s="463"/>
      <c r="K438" s="463"/>
      <c r="L438" s="463"/>
      <c r="M438" s="463"/>
      <c r="N438" s="463"/>
      <c r="O438" s="463"/>
      <c r="P438" s="463"/>
      <c r="Q438" s="463"/>
      <c r="R438" s="463"/>
      <c r="S438" s="463"/>
      <c r="T438" s="463"/>
      <c r="U438" s="463"/>
      <c r="V438" s="463"/>
      <c r="W438" s="463"/>
      <c r="X438" s="463"/>
      <c r="Y438" s="463"/>
      <c r="Z438" s="463"/>
    </row>
    <row r="439" spans="1:26" ht="15.75" customHeight="1" x14ac:dyDescent="0.3">
      <c r="A439" s="463"/>
      <c r="B439" s="463"/>
      <c r="C439" s="463"/>
      <c r="D439" s="463"/>
      <c r="E439" s="463"/>
      <c r="F439" s="463"/>
      <c r="G439" s="463"/>
      <c r="H439" s="463"/>
      <c r="I439" s="463"/>
      <c r="J439" s="463"/>
      <c r="K439" s="463"/>
      <c r="L439" s="463"/>
      <c r="M439" s="463"/>
      <c r="N439" s="463"/>
      <c r="O439" s="463"/>
      <c r="P439" s="463"/>
      <c r="Q439" s="463"/>
      <c r="R439" s="463"/>
      <c r="S439" s="463"/>
      <c r="T439" s="463"/>
      <c r="U439" s="463"/>
      <c r="V439" s="463"/>
      <c r="W439" s="463"/>
      <c r="X439" s="463"/>
      <c r="Y439" s="463"/>
      <c r="Z439" s="463"/>
    </row>
    <row r="440" spans="1:26" ht="15.75" customHeight="1" x14ac:dyDescent="0.3">
      <c r="A440" s="463"/>
      <c r="B440" s="463"/>
      <c r="C440" s="463"/>
      <c r="D440" s="463"/>
      <c r="E440" s="463"/>
      <c r="F440" s="463"/>
      <c r="G440" s="463"/>
      <c r="H440" s="463"/>
      <c r="I440" s="463"/>
      <c r="J440" s="463"/>
      <c r="K440" s="463"/>
      <c r="L440" s="463"/>
      <c r="M440" s="463"/>
      <c r="N440" s="463"/>
      <c r="O440" s="463"/>
      <c r="P440" s="463"/>
      <c r="Q440" s="463"/>
      <c r="R440" s="463"/>
      <c r="S440" s="463"/>
      <c r="T440" s="463"/>
      <c r="U440" s="463"/>
      <c r="V440" s="463"/>
      <c r="W440" s="463"/>
      <c r="X440" s="463"/>
      <c r="Y440" s="463"/>
      <c r="Z440" s="463"/>
    </row>
    <row r="441" spans="1:26" ht="15.75" customHeight="1" x14ac:dyDescent="0.3">
      <c r="A441" s="463"/>
      <c r="B441" s="463"/>
      <c r="C441" s="463"/>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63"/>
      <c r="Z441" s="463"/>
    </row>
    <row r="442" spans="1:26" ht="15.75" customHeight="1" x14ac:dyDescent="0.3">
      <c r="A442" s="463"/>
      <c r="B442" s="463"/>
      <c r="C442" s="463"/>
      <c r="D442" s="463"/>
      <c r="E442" s="463"/>
      <c r="F442" s="463"/>
      <c r="G442" s="463"/>
      <c r="H442" s="463"/>
      <c r="I442" s="463"/>
      <c r="J442" s="463"/>
      <c r="K442" s="463"/>
      <c r="L442" s="463"/>
      <c r="M442" s="463"/>
      <c r="N442" s="463"/>
      <c r="O442" s="463"/>
      <c r="P442" s="463"/>
      <c r="Q442" s="463"/>
      <c r="R442" s="463"/>
      <c r="S442" s="463"/>
      <c r="T442" s="463"/>
      <c r="U442" s="463"/>
      <c r="V442" s="463"/>
      <c r="W442" s="463"/>
      <c r="X442" s="463"/>
      <c r="Y442" s="463"/>
      <c r="Z442" s="463"/>
    </row>
    <row r="443" spans="1:26" ht="15.75" customHeight="1" x14ac:dyDescent="0.3">
      <c r="A443" s="463"/>
      <c r="B443" s="463"/>
      <c r="C443" s="463"/>
      <c r="D443" s="463"/>
      <c r="E443" s="463"/>
      <c r="F443" s="463"/>
      <c r="G443" s="463"/>
      <c r="H443" s="463"/>
      <c r="I443" s="463"/>
      <c r="J443" s="463"/>
      <c r="K443" s="463"/>
      <c r="L443" s="463"/>
      <c r="M443" s="463"/>
      <c r="N443" s="463"/>
      <c r="O443" s="463"/>
      <c r="P443" s="463"/>
      <c r="Q443" s="463"/>
      <c r="R443" s="463"/>
      <c r="S443" s="463"/>
      <c r="T443" s="463"/>
      <c r="U443" s="463"/>
      <c r="V443" s="463"/>
      <c r="W443" s="463"/>
      <c r="X443" s="463"/>
      <c r="Y443" s="463"/>
      <c r="Z443" s="463"/>
    </row>
    <row r="444" spans="1:26" ht="15.75" customHeight="1" x14ac:dyDescent="0.3">
      <c r="A444" s="463"/>
      <c r="B444" s="463"/>
      <c r="C444" s="463"/>
      <c r="D444" s="463"/>
      <c r="E444" s="463"/>
      <c r="F444" s="463"/>
      <c r="G444" s="463"/>
      <c r="H444" s="463"/>
      <c r="I444" s="463"/>
      <c r="J444" s="463"/>
      <c r="K444" s="463"/>
      <c r="L444" s="463"/>
      <c r="M444" s="463"/>
      <c r="N444" s="463"/>
      <c r="O444" s="463"/>
      <c r="P444" s="463"/>
      <c r="Q444" s="463"/>
      <c r="R444" s="463"/>
      <c r="S444" s="463"/>
      <c r="T444" s="463"/>
      <c r="U444" s="463"/>
      <c r="V444" s="463"/>
      <c r="W444" s="463"/>
      <c r="X444" s="463"/>
      <c r="Y444" s="463"/>
      <c r="Z444" s="463"/>
    </row>
    <row r="445" spans="1:26" ht="15.75" customHeight="1" x14ac:dyDescent="0.3">
      <c r="A445" s="463"/>
      <c r="B445" s="463"/>
      <c r="C445" s="463"/>
      <c r="D445" s="463"/>
      <c r="E445" s="463"/>
      <c r="F445" s="463"/>
      <c r="G445" s="463"/>
      <c r="H445" s="463"/>
      <c r="I445" s="463"/>
      <c r="J445" s="463"/>
      <c r="K445" s="463"/>
      <c r="L445" s="463"/>
      <c r="M445" s="463"/>
      <c r="N445" s="463"/>
      <c r="O445" s="463"/>
      <c r="P445" s="463"/>
      <c r="Q445" s="463"/>
      <c r="R445" s="463"/>
      <c r="S445" s="463"/>
      <c r="T445" s="463"/>
      <c r="U445" s="463"/>
      <c r="V445" s="463"/>
      <c r="W445" s="463"/>
      <c r="X445" s="463"/>
      <c r="Y445" s="463"/>
      <c r="Z445" s="463"/>
    </row>
    <row r="446" spans="1:26" ht="15.75" customHeight="1" x14ac:dyDescent="0.3">
      <c r="A446" s="463"/>
      <c r="B446" s="463"/>
      <c r="C446" s="463"/>
      <c r="D446" s="463"/>
      <c r="E446" s="463"/>
      <c r="F446" s="463"/>
      <c r="G446" s="463"/>
      <c r="H446" s="463"/>
      <c r="I446" s="463"/>
      <c r="J446" s="463"/>
      <c r="K446" s="463"/>
      <c r="L446" s="463"/>
      <c r="M446" s="463"/>
      <c r="N446" s="463"/>
      <c r="O446" s="463"/>
      <c r="P446" s="463"/>
      <c r="Q446" s="463"/>
      <c r="R446" s="463"/>
      <c r="S446" s="463"/>
      <c r="T446" s="463"/>
      <c r="U446" s="463"/>
      <c r="V446" s="463"/>
      <c r="W446" s="463"/>
      <c r="X446" s="463"/>
      <c r="Y446" s="463"/>
      <c r="Z446" s="463"/>
    </row>
    <row r="447" spans="1:26" ht="15.75" customHeight="1" x14ac:dyDescent="0.3">
      <c r="A447" s="463"/>
      <c r="B447" s="463"/>
      <c r="C447" s="463"/>
      <c r="D447" s="463"/>
      <c r="E447" s="463"/>
      <c r="F447" s="463"/>
      <c r="G447" s="463"/>
      <c r="H447" s="463"/>
      <c r="I447" s="463"/>
      <c r="J447" s="463"/>
      <c r="K447" s="463"/>
      <c r="L447" s="463"/>
      <c r="M447" s="463"/>
      <c r="N447" s="463"/>
      <c r="O447" s="463"/>
      <c r="P447" s="463"/>
      <c r="Q447" s="463"/>
      <c r="R447" s="463"/>
      <c r="S447" s="463"/>
      <c r="T447" s="463"/>
      <c r="U447" s="463"/>
      <c r="V447" s="463"/>
      <c r="W447" s="463"/>
      <c r="X447" s="463"/>
      <c r="Y447" s="463"/>
      <c r="Z447" s="463"/>
    </row>
    <row r="448" spans="1:26" ht="15.75" customHeight="1" x14ac:dyDescent="0.3">
      <c r="A448" s="463"/>
      <c r="B448" s="463"/>
      <c r="C448" s="463"/>
      <c r="D448" s="463"/>
      <c r="E448" s="463"/>
      <c r="F448" s="463"/>
      <c r="G448" s="463"/>
      <c r="H448" s="463"/>
      <c r="I448" s="463"/>
      <c r="J448" s="463"/>
      <c r="K448" s="463"/>
      <c r="L448" s="463"/>
      <c r="M448" s="463"/>
      <c r="N448" s="463"/>
      <c r="O448" s="463"/>
      <c r="P448" s="463"/>
      <c r="Q448" s="463"/>
      <c r="R448" s="463"/>
      <c r="S448" s="463"/>
      <c r="T448" s="463"/>
      <c r="U448" s="463"/>
      <c r="V448" s="463"/>
      <c r="W448" s="463"/>
      <c r="X448" s="463"/>
      <c r="Y448" s="463"/>
      <c r="Z448" s="463"/>
    </row>
    <row r="449" spans="1:26" ht="15.75" customHeight="1" x14ac:dyDescent="0.3">
      <c r="A449" s="463"/>
      <c r="B449" s="463"/>
      <c r="C449" s="463"/>
      <c r="D449" s="463"/>
      <c r="E449" s="463"/>
      <c r="F449" s="463"/>
      <c r="G449" s="463"/>
      <c r="H449" s="463"/>
      <c r="I449" s="463"/>
      <c r="J449" s="463"/>
      <c r="K449" s="463"/>
      <c r="L449" s="463"/>
      <c r="M449" s="463"/>
      <c r="N449" s="463"/>
      <c r="O449" s="463"/>
      <c r="P449" s="463"/>
      <c r="Q449" s="463"/>
      <c r="R449" s="463"/>
      <c r="S449" s="463"/>
      <c r="T449" s="463"/>
      <c r="U449" s="463"/>
      <c r="V449" s="463"/>
      <c r="W449" s="463"/>
      <c r="X449" s="463"/>
      <c r="Y449" s="463"/>
      <c r="Z449" s="463"/>
    </row>
    <row r="450" spans="1:26" ht="15.75" customHeight="1" x14ac:dyDescent="0.3">
      <c r="A450" s="463"/>
      <c r="B450" s="463"/>
      <c r="C450" s="463"/>
      <c r="D450" s="463"/>
      <c r="E450" s="463"/>
      <c r="F450" s="463"/>
      <c r="G450" s="463"/>
      <c r="H450" s="463"/>
      <c r="I450" s="463"/>
      <c r="J450" s="463"/>
      <c r="K450" s="463"/>
      <c r="L450" s="463"/>
      <c r="M450" s="463"/>
      <c r="N450" s="463"/>
      <c r="O450" s="463"/>
      <c r="P450" s="463"/>
      <c r="Q450" s="463"/>
      <c r="R450" s="463"/>
      <c r="S450" s="463"/>
      <c r="T450" s="463"/>
      <c r="U450" s="463"/>
      <c r="V450" s="463"/>
      <c r="W450" s="463"/>
      <c r="X450" s="463"/>
      <c r="Y450" s="463"/>
      <c r="Z450" s="463"/>
    </row>
    <row r="451" spans="1:26" ht="15.75" customHeight="1" x14ac:dyDescent="0.3">
      <c r="A451" s="463"/>
      <c r="B451" s="463"/>
      <c r="C451" s="463"/>
      <c r="D451" s="463"/>
      <c r="E451" s="463"/>
      <c r="F451" s="463"/>
      <c r="G451" s="463"/>
      <c r="H451" s="463"/>
      <c r="I451" s="463"/>
      <c r="J451" s="463"/>
      <c r="K451" s="463"/>
      <c r="L451" s="463"/>
      <c r="M451" s="463"/>
      <c r="N451" s="463"/>
      <c r="O451" s="463"/>
      <c r="P451" s="463"/>
      <c r="Q451" s="463"/>
      <c r="R451" s="463"/>
      <c r="S451" s="463"/>
      <c r="T451" s="463"/>
      <c r="U451" s="463"/>
      <c r="V451" s="463"/>
      <c r="W451" s="463"/>
      <c r="X451" s="463"/>
      <c r="Y451" s="463"/>
      <c r="Z451" s="463"/>
    </row>
    <row r="452" spans="1:26" ht="15.75" customHeight="1" x14ac:dyDescent="0.3">
      <c r="A452" s="463"/>
      <c r="B452" s="463"/>
      <c r="C452" s="463"/>
      <c r="D452" s="463"/>
      <c r="E452" s="463"/>
      <c r="F452" s="463"/>
      <c r="G452" s="463"/>
      <c r="H452" s="463"/>
      <c r="I452" s="463"/>
      <c r="J452" s="463"/>
      <c r="K452" s="463"/>
      <c r="L452" s="463"/>
      <c r="M452" s="463"/>
      <c r="N452" s="463"/>
      <c r="O452" s="463"/>
      <c r="P452" s="463"/>
      <c r="Q452" s="463"/>
      <c r="R452" s="463"/>
      <c r="S452" s="463"/>
      <c r="T452" s="463"/>
      <c r="U452" s="463"/>
      <c r="V452" s="463"/>
      <c r="W452" s="463"/>
      <c r="X452" s="463"/>
      <c r="Y452" s="463"/>
      <c r="Z452" s="463"/>
    </row>
    <row r="453" spans="1:26" ht="15.75" customHeight="1" x14ac:dyDescent="0.3">
      <c r="A453" s="463"/>
      <c r="B453" s="463"/>
      <c r="C453" s="463"/>
      <c r="D453" s="463"/>
      <c r="E453" s="463"/>
      <c r="F453" s="463"/>
      <c r="G453" s="463"/>
      <c r="H453" s="463"/>
      <c r="I453" s="463"/>
      <c r="J453" s="463"/>
      <c r="K453" s="463"/>
      <c r="L453" s="463"/>
      <c r="M453" s="463"/>
      <c r="N453" s="463"/>
      <c r="O453" s="463"/>
      <c r="P453" s="463"/>
      <c r="Q453" s="463"/>
      <c r="R453" s="463"/>
      <c r="S453" s="463"/>
      <c r="T453" s="463"/>
      <c r="U453" s="463"/>
      <c r="V453" s="463"/>
      <c r="W453" s="463"/>
      <c r="X453" s="463"/>
      <c r="Y453" s="463"/>
      <c r="Z453" s="463"/>
    </row>
    <row r="454" spans="1:26" ht="15.75" customHeight="1" x14ac:dyDescent="0.3">
      <c r="A454" s="463"/>
      <c r="B454" s="463"/>
      <c r="C454" s="463"/>
      <c r="D454" s="463"/>
      <c r="E454" s="463"/>
      <c r="F454" s="463"/>
      <c r="G454" s="463"/>
      <c r="H454" s="463"/>
      <c r="I454" s="463"/>
      <c r="J454" s="463"/>
      <c r="K454" s="463"/>
      <c r="L454" s="463"/>
      <c r="M454" s="463"/>
      <c r="N454" s="463"/>
      <c r="O454" s="463"/>
      <c r="P454" s="463"/>
      <c r="Q454" s="463"/>
      <c r="R454" s="463"/>
      <c r="S454" s="463"/>
      <c r="T454" s="463"/>
      <c r="U454" s="463"/>
      <c r="V454" s="463"/>
      <c r="W454" s="463"/>
      <c r="X454" s="463"/>
      <c r="Y454" s="463"/>
      <c r="Z454" s="463"/>
    </row>
    <row r="455" spans="1:26" ht="15.75" customHeight="1" x14ac:dyDescent="0.3">
      <c r="A455" s="463"/>
      <c r="B455" s="463"/>
      <c r="C455" s="463"/>
      <c r="D455" s="463"/>
      <c r="E455" s="463"/>
      <c r="F455" s="463"/>
      <c r="G455" s="463"/>
      <c r="H455" s="463"/>
      <c r="I455" s="463"/>
      <c r="J455" s="463"/>
      <c r="K455" s="463"/>
      <c r="L455" s="463"/>
      <c r="M455" s="463"/>
      <c r="N455" s="463"/>
      <c r="O455" s="463"/>
      <c r="P455" s="463"/>
      <c r="Q455" s="463"/>
      <c r="R455" s="463"/>
      <c r="S455" s="463"/>
      <c r="T455" s="463"/>
      <c r="U455" s="463"/>
      <c r="V455" s="463"/>
      <c r="W455" s="463"/>
      <c r="X455" s="463"/>
      <c r="Y455" s="463"/>
      <c r="Z455" s="463"/>
    </row>
    <row r="456" spans="1:26" ht="15.75" customHeight="1" x14ac:dyDescent="0.3">
      <c r="A456" s="463"/>
      <c r="B456" s="463"/>
      <c r="C456" s="463"/>
      <c r="D456" s="463"/>
      <c r="E456" s="463"/>
      <c r="F456" s="463"/>
      <c r="G456" s="463"/>
      <c r="H456" s="463"/>
      <c r="I456" s="463"/>
      <c r="J456" s="463"/>
      <c r="K456" s="463"/>
      <c r="L456" s="463"/>
      <c r="M456" s="463"/>
      <c r="N456" s="463"/>
      <c r="O456" s="463"/>
      <c r="P456" s="463"/>
      <c r="Q456" s="463"/>
      <c r="R456" s="463"/>
      <c r="S456" s="463"/>
      <c r="T456" s="463"/>
      <c r="U456" s="463"/>
      <c r="V456" s="463"/>
      <c r="W456" s="463"/>
      <c r="X456" s="463"/>
      <c r="Y456" s="463"/>
      <c r="Z456" s="463"/>
    </row>
    <row r="457" spans="1:26" ht="15.75" customHeight="1" x14ac:dyDescent="0.3">
      <c r="A457" s="463"/>
      <c r="B457" s="463"/>
      <c r="C457" s="463"/>
      <c r="D457" s="463"/>
      <c r="E457" s="463"/>
      <c r="F457" s="463"/>
      <c r="G457" s="463"/>
      <c r="H457" s="463"/>
      <c r="I457" s="463"/>
      <c r="J457" s="463"/>
      <c r="K457" s="463"/>
      <c r="L457" s="463"/>
      <c r="M457" s="463"/>
      <c r="N457" s="463"/>
      <c r="O457" s="463"/>
      <c r="P457" s="463"/>
      <c r="Q457" s="463"/>
      <c r="R457" s="463"/>
      <c r="S457" s="463"/>
      <c r="T457" s="463"/>
      <c r="U457" s="463"/>
      <c r="V457" s="463"/>
      <c r="W457" s="463"/>
      <c r="X457" s="463"/>
      <c r="Y457" s="463"/>
      <c r="Z457" s="463"/>
    </row>
    <row r="458" spans="1:26" ht="15.75" customHeight="1" x14ac:dyDescent="0.3">
      <c r="A458" s="463"/>
      <c r="B458" s="463"/>
      <c r="C458" s="463"/>
      <c r="D458" s="463"/>
      <c r="E458" s="463"/>
      <c r="F458" s="463"/>
      <c r="G458" s="463"/>
      <c r="H458" s="463"/>
      <c r="I458" s="463"/>
      <c r="J458" s="463"/>
      <c r="K458" s="463"/>
      <c r="L458" s="463"/>
      <c r="M458" s="463"/>
      <c r="N458" s="463"/>
      <c r="O458" s="463"/>
      <c r="P458" s="463"/>
      <c r="Q458" s="463"/>
      <c r="R458" s="463"/>
      <c r="S458" s="463"/>
      <c r="T458" s="463"/>
      <c r="U458" s="463"/>
      <c r="V458" s="463"/>
      <c r="W458" s="463"/>
      <c r="X458" s="463"/>
      <c r="Y458" s="463"/>
      <c r="Z458" s="463"/>
    </row>
    <row r="459" spans="1:26" ht="15.75" customHeight="1" x14ac:dyDescent="0.3">
      <c r="A459" s="463"/>
      <c r="B459" s="463"/>
      <c r="C459" s="463"/>
      <c r="D459" s="463"/>
      <c r="E459" s="463"/>
      <c r="F459" s="463"/>
      <c r="G459" s="463"/>
      <c r="H459" s="463"/>
      <c r="I459" s="463"/>
      <c r="J459" s="463"/>
      <c r="K459" s="463"/>
      <c r="L459" s="463"/>
      <c r="M459" s="463"/>
      <c r="N459" s="463"/>
      <c r="O459" s="463"/>
      <c r="P459" s="463"/>
      <c r="Q459" s="463"/>
      <c r="R459" s="463"/>
      <c r="S459" s="463"/>
      <c r="T459" s="463"/>
      <c r="U459" s="463"/>
      <c r="V459" s="463"/>
      <c r="W459" s="463"/>
      <c r="X459" s="463"/>
      <c r="Y459" s="463"/>
      <c r="Z459" s="463"/>
    </row>
    <row r="460" spans="1:26" ht="15.75" customHeight="1" x14ac:dyDescent="0.3">
      <c r="A460" s="463"/>
      <c r="B460" s="463"/>
      <c r="C460" s="463"/>
      <c r="D460" s="463"/>
      <c r="E460" s="463"/>
      <c r="F460" s="463"/>
      <c r="G460" s="463"/>
      <c r="H460" s="463"/>
      <c r="I460" s="463"/>
      <c r="J460" s="463"/>
      <c r="K460" s="463"/>
      <c r="L460" s="463"/>
      <c r="M460" s="463"/>
      <c r="N460" s="463"/>
      <c r="O460" s="463"/>
      <c r="P460" s="463"/>
      <c r="Q460" s="463"/>
      <c r="R460" s="463"/>
      <c r="S460" s="463"/>
      <c r="T460" s="463"/>
      <c r="U460" s="463"/>
      <c r="V460" s="463"/>
      <c r="W460" s="463"/>
      <c r="X460" s="463"/>
      <c r="Y460" s="463"/>
      <c r="Z460" s="463"/>
    </row>
    <row r="461" spans="1:26" ht="15.75" customHeight="1" x14ac:dyDescent="0.3">
      <c r="A461" s="463"/>
      <c r="B461" s="463"/>
      <c r="C461" s="463"/>
      <c r="D461" s="463"/>
      <c r="E461" s="463"/>
      <c r="F461" s="463"/>
      <c r="G461" s="463"/>
      <c r="H461" s="463"/>
      <c r="I461" s="463"/>
      <c r="J461" s="463"/>
      <c r="K461" s="463"/>
      <c r="L461" s="463"/>
      <c r="M461" s="463"/>
      <c r="N461" s="463"/>
      <c r="O461" s="463"/>
      <c r="P461" s="463"/>
      <c r="Q461" s="463"/>
      <c r="R461" s="463"/>
      <c r="S461" s="463"/>
      <c r="T461" s="463"/>
      <c r="U461" s="463"/>
      <c r="V461" s="463"/>
      <c r="W461" s="463"/>
      <c r="X461" s="463"/>
      <c r="Y461" s="463"/>
      <c r="Z461" s="463"/>
    </row>
    <row r="462" spans="1:26" ht="15.75" customHeight="1" x14ac:dyDescent="0.3">
      <c r="A462" s="463"/>
      <c r="B462" s="463"/>
      <c r="C462" s="463"/>
      <c r="D462" s="463"/>
      <c r="E462" s="463"/>
      <c r="F462" s="463"/>
      <c r="G462" s="463"/>
      <c r="H462" s="463"/>
      <c r="I462" s="463"/>
      <c r="J462" s="463"/>
      <c r="K462" s="463"/>
      <c r="L462" s="463"/>
      <c r="M462" s="463"/>
      <c r="N462" s="463"/>
      <c r="O462" s="463"/>
      <c r="P462" s="463"/>
      <c r="Q462" s="463"/>
      <c r="R462" s="463"/>
      <c r="S462" s="463"/>
      <c r="T462" s="463"/>
      <c r="U462" s="463"/>
      <c r="V462" s="463"/>
      <c r="W462" s="463"/>
      <c r="X462" s="463"/>
      <c r="Y462" s="463"/>
      <c r="Z462" s="463"/>
    </row>
    <row r="463" spans="1:26" ht="15.75" customHeight="1" x14ac:dyDescent="0.3">
      <c r="A463" s="463"/>
      <c r="B463" s="463"/>
      <c r="C463" s="463"/>
      <c r="D463" s="463"/>
      <c r="E463" s="463"/>
      <c r="F463" s="463"/>
      <c r="G463" s="463"/>
      <c r="H463" s="463"/>
      <c r="I463" s="463"/>
      <c r="J463" s="463"/>
      <c r="K463" s="463"/>
      <c r="L463" s="463"/>
      <c r="M463" s="463"/>
      <c r="N463" s="463"/>
      <c r="O463" s="463"/>
      <c r="P463" s="463"/>
      <c r="Q463" s="463"/>
      <c r="R463" s="463"/>
      <c r="S463" s="463"/>
      <c r="T463" s="463"/>
      <c r="U463" s="463"/>
      <c r="V463" s="463"/>
      <c r="W463" s="463"/>
      <c r="X463" s="463"/>
      <c r="Y463" s="463"/>
      <c r="Z463" s="463"/>
    </row>
    <row r="464" spans="1:26" ht="15.75" customHeight="1" x14ac:dyDescent="0.3">
      <c r="A464" s="463"/>
      <c r="B464" s="463"/>
      <c r="C464" s="463"/>
      <c r="D464" s="463"/>
      <c r="E464" s="463"/>
      <c r="F464" s="463"/>
      <c r="G464" s="463"/>
      <c r="H464" s="463"/>
      <c r="I464" s="463"/>
      <c r="J464" s="463"/>
      <c r="K464" s="463"/>
      <c r="L464" s="463"/>
      <c r="M464" s="463"/>
      <c r="N464" s="463"/>
      <c r="O464" s="463"/>
      <c r="P464" s="463"/>
      <c r="Q464" s="463"/>
      <c r="R464" s="463"/>
      <c r="S464" s="463"/>
      <c r="T464" s="463"/>
      <c r="U464" s="463"/>
      <c r="V464" s="463"/>
      <c r="W464" s="463"/>
      <c r="X464" s="463"/>
      <c r="Y464" s="463"/>
      <c r="Z464" s="463"/>
    </row>
    <row r="465" spans="1:26" ht="15.75" customHeight="1" x14ac:dyDescent="0.3">
      <c r="A465" s="463"/>
      <c r="B465" s="463"/>
      <c r="C465" s="463"/>
      <c r="D465" s="463"/>
      <c r="E465" s="463"/>
      <c r="F465" s="463"/>
      <c r="G465" s="463"/>
      <c r="H465" s="463"/>
      <c r="I465" s="463"/>
      <c r="J465" s="463"/>
      <c r="K465" s="463"/>
      <c r="L465" s="463"/>
      <c r="M465" s="463"/>
      <c r="N465" s="463"/>
      <c r="O465" s="463"/>
      <c r="P465" s="463"/>
      <c r="Q465" s="463"/>
      <c r="R465" s="463"/>
      <c r="S465" s="463"/>
      <c r="T465" s="463"/>
      <c r="U465" s="463"/>
      <c r="V465" s="463"/>
      <c r="W465" s="463"/>
      <c r="X465" s="463"/>
      <c r="Y465" s="463"/>
      <c r="Z465" s="463"/>
    </row>
    <row r="466" spans="1:26" ht="15.75" customHeight="1" x14ac:dyDescent="0.3">
      <c r="A466" s="463"/>
      <c r="B466" s="463"/>
      <c r="C466" s="463"/>
      <c r="D466" s="463"/>
      <c r="E466" s="463"/>
      <c r="F466" s="463"/>
      <c r="G466" s="463"/>
      <c r="H466" s="463"/>
      <c r="I466" s="463"/>
      <c r="J466" s="463"/>
      <c r="K466" s="463"/>
      <c r="L466" s="463"/>
      <c r="M466" s="463"/>
      <c r="N466" s="463"/>
      <c r="O466" s="463"/>
      <c r="P466" s="463"/>
      <c r="Q466" s="463"/>
      <c r="R466" s="463"/>
      <c r="S466" s="463"/>
      <c r="T466" s="463"/>
      <c r="U466" s="463"/>
      <c r="V466" s="463"/>
      <c r="W466" s="463"/>
      <c r="X466" s="463"/>
      <c r="Y466" s="463"/>
      <c r="Z466" s="463"/>
    </row>
    <row r="467" spans="1:26" ht="15.75" customHeight="1" x14ac:dyDescent="0.3">
      <c r="A467" s="463"/>
      <c r="B467" s="463"/>
      <c r="C467" s="463"/>
      <c r="D467" s="463"/>
      <c r="E467" s="463"/>
      <c r="F467" s="463"/>
      <c r="G467" s="463"/>
      <c r="H467" s="463"/>
      <c r="I467" s="463"/>
      <c r="J467" s="463"/>
      <c r="K467" s="463"/>
      <c r="L467" s="463"/>
      <c r="M467" s="463"/>
      <c r="N467" s="463"/>
      <c r="O467" s="463"/>
      <c r="P467" s="463"/>
      <c r="Q467" s="463"/>
      <c r="R467" s="463"/>
      <c r="S467" s="463"/>
      <c r="T467" s="463"/>
      <c r="U467" s="463"/>
      <c r="V467" s="463"/>
      <c r="W467" s="463"/>
      <c r="X467" s="463"/>
      <c r="Y467" s="463"/>
      <c r="Z467" s="463"/>
    </row>
    <row r="468" spans="1:26" ht="15.75" customHeight="1" x14ac:dyDescent="0.3">
      <c r="A468" s="463"/>
      <c r="B468" s="463"/>
      <c r="C468" s="463"/>
      <c r="D468" s="463"/>
      <c r="E468" s="463"/>
      <c r="F468" s="463"/>
      <c r="G468" s="463"/>
      <c r="H468" s="463"/>
      <c r="I468" s="463"/>
      <c r="J468" s="463"/>
      <c r="K468" s="463"/>
      <c r="L468" s="463"/>
      <c r="M468" s="463"/>
      <c r="N468" s="463"/>
      <c r="O468" s="463"/>
      <c r="P468" s="463"/>
      <c r="Q468" s="463"/>
      <c r="R468" s="463"/>
      <c r="S468" s="463"/>
      <c r="T468" s="463"/>
      <c r="U468" s="463"/>
      <c r="V468" s="463"/>
      <c r="W468" s="463"/>
      <c r="X468" s="463"/>
      <c r="Y468" s="463"/>
      <c r="Z468" s="463"/>
    </row>
    <row r="469" spans="1:26" ht="15.75" customHeight="1" x14ac:dyDescent="0.3">
      <c r="A469" s="463"/>
      <c r="B469" s="463"/>
      <c r="C469" s="463"/>
      <c r="D469" s="463"/>
      <c r="E469" s="463"/>
      <c r="F469" s="463"/>
      <c r="G469" s="463"/>
      <c r="H469" s="463"/>
      <c r="I469" s="463"/>
      <c r="J469" s="463"/>
      <c r="K469" s="463"/>
      <c r="L469" s="463"/>
      <c r="M469" s="463"/>
      <c r="N469" s="463"/>
      <c r="O469" s="463"/>
      <c r="P469" s="463"/>
      <c r="Q469" s="463"/>
      <c r="R469" s="463"/>
      <c r="S469" s="463"/>
      <c r="T469" s="463"/>
      <c r="U469" s="463"/>
      <c r="V469" s="463"/>
      <c r="W469" s="463"/>
      <c r="X469" s="463"/>
      <c r="Y469" s="463"/>
      <c r="Z469" s="463"/>
    </row>
    <row r="470" spans="1:26" ht="15.75" customHeight="1" x14ac:dyDescent="0.3">
      <c r="A470" s="463"/>
      <c r="B470" s="463"/>
      <c r="C470" s="463"/>
      <c r="D470" s="463"/>
      <c r="E470" s="463"/>
      <c r="F470" s="463"/>
      <c r="G470" s="463"/>
      <c r="H470" s="463"/>
      <c r="I470" s="463"/>
      <c r="J470" s="463"/>
      <c r="K470" s="463"/>
      <c r="L470" s="463"/>
      <c r="M470" s="463"/>
      <c r="N470" s="463"/>
      <c r="O470" s="463"/>
      <c r="P470" s="463"/>
      <c r="Q470" s="463"/>
      <c r="R470" s="463"/>
      <c r="S470" s="463"/>
      <c r="T470" s="463"/>
      <c r="U470" s="463"/>
      <c r="V470" s="463"/>
      <c r="W470" s="463"/>
      <c r="X470" s="463"/>
      <c r="Y470" s="463"/>
      <c r="Z470" s="463"/>
    </row>
    <row r="471" spans="1:26" ht="15.75" customHeight="1" x14ac:dyDescent="0.3">
      <c r="A471" s="463"/>
      <c r="B471" s="463"/>
      <c r="C471" s="463"/>
      <c r="D471" s="463"/>
      <c r="E471" s="463"/>
      <c r="F471" s="463"/>
      <c r="G471" s="463"/>
      <c r="H471" s="463"/>
      <c r="I471" s="463"/>
      <c r="J471" s="463"/>
      <c r="K471" s="463"/>
      <c r="L471" s="463"/>
      <c r="M471" s="463"/>
      <c r="N471" s="463"/>
      <c r="O471" s="463"/>
      <c r="P471" s="463"/>
      <c r="Q471" s="463"/>
      <c r="R471" s="463"/>
      <c r="S471" s="463"/>
      <c r="T471" s="463"/>
      <c r="U471" s="463"/>
      <c r="V471" s="463"/>
      <c r="W471" s="463"/>
      <c r="X471" s="463"/>
      <c r="Y471" s="463"/>
      <c r="Z471" s="463"/>
    </row>
    <row r="472" spans="1:26" ht="15.75" customHeight="1" x14ac:dyDescent="0.3">
      <c r="A472" s="463"/>
      <c r="B472" s="463"/>
      <c r="C472" s="463"/>
      <c r="D472" s="463"/>
      <c r="E472" s="463"/>
      <c r="F472" s="463"/>
      <c r="G472" s="463"/>
      <c r="H472" s="463"/>
      <c r="I472" s="463"/>
      <c r="J472" s="463"/>
      <c r="K472" s="463"/>
      <c r="L472" s="463"/>
      <c r="M472" s="463"/>
      <c r="N472" s="463"/>
      <c r="O472" s="463"/>
      <c r="P472" s="463"/>
      <c r="Q472" s="463"/>
      <c r="R472" s="463"/>
      <c r="S472" s="463"/>
      <c r="T472" s="463"/>
      <c r="U472" s="463"/>
      <c r="V472" s="463"/>
      <c r="W472" s="463"/>
      <c r="X472" s="463"/>
      <c r="Y472" s="463"/>
      <c r="Z472" s="463"/>
    </row>
    <row r="473" spans="1:26" ht="15.75" customHeight="1" x14ac:dyDescent="0.3">
      <c r="A473" s="463"/>
      <c r="B473" s="463"/>
      <c r="C473" s="463"/>
      <c r="D473" s="463"/>
      <c r="E473" s="463"/>
      <c r="F473" s="463"/>
      <c r="G473" s="463"/>
      <c r="H473" s="463"/>
      <c r="I473" s="463"/>
      <c r="J473" s="463"/>
      <c r="K473" s="463"/>
      <c r="L473" s="463"/>
      <c r="M473" s="463"/>
      <c r="N473" s="463"/>
      <c r="O473" s="463"/>
      <c r="P473" s="463"/>
      <c r="Q473" s="463"/>
      <c r="R473" s="463"/>
      <c r="S473" s="463"/>
      <c r="T473" s="463"/>
      <c r="U473" s="463"/>
      <c r="V473" s="463"/>
      <c r="W473" s="463"/>
      <c r="X473" s="463"/>
      <c r="Y473" s="463"/>
      <c r="Z473" s="463"/>
    </row>
    <row r="474" spans="1:26" ht="15.75" customHeight="1" x14ac:dyDescent="0.3">
      <c r="A474" s="463"/>
      <c r="B474" s="463"/>
      <c r="C474" s="463"/>
      <c r="D474" s="463"/>
      <c r="E474" s="463"/>
      <c r="F474" s="463"/>
      <c r="G474" s="463"/>
      <c r="H474" s="463"/>
      <c r="I474" s="463"/>
      <c r="J474" s="463"/>
      <c r="K474" s="463"/>
      <c r="L474" s="463"/>
      <c r="M474" s="463"/>
      <c r="N474" s="463"/>
      <c r="O474" s="463"/>
      <c r="P474" s="463"/>
      <c r="Q474" s="463"/>
      <c r="R474" s="463"/>
      <c r="S474" s="463"/>
      <c r="T474" s="463"/>
      <c r="U474" s="463"/>
      <c r="V474" s="463"/>
      <c r="W474" s="463"/>
      <c r="X474" s="463"/>
      <c r="Y474" s="463"/>
      <c r="Z474" s="463"/>
    </row>
    <row r="475" spans="1:26" ht="15.75" customHeight="1" x14ac:dyDescent="0.3">
      <c r="A475" s="463"/>
      <c r="B475" s="463"/>
      <c r="C475" s="463"/>
      <c r="D475" s="463"/>
      <c r="E475" s="463"/>
      <c r="F475" s="463"/>
      <c r="G475" s="463"/>
      <c r="H475" s="463"/>
      <c r="I475" s="463"/>
      <c r="J475" s="463"/>
      <c r="K475" s="463"/>
      <c r="L475" s="463"/>
      <c r="M475" s="463"/>
      <c r="N475" s="463"/>
      <c r="O475" s="463"/>
      <c r="P475" s="463"/>
      <c r="Q475" s="463"/>
      <c r="R475" s="463"/>
      <c r="S475" s="463"/>
      <c r="T475" s="463"/>
      <c r="U475" s="463"/>
      <c r="V475" s="463"/>
      <c r="W475" s="463"/>
      <c r="X475" s="463"/>
      <c r="Y475" s="463"/>
      <c r="Z475" s="463"/>
    </row>
    <row r="476" spans="1:26" ht="15.75" customHeight="1" x14ac:dyDescent="0.3">
      <c r="A476" s="463"/>
      <c r="B476" s="463"/>
      <c r="C476" s="463"/>
      <c r="D476" s="463"/>
      <c r="E476" s="463"/>
      <c r="F476" s="463"/>
      <c r="G476" s="463"/>
      <c r="H476" s="463"/>
      <c r="I476" s="463"/>
      <c r="J476" s="463"/>
      <c r="K476" s="463"/>
      <c r="L476" s="463"/>
      <c r="M476" s="463"/>
      <c r="N476" s="463"/>
      <c r="O476" s="463"/>
      <c r="P476" s="463"/>
      <c r="Q476" s="463"/>
      <c r="R476" s="463"/>
      <c r="S476" s="463"/>
      <c r="T476" s="463"/>
      <c r="U476" s="463"/>
      <c r="V476" s="463"/>
      <c r="W476" s="463"/>
      <c r="X476" s="463"/>
      <c r="Y476" s="463"/>
      <c r="Z476" s="463"/>
    </row>
    <row r="477" spans="1:26" ht="15.75" customHeight="1" x14ac:dyDescent="0.3">
      <c r="A477" s="463"/>
      <c r="B477" s="463"/>
      <c r="C477" s="463"/>
      <c r="D477" s="463"/>
      <c r="E477" s="463"/>
      <c r="F477" s="463"/>
      <c r="G477" s="463"/>
      <c r="H477" s="463"/>
      <c r="I477" s="463"/>
      <c r="J477" s="463"/>
      <c r="K477" s="463"/>
      <c r="L477" s="463"/>
      <c r="M477" s="463"/>
      <c r="N477" s="463"/>
      <c r="O477" s="463"/>
      <c r="P477" s="463"/>
      <c r="Q477" s="463"/>
      <c r="R477" s="463"/>
      <c r="S477" s="463"/>
      <c r="T477" s="463"/>
      <c r="U477" s="463"/>
      <c r="V477" s="463"/>
      <c r="W477" s="463"/>
      <c r="X477" s="463"/>
      <c r="Y477" s="463"/>
      <c r="Z477" s="463"/>
    </row>
    <row r="478" spans="1:26" ht="15.75" customHeight="1" x14ac:dyDescent="0.3">
      <c r="A478" s="463"/>
      <c r="B478" s="463"/>
      <c r="C478" s="463"/>
      <c r="D478" s="463"/>
      <c r="E478" s="463"/>
      <c r="F478" s="463"/>
      <c r="G478" s="463"/>
      <c r="H478" s="463"/>
      <c r="I478" s="463"/>
      <c r="J478" s="463"/>
      <c r="K478" s="463"/>
      <c r="L478" s="463"/>
      <c r="M478" s="463"/>
      <c r="N478" s="463"/>
      <c r="O478" s="463"/>
      <c r="P478" s="463"/>
      <c r="Q478" s="463"/>
      <c r="R478" s="463"/>
      <c r="S478" s="463"/>
      <c r="T478" s="463"/>
      <c r="U478" s="463"/>
      <c r="V478" s="463"/>
      <c r="W478" s="463"/>
      <c r="X478" s="463"/>
      <c r="Y478" s="463"/>
      <c r="Z478" s="463"/>
    </row>
    <row r="479" spans="1:26" ht="15.75" customHeight="1" x14ac:dyDescent="0.3">
      <c r="A479" s="463"/>
      <c r="B479" s="463"/>
      <c r="C479" s="463"/>
      <c r="D479" s="463"/>
      <c r="E479" s="463"/>
      <c r="F479" s="463"/>
      <c r="G479" s="463"/>
      <c r="H479" s="463"/>
      <c r="I479" s="463"/>
      <c r="J479" s="463"/>
      <c r="K479" s="463"/>
      <c r="L479" s="463"/>
      <c r="M479" s="463"/>
      <c r="N479" s="463"/>
      <c r="O479" s="463"/>
      <c r="P479" s="463"/>
      <c r="Q479" s="463"/>
      <c r="R479" s="463"/>
      <c r="S479" s="463"/>
      <c r="T479" s="463"/>
      <c r="U479" s="463"/>
      <c r="V479" s="463"/>
      <c r="W479" s="463"/>
      <c r="X479" s="463"/>
      <c r="Y479" s="463"/>
      <c r="Z479" s="463"/>
    </row>
    <row r="480" spans="1:26" ht="15.75" customHeight="1" x14ac:dyDescent="0.3">
      <c r="A480" s="463"/>
      <c r="B480" s="463"/>
      <c r="C480" s="463"/>
      <c r="D480" s="463"/>
      <c r="E480" s="463"/>
      <c r="F480" s="463"/>
      <c r="G480" s="463"/>
      <c r="H480" s="463"/>
      <c r="I480" s="463"/>
      <c r="J480" s="463"/>
      <c r="K480" s="463"/>
      <c r="L480" s="463"/>
      <c r="M480" s="463"/>
      <c r="N480" s="463"/>
      <c r="O480" s="463"/>
      <c r="P480" s="463"/>
      <c r="Q480" s="463"/>
      <c r="R480" s="463"/>
      <c r="S480" s="463"/>
      <c r="T480" s="463"/>
      <c r="U480" s="463"/>
      <c r="V480" s="463"/>
      <c r="W480" s="463"/>
      <c r="X480" s="463"/>
      <c r="Y480" s="463"/>
      <c r="Z480" s="463"/>
    </row>
    <row r="481" spans="1:26" ht="15.75" customHeight="1" x14ac:dyDescent="0.3">
      <c r="A481" s="463"/>
      <c r="B481" s="463"/>
      <c r="C481" s="463"/>
      <c r="D481" s="463"/>
      <c r="E481" s="463"/>
      <c r="F481" s="463"/>
      <c r="G481" s="463"/>
      <c r="H481" s="463"/>
      <c r="I481" s="463"/>
      <c r="J481" s="463"/>
      <c r="K481" s="463"/>
      <c r="L481" s="463"/>
      <c r="M481" s="463"/>
      <c r="N481" s="463"/>
      <c r="O481" s="463"/>
      <c r="P481" s="463"/>
      <c r="Q481" s="463"/>
      <c r="R481" s="463"/>
      <c r="S481" s="463"/>
      <c r="T481" s="463"/>
      <c r="U481" s="463"/>
      <c r="V481" s="463"/>
      <c r="W481" s="463"/>
      <c r="X481" s="463"/>
      <c r="Y481" s="463"/>
      <c r="Z481" s="463"/>
    </row>
    <row r="482" spans="1:26" ht="15.75" customHeight="1" x14ac:dyDescent="0.3">
      <c r="A482" s="463"/>
      <c r="B482" s="463"/>
      <c r="C482" s="463"/>
      <c r="D482" s="463"/>
      <c r="E482" s="463"/>
      <c r="F482" s="463"/>
      <c r="G482" s="463"/>
      <c r="H482" s="463"/>
      <c r="I482" s="463"/>
      <c r="J482" s="463"/>
      <c r="K482" s="463"/>
      <c r="L482" s="463"/>
      <c r="M482" s="463"/>
      <c r="N482" s="463"/>
      <c r="O482" s="463"/>
      <c r="P482" s="463"/>
      <c r="Q482" s="463"/>
      <c r="R482" s="463"/>
      <c r="S482" s="463"/>
      <c r="T482" s="463"/>
      <c r="U482" s="463"/>
      <c r="V482" s="463"/>
      <c r="W482" s="463"/>
      <c r="X482" s="463"/>
      <c r="Y482" s="463"/>
      <c r="Z482" s="463"/>
    </row>
    <row r="483" spans="1:26" ht="15.75" customHeight="1" x14ac:dyDescent="0.3">
      <c r="A483" s="463"/>
      <c r="B483" s="463"/>
      <c r="C483" s="463"/>
      <c r="D483" s="463"/>
      <c r="E483" s="463"/>
      <c r="F483" s="463"/>
      <c r="G483" s="463"/>
      <c r="H483" s="463"/>
      <c r="I483" s="463"/>
      <c r="J483" s="463"/>
      <c r="K483" s="463"/>
      <c r="L483" s="463"/>
      <c r="M483" s="463"/>
      <c r="N483" s="463"/>
      <c r="O483" s="463"/>
      <c r="P483" s="463"/>
      <c r="Q483" s="463"/>
      <c r="R483" s="463"/>
      <c r="S483" s="463"/>
      <c r="T483" s="463"/>
      <c r="U483" s="463"/>
      <c r="V483" s="463"/>
      <c r="W483" s="463"/>
      <c r="X483" s="463"/>
      <c r="Y483" s="463"/>
      <c r="Z483" s="463"/>
    </row>
    <row r="484" spans="1:26" ht="15.75" customHeight="1" x14ac:dyDescent="0.3">
      <c r="A484" s="463"/>
      <c r="B484" s="463"/>
      <c r="C484" s="463"/>
      <c r="D484" s="463"/>
      <c r="E484" s="463"/>
      <c r="F484" s="463"/>
      <c r="G484" s="463"/>
      <c r="H484" s="463"/>
      <c r="I484" s="463"/>
      <c r="J484" s="463"/>
      <c r="K484" s="463"/>
      <c r="L484" s="463"/>
      <c r="M484" s="463"/>
      <c r="N484" s="463"/>
      <c r="O484" s="463"/>
      <c r="P484" s="463"/>
      <c r="Q484" s="463"/>
      <c r="R484" s="463"/>
      <c r="S484" s="463"/>
      <c r="T484" s="463"/>
      <c r="U484" s="463"/>
      <c r="V484" s="463"/>
      <c r="W484" s="463"/>
      <c r="X484" s="463"/>
      <c r="Y484" s="463"/>
      <c r="Z484" s="463"/>
    </row>
    <row r="485" spans="1:26" ht="15.75" customHeight="1" x14ac:dyDescent="0.3">
      <c r="A485" s="463"/>
      <c r="B485" s="463"/>
      <c r="C485" s="463"/>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63"/>
      <c r="Z485" s="463"/>
    </row>
    <row r="486" spans="1:26" ht="15.75" customHeight="1" x14ac:dyDescent="0.3">
      <c r="A486" s="463"/>
      <c r="B486" s="463"/>
      <c r="C486" s="463"/>
      <c r="D486" s="463"/>
      <c r="E486" s="463"/>
      <c r="F486" s="463"/>
      <c r="G486" s="463"/>
      <c r="H486" s="463"/>
      <c r="I486" s="463"/>
      <c r="J486" s="463"/>
      <c r="K486" s="463"/>
      <c r="L486" s="463"/>
      <c r="M486" s="463"/>
      <c r="N486" s="463"/>
      <c r="O486" s="463"/>
      <c r="P486" s="463"/>
      <c r="Q486" s="463"/>
      <c r="R486" s="463"/>
      <c r="S486" s="463"/>
      <c r="T486" s="463"/>
      <c r="U486" s="463"/>
      <c r="V486" s="463"/>
      <c r="W486" s="463"/>
      <c r="X486" s="463"/>
      <c r="Y486" s="463"/>
      <c r="Z486" s="463"/>
    </row>
    <row r="487" spans="1:26" ht="15.75" customHeight="1" x14ac:dyDescent="0.3">
      <c r="A487" s="463"/>
      <c r="B487" s="463"/>
      <c r="C487" s="463"/>
      <c r="D487" s="463"/>
      <c r="E487" s="463"/>
      <c r="F487" s="463"/>
      <c r="G487" s="463"/>
      <c r="H487" s="463"/>
      <c r="I487" s="463"/>
      <c r="J487" s="463"/>
      <c r="K487" s="463"/>
      <c r="L487" s="463"/>
      <c r="M487" s="463"/>
      <c r="N487" s="463"/>
      <c r="O487" s="463"/>
      <c r="P487" s="463"/>
      <c r="Q487" s="463"/>
      <c r="R487" s="463"/>
      <c r="S487" s="463"/>
      <c r="T487" s="463"/>
      <c r="U487" s="463"/>
      <c r="V487" s="463"/>
      <c r="W487" s="463"/>
      <c r="X487" s="463"/>
      <c r="Y487" s="463"/>
      <c r="Z487" s="463"/>
    </row>
    <row r="488" spans="1:26" ht="15.75" customHeight="1" x14ac:dyDescent="0.3">
      <c r="A488" s="463"/>
      <c r="B488" s="463"/>
      <c r="C488" s="463"/>
      <c r="D488" s="463"/>
      <c r="E488" s="463"/>
      <c r="F488" s="463"/>
      <c r="G488" s="463"/>
      <c r="H488" s="463"/>
      <c r="I488" s="463"/>
      <c r="J488" s="463"/>
      <c r="K488" s="463"/>
      <c r="L488" s="463"/>
      <c r="M488" s="463"/>
      <c r="N488" s="463"/>
      <c r="O488" s="463"/>
      <c r="P488" s="463"/>
      <c r="Q488" s="463"/>
      <c r="R488" s="463"/>
      <c r="S488" s="463"/>
      <c r="T488" s="463"/>
      <c r="U488" s="463"/>
      <c r="V488" s="463"/>
      <c r="W488" s="463"/>
      <c r="X488" s="463"/>
      <c r="Y488" s="463"/>
      <c r="Z488" s="463"/>
    </row>
    <row r="489" spans="1:26" ht="15.75" customHeight="1" x14ac:dyDescent="0.3">
      <c r="A489" s="463"/>
      <c r="B489" s="463"/>
      <c r="C489" s="463"/>
      <c r="D489" s="463"/>
      <c r="E489" s="463"/>
      <c r="F489" s="463"/>
      <c r="G489" s="463"/>
      <c r="H489" s="463"/>
      <c r="I489" s="463"/>
      <c r="J489" s="463"/>
      <c r="K489" s="463"/>
      <c r="L489" s="463"/>
      <c r="M489" s="463"/>
      <c r="N489" s="463"/>
      <c r="O489" s="463"/>
      <c r="P489" s="463"/>
      <c r="Q489" s="463"/>
      <c r="R489" s="463"/>
      <c r="S489" s="463"/>
      <c r="T489" s="463"/>
      <c r="U489" s="463"/>
      <c r="V489" s="463"/>
      <c r="W489" s="463"/>
      <c r="X489" s="463"/>
      <c r="Y489" s="463"/>
      <c r="Z489" s="463"/>
    </row>
    <row r="490" spans="1:26" ht="15.75" customHeight="1" x14ac:dyDescent="0.3">
      <c r="A490" s="463"/>
      <c r="B490" s="463"/>
      <c r="C490" s="463"/>
      <c r="D490" s="463"/>
      <c r="E490" s="463"/>
      <c r="F490" s="463"/>
      <c r="G490" s="463"/>
      <c r="H490" s="463"/>
      <c r="I490" s="463"/>
      <c r="J490" s="463"/>
      <c r="K490" s="463"/>
      <c r="L490" s="463"/>
      <c r="M490" s="463"/>
      <c r="N490" s="463"/>
      <c r="O490" s="463"/>
      <c r="P490" s="463"/>
      <c r="Q490" s="463"/>
      <c r="R490" s="463"/>
      <c r="S490" s="463"/>
      <c r="T490" s="463"/>
      <c r="U490" s="463"/>
      <c r="V490" s="463"/>
      <c r="W490" s="463"/>
      <c r="X490" s="463"/>
      <c r="Y490" s="463"/>
      <c r="Z490" s="463"/>
    </row>
    <row r="491" spans="1:26" ht="15.75" customHeight="1" x14ac:dyDescent="0.3">
      <c r="A491" s="463"/>
      <c r="B491" s="463"/>
      <c r="C491" s="463"/>
      <c r="D491" s="463"/>
      <c r="E491" s="463"/>
      <c r="F491" s="463"/>
      <c r="G491" s="463"/>
      <c r="H491" s="463"/>
      <c r="I491" s="463"/>
      <c r="J491" s="463"/>
      <c r="K491" s="463"/>
      <c r="L491" s="463"/>
      <c r="M491" s="463"/>
      <c r="N491" s="463"/>
      <c r="O491" s="463"/>
      <c r="P491" s="463"/>
      <c r="Q491" s="463"/>
      <c r="R491" s="463"/>
      <c r="S491" s="463"/>
      <c r="T491" s="463"/>
      <c r="U491" s="463"/>
      <c r="V491" s="463"/>
      <c r="W491" s="463"/>
      <c r="X491" s="463"/>
      <c r="Y491" s="463"/>
      <c r="Z491" s="463"/>
    </row>
    <row r="492" spans="1:26" ht="15.75" customHeight="1" x14ac:dyDescent="0.3">
      <c r="A492" s="463"/>
      <c r="B492" s="463"/>
      <c r="C492" s="463"/>
      <c r="D492" s="463"/>
      <c r="E492" s="463"/>
      <c r="F492" s="463"/>
      <c r="G492" s="463"/>
      <c r="H492" s="463"/>
      <c r="I492" s="463"/>
      <c r="J492" s="463"/>
      <c r="K492" s="463"/>
      <c r="L492" s="463"/>
      <c r="M492" s="463"/>
      <c r="N492" s="463"/>
      <c r="O492" s="463"/>
      <c r="P492" s="463"/>
      <c r="Q492" s="463"/>
      <c r="R492" s="463"/>
      <c r="S492" s="463"/>
      <c r="T492" s="463"/>
      <c r="U492" s="463"/>
      <c r="V492" s="463"/>
      <c r="W492" s="463"/>
      <c r="X492" s="463"/>
      <c r="Y492" s="463"/>
      <c r="Z492" s="463"/>
    </row>
    <row r="493" spans="1:26" ht="15.75" customHeight="1" x14ac:dyDescent="0.3">
      <c r="A493" s="463"/>
      <c r="B493" s="463"/>
      <c r="C493" s="463"/>
      <c r="D493" s="463"/>
      <c r="E493" s="463"/>
      <c r="F493" s="463"/>
      <c r="G493" s="463"/>
      <c r="H493" s="463"/>
      <c r="I493" s="463"/>
      <c r="J493" s="463"/>
      <c r="K493" s="463"/>
      <c r="L493" s="463"/>
      <c r="M493" s="463"/>
      <c r="N493" s="463"/>
      <c r="O493" s="463"/>
      <c r="P493" s="463"/>
      <c r="Q493" s="463"/>
      <c r="R493" s="463"/>
      <c r="S493" s="463"/>
      <c r="T493" s="463"/>
      <c r="U493" s="463"/>
      <c r="V493" s="463"/>
      <c r="W493" s="463"/>
      <c r="X493" s="463"/>
      <c r="Y493" s="463"/>
      <c r="Z493" s="463"/>
    </row>
    <row r="494" spans="1:26" ht="15.75" customHeight="1" x14ac:dyDescent="0.3">
      <c r="A494" s="463"/>
      <c r="B494" s="463"/>
      <c r="C494" s="463"/>
      <c r="D494" s="463"/>
      <c r="E494" s="463"/>
      <c r="F494" s="463"/>
      <c r="G494" s="463"/>
      <c r="H494" s="463"/>
      <c r="I494" s="463"/>
      <c r="J494" s="463"/>
      <c r="K494" s="463"/>
      <c r="L494" s="463"/>
      <c r="M494" s="463"/>
      <c r="N494" s="463"/>
      <c r="O494" s="463"/>
      <c r="P494" s="463"/>
      <c r="Q494" s="463"/>
      <c r="R494" s="463"/>
      <c r="S494" s="463"/>
      <c r="T494" s="463"/>
      <c r="U494" s="463"/>
      <c r="V494" s="463"/>
      <c r="W494" s="463"/>
      <c r="X494" s="463"/>
      <c r="Y494" s="463"/>
      <c r="Z494" s="463"/>
    </row>
    <row r="495" spans="1:26" ht="15.75" customHeight="1" x14ac:dyDescent="0.3">
      <c r="A495" s="463"/>
      <c r="B495" s="463"/>
      <c r="C495" s="463"/>
      <c r="D495" s="463"/>
      <c r="E495" s="463"/>
      <c r="F495" s="463"/>
      <c r="G495" s="463"/>
      <c r="H495" s="463"/>
      <c r="I495" s="463"/>
      <c r="J495" s="463"/>
      <c r="K495" s="463"/>
      <c r="L495" s="463"/>
      <c r="M495" s="463"/>
      <c r="N495" s="463"/>
      <c r="O495" s="463"/>
      <c r="P495" s="463"/>
      <c r="Q495" s="463"/>
      <c r="R495" s="463"/>
      <c r="S495" s="463"/>
      <c r="T495" s="463"/>
      <c r="U495" s="463"/>
      <c r="V495" s="463"/>
      <c r="W495" s="463"/>
      <c r="X495" s="463"/>
      <c r="Y495" s="463"/>
      <c r="Z495" s="463"/>
    </row>
    <row r="496" spans="1:26" ht="15.75" customHeight="1" x14ac:dyDescent="0.3">
      <c r="A496" s="463"/>
      <c r="B496" s="463"/>
      <c r="C496" s="463"/>
      <c r="D496" s="463"/>
      <c r="E496" s="463"/>
      <c r="F496" s="463"/>
      <c r="G496" s="463"/>
      <c r="H496" s="463"/>
      <c r="I496" s="463"/>
      <c r="J496" s="463"/>
      <c r="K496" s="463"/>
      <c r="L496" s="463"/>
      <c r="M496" s="463"/>
      <c r="N496" s="463"/>
      <c r="O496" s="463"/>
      <c r="P496" s="463"/>
      <c r="Q496" s="463"/>
      <c r="R496" s="463"/>
      <c r="S496" s="463"/>
      <c r="T496" s="463"/>
      <c r="U496" s="463"/>
      <c r="V496" s="463"/>
      <c r="W496" s="463"/>
      <c r="X496" s="463"/>
      <c r="Y496" s="463"/>
      <c r="Z496" s="463"/>
    </row>
    <row r="497" spans="1:26" ht="15.75" customHeight="1" x14ac:dyDescent="0.3">
      <c r="A497" s="463"/>
      <c r="B497" s="463"/>
      <c r="C497" s="463"/>
      <c r="D497" s="463"/>
      <c r="E497" s="463"/>
      <c r="F497" s="463"/>
      <c r="G497" s="463"/>
      <c r="H497" s="463"/>
      <c r="I497" s="463"/>
      <c r="J497" s="463"/>
      <c r="K497" s="463"/>
      <c r="L497" s="463"/>
      <c r="M497" s="463"/>
      <c r="N497" s="463"/>
      <c r="O497" s="463"/>
      <c r="P497" s="463"/>
      <c r="Q497" s="463"/>
      <c r="R497" s="463"/>
      <c r="S497" s="463"/>
      <c r="T497" s="463"/>
      <c r="U497" s="463"/>
      <c r="V497" s="463"/>
      <c r="W497" s="463"/>
      <c r="X497" s="463"/>
      <c r="Y497" s="463"/>
      <c r="Z497" s="463"/>
    </row>
    <row r="498" spans="1:26" ht="15.75" customHeight="1" x14ac:dyDescent="0.3">
      <c r="A498" s="463"/>
      <c r="B498" s="463"/>
      <c r="C498" s="463"/>
      <c r="D498" s="463"/>
      <c r="E498" s="463"/>
      <c r="F498" s="463"/>
      <c r="G498" s="463"/>
      <c r="H498" s="463"/>
      <c r="I498" s="463"/>
      <c r="J498" s="463"/>
      <c r="K498" s="463"/>
      <c r="L498" s="463"/>
      <c r="M498" s="463"/>
      <c r="N498" s="463"/>
      <c r="O498" s="463"/>
      <c r="P498" s="463"/>
      <c r="Q498" s="463"/>
      <c r="R498" s="463"/>
      <c r="S498" s="463"/>
      <c r="T498" s="463"/>
      <c r="U498" s="463"/>
      <c r="V498" s="463"/>
      <c r="W498" s="463"/>
      <c r="X498" s="463"/>
      <c r="Y498" s="463"/>
      <c r="Z498" s="463"/>
    </row>
    <row r="499" spans="1:26" ht="15.75" customHeight="1" x14ac:dyDescent="0.3">
      <c r="A499" s="463"/>
      <c r="B499" s="463"/>
      <c r="C499" s="463"/>
      <c r="D499" s="463"/>
      <c r="E499" s="463"/>
      <c r="F499" s="463"/>
      <c r="G499" s="463"/>
      <c r="H499" s="463"/>
      <c r="I499" s="463"/>
      <c r="J499" s="463"/>
      <c r="K499" s="463"/>
      <c r="L499" s="463"/>
      <c r="M499" s="463"/>
      <c r="N499" s="463"/>
      <c r="O499" s="463"/>
      <c r="P499" s="463"/>
      <c r="Q499" s="463"/>
      <c r="R499" s="463"/>
      <c r="S499" s="463"/>
      <c r="T499" s="463"/>
      <c r="U499" s="463"/>
      <c r="V499" s="463"/>
      <c r="W499" s="463"/>
      <c r="X499" s="463"/>
      <c r="Y499" s="463"/>
      <c r="Z499" s="463"/>
    </row>
    <row r="500" spans="1:26" ht="15.75" customHeight="1" x14ac:dyDescent="0.3">
      <c r="A500" s="463"/>
      <c r="B500" s="463"/>
      <c r="C500" s="463"/>
      <c r="D500" s="463"/>
      <c r="E500" s="463"/>
      <c r="F500" s="463"/>
      <c r="G500" s="463"/>
      <c r="H500" s="463"/>
      <c r="I500" s="463"/>
      <c r="J500" s="463"/>
      <c r="K500" s="463"/>
      <c r="L500" s="463"/>
      <c r="M500" s="463"/>
      <c r="N500" s="463"/>
      <c r="O500" s="463"/>
      <c r="P500" s="463"/>
      <c r="Q500" s="463"/>
      <c r="R500" s="463"/>
      <c r="S500" s="463"/>
      <c r="T500" s="463"/>
      <c r="U500" s="463"/>
      <c r="V500" s="463"/>
      <c r="W500" s="463"/>
      <c r="X500" s="463"/>
      <c r="Y500" s="463"/>
      <c r="Z500" s="463"/>
    </row>
    <row r="501" spans="1:26" ht="15.75" customHeight="1" x14ac:dyDescent="0.3">
      <c r="A501" s="463"/>
      <c r="B501" s="463"/>
      <c r="C501" s="463"/>
      <c r="D501" s="463"/>
      <c r="E501" s="463"/>
      <c r="F501" s="463"/>
      <c r="G501" s="463"/>
      <c r="H501" s="463"/>
      <c r="I501" s="463"/>
      <c r="J501" s="463"/>
      <c r="K501" s="463"/>
      <c r="L501" s="463"/>
      <c r="M501" s="463"/>
      <c r="N501" s="463"/>
      <c r="O501" s="463"/>
      <c r="P501" s="463"/>
      <c r="Q501" s="463"/>
      <c r="R501" s="463"/>
      <c r="S501" s="463"/>
      <c r="T501" s="463"/>
      <c r="U501" s="463"/>
      <c r="V501" s="463"/>
      <c r="W501" s="463"/>
      <c r="X501" s="463"/>
      <c r="Y501" s="463"/>
      <c r="Z501" s="463"/>
    </row>
    <row r="502" spans="1:26" ht="15.75" customHeight="1" x14ac:dyDescent="0.3">
      <c r="A502" s="463"/>
      <c r="B502" s="463"/>
      <c r="C502" s="463"/>
      <c r="D502" s="463"/>
      <c r="E502" s="463"/>
      <c r="F502" s="463"/>
      <c r="G502" s="463"/>
      <c r="H502" s="463"/>
      <c r="I502" s="463"/>
      <c r="J502" s="463"/>
      <c r="K502" s="463"/>
      <c r="L502" s="463"/>
      <c r="M502" s="463"/>
      <c r="N502" s="463"/>
      <c r="O502" s="463"/>
      <c r="P502" s="463"/>
      <c r="Q502" s="463"/>
      <c r="R502" s="463"/>
      <c r="S502" s="463"/>
      <c r="T502" s="463"/>
      <c r="U502" s="463"/>
      <c r="V502" s="463"/>
      <c r="W502" s="463"/>
      <c r="X502" s="463"/>
      <c r="Y502" s="463"/>
      <c r="Z502" s="463"/>
    </row>
    <row r="503" spans="1:26" ht="15.75" customHeight="1" x14ac:dyDescent="0.3">
      <c r="A503" s="463"/>
      <c r="B503" s="463"/>
      <c r="C503" s="463"/>
      <c r="D503" s="463"/>
      <c r="E503" s="463"/>
      <c r="F503" s="463"/>
      <c r="G503" s="463"/>
      <c r="H503" s="463"/>
      <c r="I503" s="463"/>
      <c r="J503" s="463"/>
      <c r="K503" s="463"/>
      <c r="L503" s="463"/>
      <c r="M503" s="463"/>
      <c r="N503" s="463"/>
      <c r="O503" s="463"/>
      <c r="P503" s="463"/>
      <c r="Q503" s="463"/>
      <c r="R503" s="463"/>
      <c r="S503" s="463"/>
      <c r="T503" s="463"/>
      <c r="U503" s="463"/>
      <c r="V503" s="463"/>
      <c r="W503" s="463"/>
      <c r="X503" s="463"/>
      <c r="Y503" s="463"/>
      <c r="Z503" s="463"/>
    </row>
    <row r="504" spans="1:26" ht="15.75" customHeight="1" x14ac:dyDescent="0.3">
      <c r="A504" s="463"/>
      <c r="B504" s="463"/>
      <c r="C504" s="463"/>
      <c r="D504" s="463"/>
      <c r="E504" s="463"/>
      <c r="F504" s="463"/>
      <c r="G504" s="463"/>
      <c r="H504" s="463"/>
      <c r="I504" s="463"/>
      <c r="J504" s="463"/>
      <c r="K504" s="463"/>
      <c r="L504" s="463"/>
      <c r="M504" s="463"/>
      <c r="N504" s="463"/>
      <c r="O504" s="463"/>
      <c r="P504" s="463"/>
      <c r="Q504" s="463"/>
      <c r="R504" s="463"/>
      <c r="S504" s="463"/>
      <c r="T504" s="463"/>
      <c r="U504" s="463"/>
      <c r="V504" s="463"/>
      <c r="W504" s="463"/>
      <c r="X504" s="463"/>
      <c r="Y504" s="463"/>
      <c r="Z504" s="463"/>
    </row>
    <row r="505" spans="1:26" ht="15.75" customHeight="1" x14ac:dyDescent="0.3">
      <c r="A505" s="463"/>
      <c r="B505" s="463"/>
      <c r="C505" s="463"/>
      <c r="D505" s="463"/>
      <c r="E505" s="463"/>
      <c r="F505" s="463"/>
      <c r="G505" s="463"/>
      <c r="H505" s="463"/>
      <c r="I505" s="463"/>
      <c r="J505" s="463"/>
      <c r="K505" s="463"/>
      <c r="L505" s="463"/>
      <c r="M505" s="463"/>
      <c r="N505" s="463"/>
      <c r="O505" s="463"/>
      <c r="P505" s="463"/>
      <c r="Q505" s="463"/>
      <c r="R505" s="463"/>
      <c r="S505" s="463"/>
      <c r="T505" s="463"/>
      <c r="U505" s="463"/>
      <c r="V505" s="463"/>
      <c r="W505" s="463"/>
      <c r="X505" s="463"/>
      <c r="Y505" s="463"/>
      <c r="Z505" s="463"/>
    </row>
    <row r="506" spans="1:26" ht="15.75" customHeight="1" x14ac:dyDescent="0.3">
      <c r="A506" s="463"/>
      <c r="B506" s="463"/>
      <c r="C506" s="463"/>
      <c r="D506" s="463"/>
      <c r="E506" s="463"/>
      <c r="F506" s="463"/>
      <c r="G506" s="463"/>
      <c r="H506" s="463"/>
      <c r="I506" s="463"/>
      <c r="J506" s="463"/>
      <c r="K506" s="463"/>
      <c r="L506" s="463"/>
      <c r="M506" s="463"/>
      <c r="N506" s="463"/>
      <c r="O506" s="463"/>
      <c r="P506" s="463"/>
      <c r="Q506" s="463"/>
      <c r="R506" s="463"/>
      <c r="S506" s="463"/>
      <c r="T506" s="463"/>
      <c r="U506" s="463"/>
      <c r="V506" s="463"/>
      <c r="W506" s="463"/>
      <c r="X506" s="463"/>
      <c r="Y506" s="463"/>
      <c r="Z506" s="463"/>
    </row>
    <row r="507" spans="1:26" ht="15.75" customHeight="1" x14ac:dyDescent="0.3">
      <c r="A507" s="463"/>
      <c r="B507" s="463"/>
      <c r="C507" s="463"/>
      <c r="D507" s="463"/>
      <c r="E507" s="463"/>
      <c r="F507" s="463"/>
      <c r="G507" s="463"/>
      <c r="H507" s="463"/>
      <c r="I507" s="463"/>
      <c r="J507" s="463"/>
      <c r="K507" s="463"/>
      <c r="L507" s="463"/>
      <c r="M507" s="463"/>
      <c r="N507" s="463"/>
      <c r="O507" s="463"/>
      <c r="P507" s="463"/>
      <c r="Q507" s="463"/>
      <c r="R507" s="463"/>
      <c r="S507" s="463"/>
      <c r="T507" s="463"/>
      <c r="U507" s="463"/>
      <c r="V507" s="463"/>
      <c r="W507" s="463"/>
      <c r="X507" s="463"/>
      <c r="Y507" s="463"/>
      <c r="Z507" s="463"/>
    </row>
    <row r="508" spans="1:26" ht="15.75" customHeight="1" x14ac:dyDescent="0.3">
      <c r="A508" s="463"/>
      <c r="B508" s="463"/>
      <c r="C508" s="463"/>
      <c r="D508" s="463"/>
      <c r="E508" s="463"/>
      <c r="F508" s="463"/>
      <c r="G508" s="463"/>
      <c r="H508" s="463"/>
      <c r="I508" s="463"/>
      <c r="J508" s="463"/>
      <c r="K508" s="463"/>
      <c r="L508" s="463"/>
      <c r="M508" s="463"/>
      <c r="N508" s="463"/>
      <c r="O508" s="463"/>
      <c r="P508" s="463"/>
      <c r="Q508" s="463"/>
      <c r="R508" s="463"/>
      <c r="S508" s="463"/>
      <c r="T508" s="463"/>
      <c r="U508" s="463"/>
      <c r="V508" s="463"/>
      <c r="W508" s="463"/>
      <c r="X508" s="463"/>
      <c r="Y508" s="463"/>
      <c r="Z508" s="463"/>
    </row>
    <row r="509" spans="1:26" ht="15.75" customHeight="1" x14ac:dyDescent="0.3">
      <c r="A509" s="463"/>
      <c r="B509" s="463"/>
      <c r="C509" s="463"/>
      <c r="D509" s="463"/>
      <c r="E509" s="463"/>
      <c r="F509" s="463"/>
      <c r="G509" s="463"/>
      <c r="H509" s="463"/>
      <c r="I509" s="463"/>
      <c r="J509" s="463"/>
      <c r="K509" s="463"/>
      <c r="L509" s="463"/>
      <c r="M509" s="463"/>
      <c r="N509" s="463"/>
      <c r="O509" s="463"/>
      <c r="P509" s="463"/>
      <c r="Q509" s="463"/>
      <c r="R509" s="463"/>
      <c r="S509" s="463"/>
      <c r="T509" s="463"/>
      <c r="U509" s="463"/>
      <c r="V509" s="463"/>
      <c r="W509" s="463"/>
      <c r="X509" s="463"/>
      <c r="Y509" s="463"/>
      <c r="Z509" s="463"/>
    </row>
    <row r="510" spans="1:26" ht="15.75" customHeight="1" x14ac:dyDescent="0.3">
      <c r="A510" s="463"/>
      <c r="B510" s="463"/>
      <c r="C510" s="463"/>
      <c r="D510" s="463"/>
      <c r="E510" s="463"/>
      <c r="F510" s="463"/>
      <c r="G510" s="463"/>
      <c r="H510" s="463"/>
      <c r="I510" s="463"/>
      <c r="J510" s="463"/>
      <c r="K510" s="463"/>
      <c r="L510" s="463"/>
      <c r="M510" s="463"/>
      <c r="N510" s="463"/>
      <c r="O510" s="463"/>
      <c r="P510" s="463"/>
      <c r="Q510" s="463"/>
      <c r="R510" s="463"/>
      <c r="S510" s="463"/>
      <c r="T510" s="463"/>
      <c r="U510" s="463"/>
      <c r="V510" s="463"/>
      <c r="W510" s="463"/>
      <c r="X510" s="463"/>
      <c r="Y510" s="463"/>
      <c r="Z510" s="463"/>
    </row>
    <row r="511" spans="1:26" ht="15.75" customHeight="1" x14ac:dyDescent="0.3">
      <c r="A511" s="463"/>
      <c r="B511" s="463"/>
      <c r="C511" s="463"/>
      <c r="D511" s="463"/>
      <c r="E511" s="463"/>
      <c r="F511" s="463"/>
      <c r="G511" s="463"/>
      <c r="H511" s="463"/>
      <c r="I511" s="463"/>
      <c r="J511" s="463"/>
      <c r="K511" s="463"/>
      <c r="L511" s="463"/>
      <c r="M511" s="463"/>
      <c r="N511" s="463"/>
      <c r="O511" s="463"/>
      <c r="P511" s="463"/>
      <c r="Q511" s="463"/>
      <c r="R511" s="463"/>
      <c r="S511" s="463"/>
      <c r="T511" s="463"/>
      <c r="U511" s="463"/>
      <c r="V511" s="463"/>
      <c r="W511" s="463"/>
      <c r="X511" s="463"/>
      <c r="Y511" s="463"/>
      <c r="Z511" s="463"/>
    </row>
    <row r="512" spans="1:26" ht="15.75" customHeight="1" x14ac:dyDescent="0.3">
      <c r="A512" s="463"/>
      <c r="B512" s="463"/>
      <c r="C512" s="463"/>
      <c r="D512" s="463"/>
      <c r="E512" s="463"/>
      <c r="F512" s="463"/>
      <c r="G512" s="463"/>
      <c r="H512" s="463"/>
      <c r="I512" s="463"/>
      <c r="J512" s="463"/>
      <c r="K512" s="463"/>
      <c r="L512" s="463"/>
      <c r="M512" s="463"/>
      <c r="N512" s="463"/>
      <c r="O512" s="463"/>
      <c r="P512" s="463"/>
      <c r="Q512" s="463"/>
      <c r="R512" s="463"/>
      <c r="S512" s="463"/>
      <c r="T512" s="463"/>
      <c r="U512" s="463"/>
      <c r="V512" s="463"/>
      <c r="W512" s="463"/>
      <c r="X512" s="463"/>
      <c r="Y512" s="463"/>
      <c r="Z512" s="463"/>
    </row>
    <row r="513" spans="1:26" ht="15.75" customHeight="1" x14ac:dyDescent="0.3">
      <c r="A513" s="463"/>
      <c r="B513" s="463"/>
      <c r="C513" s="463"/>
      <c r="D513" s="463"/>
      <c r="E513" s="463"/>
      <c r="F513" s="463"/>
      <c r="G513" s="463"/>
      <c r="H513" s="463"/>
      <c r="I513" s="463"/>
      <c r="J513" s="463"/>
      <c r="K513" s="463"/>
      <c r="L513" s="463"/>
      <c r="M513" s="463"/>
      <c r="N513" s="463"/>
      <c r="O513" s="463"/>
      <c r="P513" s="463"/>
      <c r="Q513" s="463"/>
      <c r="R513" s="463"/>
      <c r="S513" s="463"/>
      <c r="T513" s="463"/>
      <c r="U513" s="463"/>
      <c r="V513" s="463"/>
      <c r="W513" s="463"/>
      <c r="X513" s="463"/>
      <c r="Y513" s="463"/>
      <c r="Z513" s="463"/>
    </row>
    <row r="514" spans="1:26" ht="15.75" customHeight="1" x14ac:dyDescent="0.3">
      <c r="A514" s="463"/>
      <c r="B514" s="463"/>
      <c r="C514" s="463"/>
      <c r="D514" s="463"/>
      <c r="E514" s="463"/>
      <c r="F514" s="463"/>
      <c r="G514" s="463"/>
      <c r="H514" s="463"/>
      <c r="I514" s="463"/>
      <c r="J514" s="463"/>
      <c r="K514" s="463"/>
      <c r="L514" s="463"/>
      <c r="M514" s="463"/>
      <c r="N514" s="463"/>
      <c r="O514" s="463"/>
      <c r="P514" s="463"/>
      <c r="Q514" s="463"/>
      <c r="R514" s="463"/>
      <c r="S514" s="463"/>
      <c r="T514" s="463"/>
      <c r="U514" s="463"/>
      <c r="V514" s="463"/>
      <c r="W514" s="463"/>
      <c r="X514" s="463"/>
      <c r="Y514" s="463"/>
      <c r="Z514" s="463"/>
    </row>
    <row r="515" spans="1:26" ht="15.75" customHeight="1" x14ac:dyDescent="0.3">
      <c r="A515" s="463"/>
      <c r="B515" s="463"/>
      <c r="C515" s="463"/>
      <c r="D515" s="463"/>
      <c r="E515" s="463"/>
      <c r="F515" s="463"/>
      <c r="G515" s="463"/>
      <c r="H515" s="463"/>
      <c r="I515" s="463"/>
      <c r="J515" s="463"/>
      <c r="K515" s="463"/>
      <c r="L515" s="463"/>
      <c r="M515" s="463"/>
      <c r="N515" s="463"/>
      <c r="O515" s="463"/>
      <c r="P515" s="463"/>
      <c r="Q515" s="463"/>
      <c r="R515" s="463"/>
      <c r="S515" s="463"/>
      <c r="T515" s="463"/>
      <c r="U515" s="463"/>
      <c r="V515" s="463"/>
      <c r="W515" s="463"/>
      <c r="X515" s="463"/>
      <c r="Y515" s="463"/>
      <c r="Z515" s="463"/>
    </row>
    <row r="516" spans="1:26" ht="15.75" customHeight="1" x14ac:dyDescent="0.3">
      <c r="A516" s="463"/>
      <c r="B516" s="463"/>
      <c r="C516" s="463"/>
      <c r="D516" s="463"/>
      <c r="E516" s="463"/>
      <c r="F516" s="463"/>
      <c r="G516" s="463"/>
      <c r="H516" s="463"/>
      <c r="I516" s="463"/>
      <c r="J516" s="463"/>
      <c r="K516" s="463"/>
      <c r="L516" s="463"/>
      <c r="M516" s="463"/>
      <c r="N516" s="463"/>
      <c r="O516" s="463"/>
      <c r="P516" s="463"/>
      <c r="Q516" s="463"/>
      <c r="R516" s="463"/>
      <c r="S516" s="463"/>
      <c r="T516" s="463"/>
      <c r="U516" s="463"/>
      <c r="V516" s="463"/>
      <c r="W516" s="463"/>
      <c r="X516" s="463"/>
      <c r="Y516" s="463"/>
      <c r="Z516" s="463"/>
    </row>
    <row r="517" spans="1:26" ht="15.75" customHeight="1" x14ac:dyDescent="0.3">
      <c r="A517" s="463"/>
      <c r="B517" s="463"/>
      <c r="C517" s="463"/>
      <c r="D517" s="463"/>
      <c r="E517" s="463"/>
      <c r="F517" s="463"/>
      <c r="G517" s="463"/>
      <c r="H517" s="463"/>
      <c r="I517" s="463"/>
      <c r="J517" s="463"/>
      <c r="K517" s="463"/>
      <c r="L517" s="463"/>
      <c r="M517" s="463"/>
      <c r="N517" s="463"/>
      <c r="O517" s="463"/>
      <c r="P517" s="463"/>
      <c r="Q517" s="463"/>
      <c r="R517" s="463"/>
      <c r="S517" s="463"/>
      <c r="T517" s="463"/>
      <c r="U517" s="463"/>
      <c r="V517" s="463"/>
      <c r="W517" s="463"/>
      <c r="X517" s="463"/>
      <c r="Y517" s="463"/>
      <c r="Z517" s="463"/>
    </row>
    <row r="518" spans="1:26" ht="15.75" customHeight="1" x14ac:dyDescent="0.3">
      <c r="A518" s="463"/>
      <c r="B518" s="463"/>
      <c r="C518" s="463"/>
      <c r="D518" s="463"/>
      <c r="E518" s="463"/>
      <c r="F518" s="463"/>
      <c r="G518" s="463"/>
      <c r="H518" s="463"/>
      <c r="I518" s="463"/>
      <c r="J518" s="463"/>
      <c r="K518" s="463"/>
      <c r="L518" s="463"/>
      <c r="M518" s="463"/>
      <c r="N518" s="463"/>
      <c r="O518" s="463"/>
      <c r="P518" s="463"/>
      <c r="Q518" s="463"/>
      <c r="R518" s="463"/>
      <c r="S518" s="463"/>
      <c r="T518" s="463"/>
      <c r="U518" s="463"/>
      <c r="V518" s="463"/>
      <c r="W518" s="463"/>
      <c r="X518" s="463"/>
      <c r="Y518" s="463"/>
      <c r="Z518" s="463"/>
    </row>
    <row r="519" spans="1:26" ht="15.75" customHeight="1" x14ac:dyDescent="0.3">
      <c r="A519" s="463"/>
      <c r="B519" s="463"/>
      <c r="C519" s="463"/>
      <c r="D519" s="463"/>
      <c r="E519" s="463"/>
      <c r="F519" s="463"/>
      <c r="G519" s="463"/>
      <c r="H519" s="463"/>
      <c r="I519" s="463"/>
      <c r="J519" s="463"/>
      <c r="K519" s="463"/>
      <c r="L519" s="463"/>
      <c r="M519" s="463"/>
      <c r="N519" s="463"/>
      <c r="O519" s="463"/>
      <c r="P519" s="463"/>
      <c r="Q519" s="463"/>
      <c r="R519" s="463"/>
      <c r="S519" s="463"/>
      <c r="T519" s="463"/>
      <c r="U519" s="463"/>
      <c r="V519" s="463"/>
      <c r="W519" s="463"/>
      <c r="X519" s="463"/>
      <c r="Y519" s="463"/>
      <c r="Z519" s="463"/>
    </row>
    <row r="520" spans="1:26" ht="15.75" customHeight="1" x14ac:dyDescent="0.3">
      <c r="A520" s="463"/>
      <c r="B520" s="463"/>
      <c r="C520" s="463"/>
      <c r="D520" s="463"/>
      <c r="E520" s="463"/>
      <c r="F520" s="463"/>
      <c r="G520" s="463"/>
      <c r="H520" s="463"/>
      <c r="I520" s="463"/>
      <c r="J520" s="463"/>
      <c r="K520" s="463"/>
      <c r="L520" s="463"/>
      <c r="M520" s="463"/>
      <c r="N520" s="463"/>
      <c r="O520" s="463"/>
      <c r="P520" s="463"/>
      <c r="Q520" s="463"/>
      <c r="R520" s="463"/>
      <c r="S520" s="463"/>
      <c r="T520" s="463"/>
      <c r="U520" s="463"/>
      <c r="V520" s="463"/>
      <c r="W520" s="463"/>
      <c r="X520" s="463"/>
      <c r="Y520" s="463"/>
      <c r="Z520" s="463"/>
    </row>
    <row r="521" spans="1:26" ht="15.75" customHeight="1" x14ac:dyDescent="0.3">
      <c r="A521" s="463"/>
      <c r="B521" s="463"/>
      <c r="C521" s="463"/>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3"/>
      <c r="Z521" s="463"/>
    </row>
    <row r="522" spans="1:26" ht="15.75" customHeight="1" x14ac:dyDescent="0.3">
      <c r="A522" s="463"/>
      <c r="B522" s="463"/>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3"/>
      <c r="Z522" s="463"/>
    </row>
    <row r="523" spans="1:26" ht="15.75" customHeight="1" x14ac:dyDescent="0.3">
      <c r="A523" s="463"/>
      <c r="B523" s="463"/>
      <c r="C523" s="463"/>
      <c r="D523" s="463"/>
      <c r="E523" s="463"/>
      <c r="F523" s="463"/>
      <c r="G523" s="463"/>
      <c r="H523" s="463"/>
      <c r="I523" s="463"/>
      <c r="J523" s="463"/>
      <c r="K523" s="463"/>
      <c r="L523" s="463"/>
      <c r="M523" s="463"/>
      <c r="N523" s="463"/>
      <c r="O523" s="463"/>
      <c r="P523" s="463"/>
      <c r="Q523" s="463"/>
      <c r="R523" s="463"/>
      <c r="S523" s="463"/>
      <c r="T523" s="463"/>
      <c r="U523" s="463"/>
      <c r="V523" s="463"/>
      <c r="W523" s="463"/>
      <c r="X523" s="463"/>
      <c r="Y523" s="463"/>
      <c r="Z523" s="463"/>
    </row>
    <row r="524" spans="1:26" ht="15.75" customHeight="1" x14ac:dyDescent="0.3">
      <c r="A524" s="463"/>
      <c r="B524" s="463"/>
      <c r="C524" s="463"/>
      <c r="D524" s="463"/>
      <c r="E524" s="463"/>
      <c r="F524" s="463"/>
      <c r="G524" s="463"/>
      <c r="H524" s="463"/>
      <c r="I524" s="463"/>
      <c r="J524" s="463"/>
      <c r="K524" s="463"/>
      <c r="L524" s="463"/>
      <c r="M524" s="463"/>
      <c r="N524" s="463"/>
      <c r="O524" s="463"/>
      <c r="P524" s="463"/>
      <c r="Q524" s="463"/>
      <c r="R524" s="463"/>
      <c r="S524" s="463"/>
      <c r="T524" s="463"/>
      <c r="U524" s="463"/>
      <c r="V524" s="463"/>
      <c r="W524" s="463"/>
      <c r="X524" s="463"/>
      <c r="Y524" s="463"/>
      <c r="Z524" s="463"/>
    </row>
    <row r="525" spans="1:26" ht="15.75" customHeight="1" x14ac:dyDescent="0.3">
      <c r="A525" s="463"/>
      <c r="B525" s="463"/>
      <c r="C525" s="463"/>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3"/>
      <c r="Z525" s="463"/>
    </row>
    <row r="526" spans="1:26" ht="15.75" customHeight="1" x14ac:dyDescent="0.3">
      <c r="A526" s="463"/>
      <c r="B526" s="463"/>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3"/>
      <c r="Z526" s="463"/>
    </row>
    <row r="527" spans="1:26" ht="15.75" customHeight="1" x14ac:dyDescent="0.3">
      <c r="A527" s="463"/>
      <c r="B527" s="463"/>
      <c r="C527" s="463"/>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3"/>
      <c r="Z527" s="463"/>
    </row>
    <row r="528" spans="1:26" ht="15.75" customHeight="1" x14ac:dyDescent="0.3">
      <c r="A528" s="463"/>
      <c r="B528" s="463"/>
      <c r="C528" s="463"/>
      <c r="D528" s="463"/>
      <c r="E528" s="463"/>
      <c r="F528" s="463"/>
      <c r="G528" s="463"/>
      <c r="H528" s="463"/>
      <c r="I528" s="463"/>
      <c r="J528" s="463"/>
      <c r="K528" s="463"/>
      <c r="L528" s="463"/>
      <c r="M528" s="463"/>
      <c r="N528" s="463"/>
      <c r="O528" s="463"/>
      <c r="P528" s="463"/>
      <c r="Q528" s="463"/>
      <c r="R528" s="463"/>
      <c r="S528" s="463"/>
      <c r="T528" s="463"/>
      <c r="U528" s="463"/>
      <c r="V528" s="463"/>
      <c r="W528" s="463"/>
      <c r="X528" s="463"/>
      <c r="Y528" s="463"/>
      <c r="Z528" s="463"/>
    </row>
    <row r="529" spans="1:26" ht="15.75" customHeight="1" x14ac:dyDescent="0.3">
      <c r="A529" s="463"/>
      <c r="B529" s="463"/>
      <c r="C529" s="463"/>
      <c r="D529" s="463"/>
      <c r="E529" s="463"/>
      <c r="F529" s="463"/>
      <c r="G529" s="463"/>
      <c r="H529" s="463"/>
      <c r="I529" s="463"/>
      <c r="J529" s="463"/>
      <c r="K529" s="463"/>
      <c r="L529" s="463"/>
      <c r="M529" s="463"/>
      <c r="N529" s="463"/>
      <c r="O529" s="463"/>
      <c r="P529" s="463"/>
      <c r="Q529" s="463"/>
      <c r="R529" s="463"/>
      <c r="S529" s="463"/>
      <c r="T529" s="463"/>
      <c r="U529" s="463"/>
      <c r="V529" s="463"/>
      <c r="W529" s="463"/>
      <c r="X529" s="463"/>
      <c r="Y529" s="463"/>
      <c r="Z529" s="463"/>
    </row>
    <row r="530" spans="1:26" ht="15.75" customHeight="1" x14ac:dyDescent="0.3">
      <c r="A530" s="463"/>
      <c r="B530" s="463"/>
      <c r="C530" s="463"/>
      <c r="D530" s="463"/>
      <c r="E530" s="463"/>
      <c r="F530" s="463"/>
      <c r="G530" s="463"/>
      <c r="H530" s="463"/>
      <c r="I530" s="463"/>
      <c r="J530" s="463"/>
      <c r="K530" s="463"/>
      <c r="L530" s="463"/>
      <c r="M530" s="463"/>
      <c r="N530" s="463"/>
      <c r="O530" s="463"/>
      <c r="P530" s="463"/>
      <c r="Q530" s="463"/>
      <c r="R530" s="463"/>
      <c r="S530" s="463"/>
      <c r="T530" s="463"/>
      <c r="U530" s="463"/>
      <c r="V530" s="463"/>
      <c r="W530" s="463"/>
      <c r="X530" s="463"/>
      <c r="Y530" s="463"/>
      <c r="Z530" s="463"/>
    </row>
    <row r="531" spans="1:26" ht="15.75" customHeight="1" x14ac:dyDescent="0.3">
      <c r="A531" s="463"/>
      <c r="B531" s="463"/>
      <c r="C531" s="463"/>
      <c r="D531" s="463"/>
      <c r="E531" s="463"/>
      <c r="F531" s="463"/>
      <c r="G531" s="463"/>
      <c r="H531" s="463"/>
      <c r="I531" s="463"/>
      <c r="J531" s="463"/>
      <c r="K531" s="463"/>
      <c r="L531" s="463"/>
      <c r="M531" s="463"/>
      <c r="N531" s="463"/>
      <c r="O531" s="463"/>
      <c r="P531" s="463"/>
      <c r="Q531" s="463"/>
      <c r="R531" s="463"/>
      <c r="S531" s="463"/>
      <c r="T531" s="463"/>
      <c r="U531" s="463"/>
      <c r="V531" s="463"/>
      <c r="W531" s="463"/>
      <c r="X531" s="463"/>
      <c r="Y531" s="463"/>
      <c r="Z531" s="463"/>
    </row>
    <row r="532" spans="1:26" ht="15.75" customHeight="1" x14ac:dyDescent="0.3">
      <c r="A532" s="463"/>
      <c r="B532" s="463"/>
      <c r="C532" s="463"/>
      <c r="D532" s="463"/>
      <c r="E532" s="463"/>
      <c r="F532" s="463"/>
      <c r="G532" s="463"/>
      <c r="H532" s="463"/>
      <c r="I532" s="463"/>
      <c r="J532" s="463"/>
      <c r="K532" s="463"/>
      <c r="L532" s="463"/>
      <c r="M532" s="463"/>
      <c r="N532" s="463"/>
      <c r="O532" s="463"/>
      <c r="P532" s="463"/>
      <c r="Q532" s="463"/>
      <c r="R532" s="463"/>
      <c r="S532" s="463"/>
      <c r="T532" s="463"/>
      <c r="U532" s="463"/>
      <c r="V532" s="463"/>
      <c r="W532" s="463"/>
      <c r="X532" s="463"/>
      <c r="Y532" s="463"/>
      <c r="Z532" s="463"/>
    </row>
    <row r="533" spans="1:26" ht="15.75" customHeight="1" x14ac:dyDescent="0.3">
      <c r="A533" s="463"/>
      <c r="B533" s="463"/>
      <c r="C533" s="463"/>
      <c r="D533" s="463"/>
      <c r="E533" s="463"/>
      <c r="F533" s="463"/>
      <c r="G533" s="463"/>
      <c r="H533" s="463"/>
      <c r="I533" s="463"/>
      <c r="J533" s="463"/>
      <c r="K533" s="463"/>
      <c r="L533" s="463"/>
      <c r="M533" s="463"/>
      <c r="N533" s="463"/>
      <c r="O533" s="463"/>
      <c r="P533" s="463"/>
      <c r="Q533" s="463"/>
      <c r="R533" s="463"/>
      <c r="S533" s="463"/>
      <c r="T533" s="463"/>
      <c r="U533" s="463"/>
      <c r="V533" s="463"/>
      <c r="W533" s="463"/>
      <c r="X533" s="463"/>
      <c r="Y533" s="463"/>
      <c r="Z533" s="463"/>
    </row>
    <row r="534" spans="1:26" ht="15.75" customHeight="1" x14ac:dyDescent="0.3">
      <c r="A534" s="463"/>
      <c r="B534" s="463"/>
      <c r="C534" s="463"/>
      <c r="D534" s="463"/>
      <c r="E534" s="463"/>
      <c r="F534" s="463"/>
      <c r="G534" s="463"/>
      <c r="H534" s="463"/>
      <c r="I534" s="463"/>
      <c r="J534" s="463"/>
      <c r="K534" s="463"/>
      <c r="L534" s="463"/>
      <c r="M534" s="463"/>
      <c r="N534" s="463"/>
      <c r="O534" s="463"/>
      <c r="P534" s="463"/>
      <c r="Q534" s="463"/>
      <c r="R534" s="463"/>
      <c r="S534" s="463"/>
      <c r="T534" s="463"/>
      <c r="U534" s="463"/>
      <c r="V534" s="463"/>
      <c r="W534" s="463"/>
      <c r="X534" s="463"/>
      <c r="Y534" s="463"/>
      <c r="Z534" s="463"/>
    </row>
    <row r="535" spans="1:26" ht="15.75" customHeight="1" x14ac:dyDescent="0.3">
      <c r="A535" s="463"/>
      <c r="B535" s="463"/>
      <c r="C535" s="463"/>
      <c r="D535" s="463"/>
      <c r="E535" s="463"/>
      <c r="F535" s="463"/>
      <c r="G535" s="463"/>
      <c r="H535" s="463"/>
      <c r="I535" s="463"/>
      <c r="J535" s="463"/>
      <c r="K535" s="463"/>
      <c r="L535" s="463"/>
      <c r="M535" s="463"/>
      <c r="N535" s="463"/>
      <c r="O535" s="463"/>
      <c r="P535" s="463"/>
      <c r="Q535" s="463"/>
      <c r="R535" s="463"/>
      <c r="S535" s="463"/>
      <c r="T535" s="463"/>
      <c r="U535" s="463"/>
      <c r="V535" s="463"/>
      <c r="W535" s="463"/>
      <c r="X535" s="463"/>
      <c r="Y535" s="463"/>
      <c r="Z535" s="463"/>
    </row>
    <row r="536" spans="1:26" ht="15.75" customHeight="1" x14ac:dyDescent="0.3">
      <c r="A536" s="463"/>
      <c r="B536" s="463"/>
      <c r="C536" s="463"/>
      <c r="D536" s="463"/>
      <c r="E536" s="463"/>
      <c r="F536" s="463"/>
      <c r="G536" s="463"/>
      <c r="H536" s="463"/>
      <c r="I536" s="463"/>
      <c r="J536" s="463"/>
      <c r="K536" s="463"/>
      <c r="L536" s="463"/>
      <c r="M536" s="463"/>
      <c r="N536" s="463"/>
      <c r="O536" s="463"/>
      <c r="P536" s="463"/>
      <c r="Q536" s="463"/>
      <c r="R536" s="463"/>
      <c r="S536" s="463"/>
      <c r="T536" s="463"/>
      <c r="U536" s="463"/>
      <c r="V536" s="463"/>
      <c r="W536" s="463"/>
      <c r="X536" s="463"/>
      <c r="Y536" s="463"/>
      <c r="Z536" s="463"/>
    </row>
    <row r="537" spans="1:26" ht="15.75" customHeight="1" x14ac:dyDescent="0.3">
      <c r="A537" s="463"/>
      <c r="B537" s="463"/>
      <c r="C537" s="463"/>
      <c r="D537" s="463"/>
      <c r="E537" s="463"/>
      <c r="F537" s="463"/>
      <c r="G537" s="463"/>
      <c r="H537" s="463"/>
      <c r="I537" s="463"/>
      <c r="J537" s="463"/>
      <c r="K537" s="463"/>
      <c r="L537" s="463"/>
      <c r="M537" s="463"/>
      <c r="N537" s="463"/>
      <c r="O537" s="463"/>
      <c r="P537" s="463"/>
      <c r="Q537" s="463"/>
      <c r="R537" s="463"/>
      <c r="S537" s="463"/>
      <c r="T537" s="463"/>
      <c r="U537" s="463"/>
      <c r="V537" s="463"/>
      <c r="W537" s="463"/>
      <c r="X537" s="463"/>
      <c r="Y537" s="463"/>
      <c r="Z537" s="463"/>
    </row>
    <row r="538" spans="1:26" ht="15.75" customHeight="1" x14ac:dyDescent="0.3">
      <c r="A538" s="463"/>
      <c r="B538" s="463"/>
      <c r="C538" s="463"/>
      <c r="D538" s="463"/>
      <c r="E538" s="463"/>
      <c r="F538" s="463"/>
      <c r="G538" s="463"/>
      <c r="H538" s="463"/>
      <c r="I538" s="463"/>
      <c r="J538" s="463"/>
      <c r="K538" s="463"/>
      <c r="L538" s="463"/>
      <c r="M538" s="463"/>
      <c r="N538" s="463"/>
      <c r="O538" s="463"/>
      <c r="P538" s="463"/>
      <c r="Q538" s="463"/>
      <c r="R538" s="463"/>
      <c r="S538" s="463"/>
      <c r="T538" s="463"/>
      <c r="U538" s="463"/>
      <c r="V538" s="463"/>
      <c r="W538" s="463"/>
      <c r="X538" s="463"/>
      <c r="Y538" s="463"/>
      <c r="Z538" s="463"/>
    </row>
    <row r="539" spans="1:26" ht="15.75" customHeight="1" x14ac:dyDescent="0.3">
      <c r="A539" s="463"/>
      <c r="B539" s="463"/>
      <c r="C539" s="463"/>
      <c r="D539" s="463"/>
      <c r="E539" s="463"/>
      <c r="F539" s="463"/>
      <c r="G539" s="463"/>
      <c r="H539" s="463"/>
      <c r="I539" s="463"/>
      <c r="J539" s="463"/>
      <c r="K539" s="463"/>
      <c r="L539" s="463"/>
      <c r="M539" s="463"/>
      <c r="N539" s="463"/>
      <c r="O539" s="463"/>
      <c r="P539" s="463"/>
      <c r="Q539" s="463"/>
      <c r="R539" s="463"/>
      <c r="S539" s="463"/>
      <c r="T539" s="463"/>
      <c r="U539" s="463"/>
      <c r="V539" s="463"/>
      <c r="W539" s="463"/>
      <c r="X539" s="463"/>
      <c r="Y539" s="463"/>
      <c r="Z539" s="463"/>
    </row>
    <row r="540" spans="1:26" ht="15.75" customHeight="1" x14ac:dyDescent="0.3">
      <c r="A540" s="463"/>
      <c r="B540" s="463"/>
      <c r="C540" s="463"/>
      <c r="D540" s="463"/>
      <c r="E540" s="463"/>
      <c r="F540" s="463"/>
      <c r="G540" s="463"/>
      <c r="H540" s="463"/>
      <c r="I540" s="463"/>
      <c r="J540" s="463"/>
      <c r="K540" s="463"/>
      <c r="L540" s="463"/>
      <c r="M540" s="463"/>
      <c r="N540" s="463"/>
      <c r="O540" s="463"/>
      <c r="P540" s="463"/>
      <c r="Q540" s="463"/>
      <c r="R540" s="463"/>
      <c r="S540" s="463"/>
      <c r="T540" s="463"/>
      <c r="U540" s="463"/>
      <c r="V540" s="463"/>
      <c r="W540" s="463"/>
      <c r="X540" s="463"/>
      <c r="Y540" s="463"/>
      <c r="Z540" s="463"/>
    </row>
    <row r="541" spans="1:26" ht="15.75" customHeight="1" x14ac:dyDescent="0.3">
      <c r="A541" s="463"/>
      <c r="B541" s="463"/>
      <c r="C541" s="463"/>
      <c r="D541" s="463"/>
      <c r="E541" s="463"/>
      <c r="F541" s="463"/>
      <c r="G541" s="463"/>
      <c r="H541" s="463"/>
      <c r="I541" s="463"/>
      <c r="J541" s="463"/>
      <c r="K541" s="463"/>
      <c r="L541" s="463"/>
      <c r="M541" s="463"/>
      <c r="N541" s="463"/>
      <c r="O541" s="463"/>
      <c r="P541" s="463"/>
      <c r="Q541" s="463"/>
      <c r="R541" s="463"/>
      <c r="S541" s="463"/>
      <c r="T541" s="463"/>
      <c r="U541" s="463"/>
      <c r="V541" s="463"/>
      <c r="W541" s="463"/>
      <c r="X541" s="463"/>
      <c r="Y541" s="463"/>
      <c r="Z541" s="463"/>
    </row>
    <row r="542" spans="1:26" ht="15.75" customHeight="1" x14ac:dyDescent="0.3">
      <c r="A542" s="463"/>
      <c r="B542" s="463"/>
      <c r="C542" s="463"/>
      <c r="D542" s="463"/>
      <c r="E542" s="463"/>
      <c r="F542" s="463"/>
      <c r="G542" s="463"/>
      <c r="H542" s="463"/>
      <c r="I542" s="463"/>
      <c r="J542" s="463"/>
      <c r="K542" s="463"/>
      <c r="L542" s="463"/>
      <c r="M542" s="463"/>
      <c r="N542" s="463"/>
      <c r="O542" s="463"/>
      <c r="P542" s="463"/>
      <c r="Q542" s="463"/>
      <c r="R542" s="463"/>
      <c r="S542" s="463"/>
      <c r="T542" s="463"/>
      <c r="U542" s="463"/>
      <c r="V542" s="463"/>
      <c r="W542" s="463"/>
      <c r="X542" s="463"/>
      <c r="Y542" s="463"/>
      <c r="Z542" s="463"/>
    </row>
    <row r="543" spans="1:26" ht="15.75" customHeight="1" x14ac:dyDescent="0.3">
      <c r="A543" s="463"/>
      <c r="B543" s="463"/>
      <c r="C543" s="463"/>
      <c r="D543" s="463"/>
      <c r="E543" s="463"/>
      <c r="F543" s="463"/>
      <c r="G543" s="463"/>
      <c r="H543" s="463"/>
      <c r="I543" s="463"/>
      <c r="J543" s="463"/>
      <c r="K543" s="463"/>
      <c r="L543" s="463"/>
      <c r="M543" s="463"/>
      <c r="N543" s="463"/>
      <c r="O543" s="463"/>
      <c r="P543" s="463"/>
      <c r="Q543" s="463"/>
      <c r="R543" s="463"/>
      <c r="S543" s="463"/>
      <c r="T543" s="463"/>
      <c r="U543" s="463"/>
      <c r="V543" s="463"/>
      <c r="W543" s="463"/>
      <c r="X543" s="463"/>
      <c r="Y543" s="463"/>
      <c r="Z543" s="463"/>
    </row>
    <row r="544" spans="1:26" ht="15.75" customHeight="1" x14ac:dyDescent="0.3">
      <c r="A544" s="463"/>
      <c r="B544" s="463"/>
      <c r="C544" s="463"/>
      <c r="D544" s="463"/>
      <c r="E544" s="463"/>
      <c r="F544" s="463"/>
      <c r="G544" s="463"/>
      <c r="H544" s="463"/>
      <c r="I544" s="463"/>
      <c r="J544" s="463"/>
      <c r="K544" s="463"/>
      <c r="L544" s="463"/>
      <c r="M544" s="463"/>
      <c r="N544" s="463"/>
      <c r="O544" s="463"/>
      <c r="P544" s="463"/>
      <c r="Q544" s="463"/>
      <c r="R544" s="463"/>
      <c r="S544" s="463"/>
      <c r="T544" s="463"/>
      <c r="U544" s="463"/>
      <c r="V544" s="463"/>
      <c r="W544" s="463"/>
      <c r="X544" s="463"/>
      <c r="Y544" s="463"/>
      <c r="Z544" s="463"/>
    </row>
    <row r="545" spans="1:26" ht="15.75" customHeight="1" x14ac:dyDescent="0.3">
      <c r="A545" s="463"/>
      <c r="B545" s="463"/>
      <c r="C545" s="463"/>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63"/>
      <c r="Z545" s="463"/>
    </row>
    <row r="546" spans="1:26" ht="15.75" customHeight="1" x14ac:dyDescent="0.3">
      <c r="A546" s="463"/>
      <c r="B546" s="463"/>
      <c r="C546" s="463"/>
      <c r="D546" s="463"/>
      <c r="E546" s="463"/>
      <c r="F546" s="463"/>
      <c r="G546" s="463"/>
      <c r="H546" s="463"/>
      <c r="I546" s="463"/>
      <c r="J546" s="463"/>
      <c r="K546" s="463"/>
      <c r="L546" s="463"/>
      <c r="M546" s="463"/>
      <c r="N546" s="463"/>
      <c r="O546" s="463"/>
      <c r="P546" s="463"/>
      <c r="Q546" s="463"/>
      <c r="R546" s="463"/>
      <c r="S546" s="463"/>
      <c r="T546" s="463"/>
      <c r="U546" s="463"/>
      <c r="V546" s="463"/>
      <c r="W546" s="463"/>
      <c r="X546" s="463"/>
      <c r="Y546" s="463"/>
      <c r="Z546" s="463"/>
    </row>
    <row r="547" spans="1:26" ht="15.75" customHeight="1" x14ac:dyDescent="0.3">
      <c r="A547" s="463"/>
      <c r="B547" s="463"/>
      <c r="C547" s="463"/>
      <c r="D547" s="463"/>
      <c r="E547" s="463"/>
      <c r="F547" s="463"/>
      <c r="G547" s="463"/>
      <c r="H547" s="463"/>
      <c r="I547" s="463"/>
      <c r="J547" s="463"/>
      <c r="K547" s="463"/>
      <c r="L547" s="463"/>
      <c r="M547" s="463"/>
      <c r="N547" s="463"/>
      <c r="O547" s="463"/>
      <c r="P547" s="463"/>
      <c r="Q547" s="463"/>
      <c r="R547" s="463"/>
      <c r="S547" s="463"/>
      <c r="T547" s="463"/>
      <c r="U547" s="463"/>
      <c r="V547" s="463"/>
      <c r="W547" s="463"/>
      <c r="X547" s="463"/>
      <c r="Y547" s="463"/>
      <c r="Z547" s="463"/>
    </row>
    <row r="548" spans="1:26" ht="15.75" customHeight="1" x14ac:dyDescent="0.3">
      <c r="A548" s="463"/>
      <c r="B548" s="463"/>
      <c r="C548" s="463"/>
      <c r="D548" s="463"/>
      <c r="E548" s="463"/>
      <c r="F548" s="463"/>
      <c r="G548" s="463"/>
      <c r="H548" s="463"/>
      <c r="I548" s="463"/>
      <c r="J548" s="463"/>
      <c r="K548" s="463"/>
      <c r="L548" s="463"/>
      <c r="M548" s="463"/>
      <c r="N548" s="463"/>
      <c r="O548" s="463"/>
      <c r="P548" s="463"/>
      <c r="Q548" s="463"/>
      <c r="R548" s="463"/>
      <c r="S548" s="463"/>
      <c r="T548" s="463"/>
      <c r="U548" s="463"/>
      <c r="V548" s="463"/>
      <c r="W548" s="463"/>
      <c r="X548" s="463"/>
      <c r="Y548" s="463"/>
      <c r="Z548" s="463"/>
    </row>
    <row r="549" spans="1:26" ht="15.75" customHeight="1" x14ac:dyDescent="0.3">
      <c r="A549" s="463"/>
      <c r="B549" s="463"/>
      <c r="C549" s="463"/>
      <c r="D549" s="463"/>
      <c r="E549" s="463"/>
      <c r="F549" s="463"/>
      <c r="G549" s="463"/>
      <c r="H549" s="463"/>
      <c r="I549" s="463"/>
      <c r="J549" s="463"/>
      <c r="K549" s="463"/>
      <c r="L549" s="463"/>
      <c r="M549" s="463"/>
      <c r="N549" s="463"/>
      <c r="O549" s="463"/>
      <c r="P549" s="463"/>
      <c r="Q549" s="463"/>
      <c r="R549" s="463"/>
      <c r="S549" s="463"/>
      <c r="T549" s="463"/>
      <c r="U549" s="463"/>
      <c r="V549" s="463"/>
      <c r="W549" s="463"/>
      <c r="X549" s="463"/>
      <c r="Y549" s="463"/>
      <c r="Z549" s="463"/>
    </row>
    <row r="550" spans="1:26" ht="15.75" customHeight="1" x14ac:dyDescent="0.3">
      <c r="A550" s="463"/>
      <c r="B550" s="463"/>
      <c r="C550" s="463"/>
      <c r="D550" s="463"/>
      <c r="E550" s="463"/>
      <c r="F550" s="463"/>
      <c r="G550" s="463"/>
      <c r="H550" s="463"/>
      <c r="I550" s="463"/>
      <c r="J550" s="463"/>
      <c r="K550" s="463"/>
      <c r="L550" s="463"/>
      <c r="M550" s="463"/>
      <c r="N550" s="463"/>
      <c r="O550" s="463"/>
      <c r="P550" s="463"/>
      <c r="Q550" s="463"/>
      <c r="R550" s="463"/>
      <c r="S550" s="463"/>
      <c r="T550" s="463"/>
      <c r="U550" s="463"/>
      <c r="V550" s="463"/>
      <c r="W550" s="463"/>
      <c r="X550" s="463"/>
      <c r="Y550" s="463"/>
      <c r="Z550" s="463"/>
    </row>
    <row r="551" spans="1:26" ht="15.75" customHeight="1" x14ac:dyDescent="0.3">
      <c r="A551" s="463"/>
      <c r="B551" s="463"/>
      <c r="C551" s="463"/>
      <c r="D551" s="463"/>
      <c r="E551" s="463"/>
      <c r="F551" s="463"/>
      <c r="G551" s="463"/>
      <c r="H551" s="463"/>
      <c r="I551" s="463"/>
      <c r="J551" s="463"/>
      <c r="K551" s="463"/>
      <c r="L551" s="463"/>
      <c r="M551" s="463"/>
      <c r="N551" s="463"/>
      <c r="O551" s="463"/>
      <c r="P551" s="463"/>
      <c r="Q551" s="463"/>
      <c r="R551" s="463"/>
      <c r="S551" s="463"/>
      <c r="T551" s="463"/>
      <c r="U551" s="463"/>
      <c r="V551" s="463"/>
      <c r="W551" s="463"/>
      <c r="X551" s="463"/>
      <c r="Y551" s="463"/>
      <c r="Z551" s="463"/>
    </row>
    <row r="552" spans="1:26" ht="15.75" customHeight="1" x14ac:dyDescent="0.3">
      <c r="A552" s="463"/>
      <c r="B552" s="463"/>
      <c r="C552" s="463"/>
      <c r="D552" s="463"/>
      <c r="E552" s="463"/>
      <c r="F552" s="463"/>
      <c r="G552" s="463"/>
      <c r="H552" s="463"/>
      <c r="I552" s="463"/>
      <c r="J552" s="463"/>
      <c r="K552" s="463"/>
      <c r="L552" s="463"/>
      <c r="M552" s="463"/>
      <c r="N552" s="463"/>
      <c r="O552" s="463"/>
      <c r="P552" s="463"/>
      <c r="Q552" s="463"/>
      <c r="R552" s="463"/>
      <c r="S552" s="463"/>
      <c r="T552" s="463"/>
      <c r="U552" s="463"/>
      <c r="V552" s="463"/>
      <c r="W552" s="463"/>
      <c r="X552" s="463"/>
      <c r="Y552" s="463"/>
      <c r="Z552" s="463"/>
    </row>
    <row r="553" spans="1:26" ht="15.75" customHeight="1" x14ac:dyDescent="0.3">
      <c r="A553" s="463"/>
      <c r="B553" s="463"/>
      <c r="C553" s="463"/>
      <c r="D553" s="463"/>
      <c r="E553" s="463"/>
      <c r="F553" s="463"/>
      <c r="G553" s="463"/>
      <c r="H553" s="463"/>
      <c r="I553" s="463"/>
      <c r="J553" s="463"/>
      <c r="K553" s="463"/>
      <c r="L553" s="463"/>
      <c r="M553" s="463"/>
      <c r="N553" s="463"/>
      <c r="O553" s="463"/>
      <c r="P553" s="463"/>
      <c r="Q553" s="463"/>
      <c r="R553" s="463"/>
      <c r="S553" s="463"/>
      <c r="T553" s="463"/>
      <c r="U553" s="463"/>
      <c r="V553" s="463"/>
      <c r="W553" s="463"/>
      <c r="X553" s="463"/>
      <c r="Y553" s="463"/>
      <c r="Z553" s="463"/>
    </row>
    <row r="554" spans="1:26" ht="15.75" customHeight="1" x14ac:dyDescent="0.3">
      <c r="A554" s="463"/>
      <c r="B554" s="463"/>
      <c r="C554" s="463"/>
      <c r="D554" s="463"/>
      <c r="E554" s="463"/>
      <c r="F554" s="463"/>
      <c r="G554" s="463"/>
      <c r="H554" s="463"/>
      <c r="I554" s="463"/>
      <c r="J554" s="463"/>
      <c r="K554" s="463"/>
      <c r="L554" s="463"/>
      <c r="M554" s="463"/>
      <c r="N554" s="463"/>
      <c r="O554" s="463"/>
      <c r="P554" s="463"/>
      <c r="Q554" s="463"/>
      <c r="R554" s="463"/>
      <c r="S554" s="463"/>
      <c r="T554" s="463"/>
      <c r="U554" s="463"/>
      <c r="V554" s="463"/>
      <c r="W554" s="463"/>
      <c r="X554" s="463"/>
      <c r="Y554" s="463"/>
      <c r="Z554" s="463"/>
    </row>
    <row r="555" spans="1:26" ht="15.75" customHeight="1" x14ac:dyDescent="0.3">
      <c r="A555" s="463"/>
      <c r="B555" s="463"/>
      <c r="C555" s="463"/>
      <c r="D555" s="463"/>
      <c r="E555" s="463"/>
      <c r="F555" s="463"/>
      <c r="G555" s="463"/>
      <c r="H555" s="463"/>
      <c r="I555" s="463"/>
      <c r="J555" s="463"/>
      <c r="K555" s="463"/>
      <c r="L555" s="463"/>
      <c r="M555" s="463"/>
      <c r="N555" s="463"/>
      <c r="O555" s="463"/>
      <c r="P555" s="463"/>
      <c r="Q555" s="463"/>
      <c r="R555" s="463"/>
      <c r="S555" s="463"/>
      <c r="T555" s="463"/>
      <c r="U555" s="463"/>
      <c r="V555" s="463"/>
      <c r="W555" s="463"/>
      <c r="X555" s="463"/>
      <c r="Y555" s="463"/>
      <c r="Z555" s="463"/>
    </row>
    <row r="556" spans="1:26" ht="15.75" customHeight="1" x14ac:dyDescent="0.3">
      <c r="A556" s="463"/>
      <c r="B556" s="463"/>
      <c r="C556" s="463"/>
      <c r="D556" s="463"/>
      <c r="E556" s="463"/>
      <c r="F556" s="463"/>
      <c r="G556" s="463"/>
      <c r="H556" s="463"/>
      <c r="I556" s="463"/>
      <c r="J556" s="463"/>
      <c r="K556" s="463"/>
      <c r="L556" s="463"/>
      <c r="M556" s="463"/>
      <c r="N556" s="463"/>
      <c r="O556" s="463"/>
      <c r="P556" s="463"/>
      <c r="Q556" s="463"/>
      <c r="R556" s="463"/>
      <c r="S556" s="463"/>
      <c r="T556" s="463"/>
      <c r="U556" s="463"/>
      <c r="V556" s="463"/>
      <c r="W556" s="463"/>
      <c r="X556" s="463"/>
      <c r="Y556" s="463"/>
      <c r="Z556" s="463"/>
    </row>
    <row r="557" spans="1:26" ht="15.75" customHeight="1" x14ac:dyDescent="0.3">
      <c r="A557" s="463"/>
      <c r="B557" s="463"/>
      <c r="C557" s="463"/>
      <c r="D557" s="463"/>
      <c r="E557" s="463"/>
      <c r="F557" s="463"/>
      <c r="G557" s="463"/>
      <c r="H557" s="463"/>
      <c r="I557" s="463"/>
      <c r="J557" s="463"/>
      <c r="K557" s="463"/>
      <c r="L557" s="463"/>
      <c r="M557" s="463"/>
      <c r="N557" s="463"/>
      <c r="O557" s="463"/>
      <c r="P557" s="463"/>
      <c r="Q557" s="463"/>
      <c r="R557" s="463"/>
      <c r="S557" s="463"/>
      <c r="T557" s="463"/>
      <c r="U557" s="463"/>
      <c r="V557" s="463"/>
      <c r="W557" s="463"/>
      <c r="X557" s="463"/>
      <c r="Y557" s="463"/>
      <c r="Z557" s="463"/>
    </row>
    <row r="558" spans="1:26" ht="15.75" customHeight="1" x14ac:dyDescent="0.3">
      <c r="A558" s="463"/>
      <c r="B558" s="463"/>
      <c r="C558" s="463"/>
      <c r="D558" s="463"/>
      <c r="E558" s="463"/>
      <c r="F558" s="463"/>
      <c r="G558" s="463"/>
      <c r="H558" s="463"/>
      <c r="I558" s="463"/>
      <c r="J558" s="463"/>
      <c r="K558" s="463"/>
      <c r="L558" s="463"/>
      <c r="M558" s="463"/>
      <c r="N558" s="463"/>
      <c r="O558" s="463"/>
      <c r="P558" s="463"/>
      <c r="Q558" s="463"/>
      <c r="R558" s="463"/>
      <c r="S558" s="463"/>
      <c r="T558" s="463"/>
      <c r="U558" s="463"/>
      <c r="V558" s="463"/>
      <c r="W558" s="463"/>
      <c r="X558" s="463"/>
      <c r="Y558" s="463"/>
      <c r="Z558" s="463"/>
    </row>
    <row r="559" spans="1:26" ht="15.75" customHeight="1" x14ac:dyDescent="0.3">
      <c r="A559" s="463"/>
      <c r="B559" s="463"/>
      <c r="C559" s="463"/>
      <c r="D559" s="463"/>
      <c r="E559" s="463"/>
      <c r="F559" s="463"/>
      <c r="G559" s="463"/>
      <c r="H559" s="463"/>
      <c r="I559" s="463"/>
      <c r="J559" s="463"/>
      <c r="K559" s="463"/>
      <c r="L559" s="463"/>
      <c r="M559" s="463"/>
      <c r="N559" s="463"/>
      <c r="O559" s="463"/>
      <c r="P559" s="463"/>
      <c r="Q559" s="463"/>
      <c r="R559" s="463"/>
      <c r="S559" s="463"/>
      <c r="T559" s="463"/>
      <c r="U559" s="463"/>
      <c r="V559" s="463"/>
      <c r="W559" s="463"/>
      <c r="X559" s="463"/>
      <c r="Y559" s="463"/>
      <c r="Z559" s="463"/>
    </row>
    <row r="560" spans="1:26" ht="15.75" customHeight="1" x14ac:dyDescent="0.3">
      <c r="A560" s="463"/>
      <c r="B560" s="463"/>
      <c r="C560" s="463"/>
      <c r="D560" s="463"/>
      <c r="E560" s="463"/>
      <c r="F560" s="463"/>
      <c r="G560" s="463"/>
      <c r="H560" s="463"/>
      <c r="I560" s="463"/>
      <c r="J560" s="463"/>
      <c r="K560" s="463"/>
      <c r="L560" s="463"/>
      <c r="M560" s="463"/>
      <c r="N560" s="463"/>
      <c r="O560" s="463"/>
      <c r="P560" s="463"/>
      <c r="Q560" s="463"/>
      <c r="R560" s="463"/>
      <c r="S560" s="463"/>
      <c r="T560" s="463"/>
      <c r="U560" s="463"/>
      <c r="V560" s="463"/>
      <c r="W560" s="463"/>
      <c r="X560" s="463"/>
      <c r="Y560" s="463"/>
      <c r="Z560" s="463"/>
    </row>
    <row r="561" spans="1:26" ht="15.75" customHeight="1" x14ac:dyDescent="0.3">
      <c r="A561" s="463"/>
      <c r="B561" s="463"/>
      <c r="C561" s="463"/>
      <c r="D561" s="463"/>
      <c r="E561" s="463"/>
      <c r="F561" s="463"/>
      <c r="G561" s="463"/>
      <c r="H561" s="463"/>
      <c r="I561" s="463"/>
      <c r="J561" s="463"/>
      <c r="K561" s="463"/>
      <c r="L561" s="463"/>
      <c r="M561" s="463"/>
      <c r="N561" s="463"/>
      <c r="O561" s="463"/>
      <c r="P561" s="463"/>
      <c r="Q561" s="463"/>
      <c r="R561" s="463"/>
      <c r="S561" s="463"/>
      <c r="T561" s="463"/>
      <c r="U561" s="463"/>
      <c r="V561" s="463"/>
      <c r="W561" s="463"/>
      <c r="X561" s="463"/>
      <c r="Y561" s="463"/>
      <c r="Z561" s="463"/>
    </row>
    <row r="562" spans="1:26" ht="15.75" customHeight="1" x14ac:dyDescent="0.3">
      <c r="A562" s="463"/>
      <c r="B562" s="463"/>
      <c r="C562" s="463"/>
      <c r="D562" s="463"/>
      <c r="E562" s="463"/>
      <c r="F562" s="463"/>
      <c r="G562" s="463"/>
      <c r="H562" s="463"/>
      <c r="I562" s="463"/>
      <c r="J562" s="463"/>
      <c r="K562" s="463"/>
      <c r="L562" s="463"/>
      <c r="M562" s="463"/>
      <c r="N562" s="463"/>
      <c r="O562" s="463"/>
      <c r="P562" s="463"/>
      <c r="Q562" s="463"/>
      <c r="R562" s="463"/>
      <c r="S562" s="463"/>
      <c r="T562" s="463"/>
      <c r="U562" s="463"/>
      <c r="V562" s="463"/>
      <c r="W562" s="463"/>
      <c r="X562" s="463"/>
      <c r="Y562" s="463"/>
      <c r="Z562" s="463"/>
    </row>
    <row r="563" spans="1:26" ht="15.75" customHeight="1" x14ac:dyDescent="0.3">
      <c r="A563" s="463"/>
      <c r="B563" s="463"/>
      <c r="C563" s="463"/>
      <c r="D563" s="463"/>
      <c r="E563" s="463"/>
      <c r="F563" s="463"/>
      <c r="G563" s="463"/>
      <c r="H563" s="463"/>
      <c r="I563" s="463"/>
      <c r="J563" s="463"/>
      <c r="K563" s="463"/>
      <c r="L563" s="463"/>
      <c r="M563" s="463"/>
      <c r="N563" s="463"/>
      <c r="O563" s="463"/>
      <c r="P563" s="463"/>
      <c r="Q563" s="463"/>
      <c r="R563" s="463"/>
      <c r="S563" s="463"/>
      <c r="T563" s="463"/>
      <c r="U563" s="463"/>
      <c r="V563" s="463"/>
      <c r="W563" s="463"/>
      <c r="X563" s="463"/>
      <c r="Y563" s="463"/>
      <c r="Z563" s="463"/>
    </row>
    <row r="564" spans="1:26" ht="15.75" customHeight="1" x14ac:dyDescent="0.3">
      <c r="A564" s="463"/>
      <c r="B564" s="463"/>
      <c r="C564" s="463"/>
      <c r="D564" s="463"/>
      <c r="E564" s="463"/>
      <c r="F564" s="463"/>
      <c r="G564" s="463"/>
      <c r="H564" s="463"/>
      <c r="I564" s="463"/>
      <c r="J564" s="463"/>
      <c r="K564" s="463"/>
      <c r="L564" s="463"/>
      <c r="M564" s="463"/>
      <c r="N564" s="463"/>
      <c r="O564" s="463"/>
      <c r="P564" s="463"/>
      <c r="Q564" s="463"/>
      <c r="R564" s="463"/>
      <c r="S564" s="463"/>
      <c r="T564" s="463"/>
      <c r="U564" s="463"/>
      <c r="V564" s="463"/>
      <c r="W564" s="463"/>
      <c r="X564" s="463"/>
      <c r="Y564" s="463"/>
      <c r="Z564" s="463"/>
    </row>
    <row r="565" spans="1:26" ht="15.75" customHeight="1" x14ac:dyDescent="0.3">
      <c r="A565" s="463"/>
      <c r="B565" s="463"/>
      <c r="C565" s="463"/>
      <c r="D565" s="463"/>
      <c r="E565" s="463"/>
      <c r="F565" s="463"/>
      <c r="G565" s="463"/>
      <c r="H565" s="463"/>
      <c r="I565" s="463"/>
      <c r="J565" s="463"/>
      <c r="K565" s="463"/>
      <c r="L565" s="463"/>
      <c r="M565" s="463"/>
      <c r="N565" s="463"/>
      <c r="O565" s="463"/>
      <c r="P565" s="463"/>
      <c r="Q565" s="463"/>
      <c r="R565" s="463"/>
      <c r="S565" s="463"/>
      <c r="T565" s="463"/>
      <c r="U565" s="463"/>
      <c r="V565" s="463"/>
      <c r="W565" s="463"/>
      <c r="X565" s="463"/>
      <c r="Y565" s="463"/>
      <c r="Z565" s="463"/>
    </row>
    <row r="566" spans="1:26" ht="15.75" customHeight="1" x14ac:dyDescent="0.3">
      <c r="A566" s="463"/>
      <c r="B566" s="463"/>
      <c r="C566" s="463"/>
      <c r="D566" s="463"/>
      <c r="E566" s="463"/>
      <c r="F566" s="463"/>
      <c r="G566" s="463"/>
      <c r="H566" s="463"/>
      <c r="I566" s="463"/>
      <c r="J566" s="463"/>
      <c r="K566" s="463"/>
      <c r="L566" s="463"/>
      <c r="M566" s="463"/>
      <c r="N566" s="463"/>
      <c r="O566" s="463"/>
      <c r="P566" s="463"/>
      <c r="Q566" s="463"/>
      <c r="R566" s="463"/>
      <c r="S566" s="463"/>
      <c r="T566" s="463"/>
      <c r="U566" s="463"/>
      <c r="V566" s="463"/>
      <c r="W566" s="463"/>
      <c r="X566" s="463"/>
      <c r="Y566" s="463"/>
      <c r="Z566" s="463"/>
    </row>
    <row r="567" spans="1:26" ht="15.75" customHeight="1" x14ac:dyDescent="0.3">
      <c r="A567" s="463"/>
      <c r="B567" s="463"/>
      <c r="C567" s="463"/>
      <c r="D567" s="463"/>
      <c r="E567" s="463"/>
      <c r="F567" s="463"/>
      <c r="G567" s="463"/>
      <c r="H567" s="463"/>
      <c r="I567" s="463"/>
      <c r="J567" s="463"/>
      <c r="K567" s="463"/>
      <c r="L567" s="463"/>
      <c r="M567" s="463"/>
      <c r="N567" s="463"/>
      <c r="O567" s="463"/>
      <c r="P567" s="463"/>
      <c r="Q567" s="463"/>
      <c r="R567" s="463"/>
      <c r="S567" s="463"/>
      <c r="T567" s="463"/>
      <c r="U567" s="463"/>
      <c r="V567" s="463"/>
      <c r="W567" s="463"/>
      <c r="X567" s="463"/>
      <c r="Y567" s="463"/>
      <c r="Z567" s="463"/>
    </row>
    <row r="568" spans="1:26" ht="15.75" customHeight="1" x14ac:dyDescent="0.3">
      <c r="A568" s="463"/>
      <c r="B568" s="463"/>
      <c r="C568" s="463"/>
      <c r="D568" s="463"/>
      <c r="E568" s="463"/>
      <c r="F568" s="463"/>
      <c r="G568" s="463"/>
      <c r="H568" s="463"/>
      <c r="I568" s="463"/>
      <c r="J568" s="463"/>
      <c r="K568" s="463"/>
      <c r="L568" s="463"/>
      <c r="M568" s="463"/>
      <c r="N568" s="463"/>
      <c r="O568" s="463"/>
      <c r="P568" s="463"/>
      <c r="Q568" s="463"/>
      <c r="R568" s="463"/>
      <c r="S568" s="463"/>
      <c r="T568" s="463"/>
      <c r="U568" s="463"/>
      <c r="V568" s="463"/>
      <c r="W568" s="463"/>
      <c r="X568" s="463"/>
      <c r="Y568" s="463"/>
      <c r="Z568" s="463"/>
    </row>
    <row r="569" spans="1:26" ht="15.75" customHeight="1" x14ac:dyDescent="0.3">
      <c r="A569" s="463"/>
      <c r="B569" s="463"/>
      <c r="C569" s="463"/>
      <c r="D569" s="463"/>
      <c r="E569" s="463"/>
      <c r="F569" s="463"/>
      <c r="G569" s="463"/>
      <c r="H569" s="463"/>
      <c r="I569" s="463"/>
      <c r="J569" s="463"/>
      <c r="K569" s="463"/>
      <c r="L569" s="463"/>
      <c r="M569" s="463"/>
      <c r="N569" s="463"/>
      <c r="O569" s="463"/>
      <c r="P569" s="463"/>
      <c r="Q569" s="463"/>
      <c r="R569" s="463"/>
      <c r="S569" s="463"/>
      <c r="T569" s="463"/>
      <c r="U569" s="463"/>
      <c r="V569" s="463"/>
      <c r="W569" s="463"/>
      <c r="X569" s="463"/>
      <c r="Y569" s="463"/>
      <c r="Z569" s="463"/>
    </row>
    <row r="570" spans="1:26" ht="15.75" customHeight="1" x14ac:dyDescent="0.3">
      <c r="A570" s="463"/>
      <c r="B570" s="463"/>
      <c r="C570" s="463"/>
      <c r="D570" s="463"/>
      <c r="E570" s="463"/>
      <c r="F570" s="463"/>
      <c r="G570" s="463"/>
      <c r="H570" s="463"/>
      <c r="I570" s="463"/>
      <c r="J570" s="463"/>
      <c r="K570" s="463"/>
      <c r="L570" s="463"/>
      <c r="M570" s="463"/>
      <c r="N570" s="463"/>
      <c r="O570" s="463"/>
      <c r="P570" s="463"/>
      <c r="Q570" s="463"/>
      <c r="R570" s="463"/>
      <c r="S570" s="463"/>
      <c r="T570" s="463"/>
      <c r="U570" s="463"/>
      <c r="V570" s="463"/>
      <c r="W570" s="463"/>
      <c r="X570" s="463"/>
      <c r="Y570" s="463"/>
      <c r="Z570" s="463"/>
    </row>
    <row r="571" spans="1:26" ht="15.75" customHeight="1" x14ac:dyDescent="0.3">
      <c r="A571" s="463"/>
      <c r="B571" s="463"/>
      <c r="C571" s="463"/>
      <c r="D571" s="463"/>
      <c r="E571" s="463"/>
      <c r="F571" s="463"/>
      <c r="G571" s="463"/>
      <c r="H571" s="463"/>
      <c r="I571" s="463"/>
      <c r="J571" s="463"/>
      <c r="K571" s="463"/>
      <c r="L571" s="463"/>
      <c r="M571" s="463"/>
      <c r="N571" s="463"/>
      <c r="O571" s="463"/>
      <c r="P571" s="463"/>
      <c r="Q571" s="463"/>
      <c r="R571" s="463"/>
      <c r="S571" s="463"/>
      <c r="T571" s="463"/>
      <c r="U571" s="463"/>
      <c r="V571" s="463"/>
      <c r="W571" s="463"/>
      <c r="X571" s="463"/>
      <c r="Y571" s="463"/>
      <c r="Z571" s="463"/>
    </row>
    <row r="572" spans="1:26" ht="15.75" customHeight="1" x14ac:dyDescent="0.3">
      <c r="A572" s="463"/>
      <c r="B572" s="463"/>
      <c r="C572" s="463"/>
      <c r="D572" s="463"/>
      <c r="E572" s="463"/>
      <c r="F572" s="463"/>
      <c r="G572" s="463"/>
      <c r="H572" s="463"/>
      <c r="I572" s="463"/>
      <c r="J572" s="463"/>
      <c r="K572" s="463"/>
      <c r="L572" s="463"/>
      <c r="M572" s="463"/>
      <c r="N572" s="463"/>
      <c r="O572" s="463"/>
      <c r="P572" s="463"/>
      <c r="Q572" s="463"/>
      <c r="R572" s="463"/>
      <c r="S572" s="463"/>
      <c r="T572" s="463"/>
      <c r="U572" s="463"/>
      <c r="V572" s="463"/>
      <c r="W572" s="463"/>
      <c r="X572" s="463"/>
      <c r="Y572" s="463"/>
      <c r="Z572" s="463"/>
    </row>
    <row r="573" spans="1:26" ht="15.75" customHeight="1" x14ac:dyDescent="0.3">
      <c r="A573" s="463"/>
      <c r="B573" s="463"/>
      <c r="C573" s="463"/>
      <c r="D573" s="463"/>
      <c r="E573" s="463"/>
      <c r="F573" s="463"/>
      <c r="G573" s="463"/>
      <c r="H573" s="463"/>
      <c r="I573" s="463"/>
      <c r="J573" s="463"/>
      <c r="K573" s="463"/>
      <c r="L573" s="463"/>
      <c r="M573" s="463"/>
      <c r="N573" s="463"/>
      <c r="O573" s="463"/>
      <c r="P573" s="463"/>
      <c r="Q573" s="463"/>
      <c r="R573" s="463"/>
      <c r="S573" s="463"/>
      <c r="T573" s="463"/>
      <c r="U573" s="463"/>
      <c r="V573" s="463"/>
      <c r="W573" s="463"/>
      <c r="X573" s="463"/>
      <c r="Y573" s="463"/>
      <c r="Z573" s="463"/>
    </row>
    <row r="574" spans="1:26" ht="15.75" customHeight="1" x14ac:dyDescent="0.3">
      <c r="A574" s="463"/>
      <c r="B574" s="463"/>
      <c r="C574" s="463"/>
      <c r="D574" s="463"/>
      <c r="E574" s="463"/>
      <c r="F574" s="463"/>
      <c r="G574" s="463"/>
      <c r="H574" s="463"/>
      <c r="I574" s="463"/>
      <c r="J574" s="463"/>
      <c r="K574" s="463"/>
      <c r="L574" s="463"/>
      <c r="M574" s="463"/>
      <c r="N574" s="463"/>
      <c r="O574" s="463"/>
      <c r="P574" s="463"/>
      <c r="Q574" s="463"/>
      <c r="R574" s="463"/>
      <c r="S574" s="463"/>
      <c r="T574" s="463"/>
      <c r="U574" s="463"/>
      <c r="V574" s="463"/>
      <c r="W574" s="463"/>
      <c r="X574" s="463"/>
      <c r="Y574" s="463"/>
      <c r="Z574" s="463"/>
    </row>
    <row r="575" spans="1:26" ht="15.75" customHeight="1" x14ac:dyDescent="0.3">
      <c r="A575" s="463"/>
      <c r="B575" s="463"/>
      <c r="C575" s="463"/>
      <c r="D575" s="463"/>
      <c r="E575" s="463"/>
      <c r="F575" s="463"/>
      <c r="G575" s="463"/>
      <c r="H575" s="463"/>
      <c r="I575" s="463"/>
      <c r="J575" s="463"/>
      <c r="K575" s="463"/>
      <c r="L575" s="463"/>
      <c r="M575" s="463"/>
      <c r="N575" s="463"/>
      <c r="O575" s="463"/>
      <c r="P575" s="463"/>
      <c r="Q575" s="463"/>
      <c r="R575" s="463"/>
      <c r="S575" s="463"/>
      <c r="T575" s="463"/>
      <c r="U575" s="463"/>
      <c r="V575" s="463"/>
      <c r="W575" s="463"/>
      <c r="X575" s="463"/>
      <c r="Y575" s="463"/>
      <c r="Z575" s="463"/>
    </row>
    <row r="576" spans="1:26" ht="15.75" customHeight="1" x14ac:dyDescent="0.3">
      <c r="A576" s="463"/>
      <c r="B576" s="463"/>
      <c r="C576" s="463"/>
      <c r="D576" s="463"/>
      <c r="E576" s="463"/>
      <c r="F576" s="463"/>
      <c r="G576" s="463"/>
      <c r="H576" s="463"/>
      <c r="I576" s="463"/>
      <c r="J576" s="463"/>
      <c r="K576" s="463"/>
      <c r="L576" s="463"/>
      <c r="M576" s="463"/>
      <c r="N576" s="463"/>
      <c r="O576" s="463"/>
      <c r="P576" s="463"/>
      <c r="Q576" s="463"/>
      <c r="R576" s="463"/>
      <c r="S576" s="463"/>
      <c r="T576" s="463"/>
      <c r="U576" s="463"/>
      <c r="V576" s="463"/>
      <c r="W576" s="463"/>
      <c r="X576" s="463"/>
      <c r="Y576" s="463"/>
      <c r="Z576" s="463"/>
    </row>
    <row r="577" spans="1:26" ht="15.75" customHeight="1" x14ac:dyDescent="0.3">
      <c r="A577" s="463"/>
      <c r="B577" s="463"/>
      <c r="C577" s="463"/>
      <c r="D577" s="463"/>
      <c r="E577" s="463"/>
      <c r="F577" s="463"/>
      <c r="G577" s="463"/>
      <c r="H577" s="463"/>
      <c r="I577" s="463"/>
      <c r="J577" s="463"/>
      <c r="K577" s="463"/>
      <c r="L577" s="463"/>
      <c r="M577" s="463"/>
      <c r="N577" s="463"/>
      <c r="O577" s="463"/>
      <c r="P577" s="463"/>
      <c r="Q577" s="463"/>
      <c r="R577" s="463"/>
      <c r="S577" s="463"/>
      <c r="T577" s="463"/>
      <c r="U577" s="463"/>
      <c r="V577" s="463"/>
      <c r="W577" s="463"/>
      <c r="X577" s="463"/>
      <c r="Y577" s="463"/>
      <c r="Z577" s="463"/>
    </row>
    <row r="578" spans="1:26" ht="15.75" customHeight="1" x14ac:dyDescent="0.3">
      <c r="A578" s="463"/>
      <c r="B578" s="463"/>
      <c r="C578" s="463"/>
      <c r="D578" s="463"/>
      <c r="E578" s="463"/>
      <c r="F578" s="463"/>
      <c r="G578" s="463"/>
      <c r="H578" s="463"/>
      <c r="I578" s="463"/>
      <c r="J578" s="463"/>
      <c r="K578" s="463"/>
      <c r="L578" s="463"/>
      <c r="M578" s="463"/>
      <c r="N578" s="463"/>
      <c r="O578" s="463"/>
      <c r="P578" s="463"/>
      <c r="Q578" s="463"/>
      <c r="R578" s="463"/>
      <c r="S578" s="463"/>
      <c r="T578" s="463"/>
      <c r="U578" s="463"/>
      <c r="V578" s="463"/>
      <c r="W578" s="463"/>
      <c r="X578" s="463"/>
      <c r="Y578" s="463"/>
      <c r="Z578" s="463"/>
    </row>
    <row r="579" spans="1:26" ht="15.75" customHeight="1" x14ac:dyDescent="0.3">
      <c r="A579" s="463"/>
      <c r="B579" s="463"/>
      <c r="C579" s="463"/>
      <c r="D579" s="463"/>
      <c r="E579" s="463"/>
      <c r="F579" s="463"/>
      <c r="G579" s="463"/>
      <c r="H579" s="463"/>
      <c r="I579" s="463"/>
      <c r="J579" s="463"/>
      <c r="K579" s="463"/>
      <c r="L579" s="463"/>
      <c r="M579" s="463"/>
      <c r="N579" s="463"/>
      <c r="O579" s="463"/>
      <c r="P579" s="463"/>
      <c r="Q579" s="463"/>
      <c r="R579" s="463"/>
      <c r="S579" s="463"/>
      <c r="T579" s="463"/>
      <c r="U579" s="463"/>
      <c r="V579" s="463"/>
      <c r="W579" s="463"/>
      <c r="X579" s="463"/>
      <c r="Y579" s="463"/>
      <c r="Z579" s="463"/>
    </row>
    <row r="580" spans="1:26" ht="15.75" customHeight="1" x14ac:dyDescent="0.3">
      <c r="A580" s="463"/>
      <c r="B580" s="463"/>
      <c r="C580" s="463"/>
      <c r="D580" s="463"/>
      <c r="E580" s="463"/>
      <c r="F580" s="463"/>
      <c r="G580" s="463"/>
      <c r="H580" s="463"/>
      <c r="I580" s="463"/>
      <c r="J580" s="463"/>
      <c r="K580" s="463"/>
      <c r="L580" s="463"/>
      <c r="M580" s="463"/>
      <c r="N580" s="463"/>
      <c r="O580" s="463"/>
      <c r="P580" s="463"/>
      <c r="Q580" s="463"/>
      <c r="R580" s="463"/>
      <c r="S580" s="463"/>
      <c r="T580" s="463"/>
      <c r="U580" s="463"/>
      <c r="V580" s="463"/>
      <c r="W580" s="463"/>
      <c r="X580" s="463"/>
      <c r="Y580" s="463"/>
      <c r="Z580" s="463"/>
    </row>
    <row r="581" spans="1:26" ht="15.75" customHeight="1" x14ac:dyDescent="0.3">
      <c r="A581" s="463"/>
      <c r="B581" s="463"/>
      <c r="C581" s="463"/>
      <c r="D581" s="463"/>
      <c r="E581" s="463"/>
      <c r="F581" s="463"/>
      <c r="G581" s="463"/>
      <c r="H581" s="463"/>
      <c r="I581" s="463"/>
      <c r="J581" s="463"/>
      <c r="K581" s="463"/>
      <c r="L581" s="463"/>
      <c r="M581" s="463"/>
      <c r="N581" s="463"/>
      <c r="O581" s="463"/>
      <c r="P581" s="463"/>
      <c r="Q581" s="463"/>
      <c r="R581" s="463"/>
      <c r="S581" s="463"/>
      <c r="T581" s="463"/>
      <c r="U581" s="463"/>
      <c r="V581" s="463"/>
      <c r="W581" s="463"/>
      <c r="X581" s="463"/>
      <c r="Y581" s="463"/>
      <c r="Z581" s="463"/>
    </row>
    <row r="582" spans="1:26" ht="15.75" customHeight="1" x14ac:dyDescent="0.3">
      <c r="A582" s="463"/>
      <c r="B582" s="463"/>
      <c r="C582" s="463"/>
      <c r="D582" s="463"/>
      <c r="E582" s="463"/>
      <c r="F582" s="463"/>
      <c r="G582" s="463"/>
      <c r="H582" s="463"/>
      <c r="I582" s="463"/>
      <c r="J582" s="463"/>
      <c r="K582" s="463"/>
      <c r="L582" s="463"/>
      <c r="M582" s="463"/>
      <c r="N582" s="463"/>
      <c r="O582" s="463"/>
      <c r="P582" s="463"/>
      <c r="Q582" s="463"/>
      <c r="R582" s="463"/>
      <c r="S582" s="463"/>
      <c r="T582" s="463"/>
      <c r="U582" s="463"/>
      <c r="V582" s="463"/>
      <c r="W582" s="463"/>
      <c r="X582" s="463"/>
      <c r="Y582" s="463"/>
      <c r="Z582" s="463"/>
    </row>
    <row r="583" spans="1:26" ht="15.75" customHeight="1" x14ac:dyDescent="0.3">
      <c r="A583" s="463"/>
      <c r="B583" s="463"/>
      <c r="C583" s="463"/>
      <c r="D583" s="463"/>
      <c r="E583" s="463"/>
      <c r="F583" s="463"/>
      <c r="G583" s="463"/>
      <c r="H583" s="463"/>
      <c r="I583" s="463"/>
      <c r="J583" s="463"/>
      <c r="K583" s="463"/>
      <c r="L583" s="463"/>
      <c r="M583" s="463"/>
      <c r="N583" s="463"/>
      <c r="O583" s="463"/>
      <c r="P583" s="463"/>
      <c r="Q583" s="463"/>
      <c r="R583" s="463"/>
      <c r="S583" s="463"/>
      <c r="T583" s="463"/>
      <c r="U583" s="463"/>
      <c r="V583" s="463"/>
      <c r="W583" s="463"/>
      <c r="X583" s="463"/>
      <c r="Y583" s="463"/>
      <c r="Z583" s="463"/>
    </row>
    <row r="584" spans="1:26" ht="15.75" customHeight="1" x14ac:dyDescent="0.3">
      <c r="A584" s="463"/>
      <c r="B584" s="463"/>
      <c r="C584" s="463"/>
      <c r="D584" s="463"/>
      <c r="E584" s="463"/>
      <c r="F584" s="463"/>
      <c r="G584" s="463"/>
      <c r="H584" s="463"/>
      <c r="I584" s="463"/>
      <c r="J584" s="463"/>
      <c r="K584" s="463"/>
      <c r="L584" s="463"/>
      <c r="M584" s="463"/>
      <c r="N584" s="463"/>
      <c r="O584" s="463"/>
      <c r="P584" s="463"/>
      <c r="Q584" s="463"/>
      <c r="R584" s="463"/>
      <c r="S584" s="463"/>
      <c r="T584" s="463"/>
      <c r="U584" s="463"/>
      <c r="V584" s="463"/>
      <c r="W584" s="463"/>
      <c r="X584" s="463"/>
      <c r="Y584" s="463"/>
      <c r="Z584" s="463"/>
    </row>
    <row r="585" spans="1:26" ht="15.75" customHeight="1" x14ac:dyDescent="0.3">
      <c r="A585" s="463"/>
      <c r="B585" s="463"/>
      <c r="C585" s="463"/>
      <c r="D585" s="463"/>
      <c r="E585" s="463"/>
      <c r="F585" s="463"/>
      <c r="G585" s="463"/>
      <c r="H585" s="463"/>
      <c r="I585" s="463"/>
      <c r="J585" s="463"/>
      <c r="K585" s="463"/>
      <c r="L585" s="463"/>
      <c r="M585" s="463"/>
      <c r="N585" s="463"/>
      <c r="O585" s="463"/>
      <c r="P585" s="463"/>
      <c r="Q585" s="463"/>
      <c r="R585" s="463"/>
      <c r="S585" s="463"/>
      <c r="T585" s="463"/>
      <c r="U585" s="463"/>
      <c r="V585" s="463"/>
      <c r="W585" s="463"/>
      <c r="X585" s="463"/>
      <c r="Y585" s="463"/>
      <c r="Z585" s="463"/>
    </row>
    <row r="586" spans="1:26" ht="15.75" customHeight="1" x14ac:dyDescent="0.3">
      <c r="A586" s="463"/>
      <c r="B586" s="463"/>
      <c r="C586" s="463"/>
      <c r="D586" s="463"/>
      <c r="E586" s="463"/>
      <c r="F586" s="463"/>
      <c r="G586" s="463"/>
      <c r="H586" s="463"/>
      <c r="I586" s="463"/>
      <c r="J586" s="463"/>
      <c r="K586" s="463"/>
      <c r="L586" s="463"/>
      <c r="M586" s="463"/>
      <c r="N586" s="463"/>
      <c r="O586" s="463"/>
      <c r="P586" s="463"/>
      <c r="Q586" s="463"/>
      <c r="R586" s="463"/>
      <c r="S586" s="463"/>
      <c r="T586" s="463"/>
      <c r="U586" s="463"/>
      <c r="V586" s="463"/>
      <c r="W586" s="463"/>
      <c r="X586" s="463"/>
      <c r="Y586" s="463"/>
      <c r="Z586" s="463"/>
    </row>
    <row r="587" spans="1:26" ht="15.75" customHeight="1" x14ac:dyDescent="0.3">
      <c r="A587" s="463"/>
      <c r="B587" s="463"/>
      <c r="C587" s="463"/>
      <c r="D587" s="463"/>
      <c r="E587" s="463"/>
      <c r="F587" s="463"/>
      <c r="G587" s="463"/>
      <c r="H587" s="463"/>
      <c r="I587" s="463"/>
      <c r="J587" s="463"/>
      <c r="K587" s="463"/>
      <c r="L587" s="463"/>
      <c r="M587" s="463"/>
      <c r="N587" s="463"/>
      <c r="O587" s="463"/>
      <c r="P587" s="463"/>
      <c r="Q587" s="463"/>
      <c r="R587" s="463"/>
      <c r="S587" s="463"/>
      <c r="T587" s="463"/>
      <c r="U587" s="463"/>
      <c r="V587" s="463"/>
      <c r="W587" s="463"/>
      <c r="X587" s="463"/>
      <c r="Y587" s="463"/>
      <c r="Z587" s="463"/>
    </row>
    <row r="588" spans="1:26" ht="15.75" customHeight="1" x14ac:dyDescent="0.3">
      <c r="A588" s="463"/>
      <c r="B588" s="463"/>
      <c r="C588" s="463"/>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63"/>
      <c r="Z588" s="463"/>
    </row>
    <row r="589" spans="1:26" ht="15.75" customHeight="1" x14ac:dyDescent="0.3">
      <c r="A589" s="463"/>
      <c r="B589" s="463"/>
      <c r="C589" s="463"/>
      <c r="D589" s="463"/>
      <c r="E589" s="463"/>
      <c r="F589" s="463"/>
      <c r="G589" s="463"/>
      <c r="H589" s="463"/>
      <c r="I589" s="463"/>
      <c r="J589" s="463"/>
      <c r="K589" s="463"/>
      <c r="L589" s="463"/>
      <c r="M589" s="463"/>
      <c r="N589" s="463"/>
      <c r="O589" s="463"/>
      <c r="P589" s="463"/>
      <c r="Q589" s="463"/>
      <c r="R589" s="463"/>
      <c r="S589" s="463"/>
      <c r="T589" s="463"/>
      <c r="U589" s="463"/>
      <c r="V589" s="463"/>
      <c r="W589" s="463"/>
      <c r="X589" s="463"/>
      <c r="Y589" s="463"/>
      <c r="Z589" s="463"/>
    </row>
    <row r="590" spans="1:26" ht="15.75" customHeight="1" x14ac:dyDescent="0.3">
      <c r="A590" s="463"/>
      <c r="B590" s="463"/>
      <c r="C590" s="463"/>
      <c r="D590" s="463"/>
      <c r="E590" s="463"/>
      <c r="F590" s="463"/>
      <c r="G590" s="463"/>
      <c r="H590" s="463"/>
      <c r="I590" s="463"/>
      <c r="J590" s="463"/>
      <c r="K590" s="463"/>
      <c r="L590" s="463"/>
      <c r="M590" s="463"/>
      <c r="N590" s="463"/>
      <c r="O590" s="463"/>
      <c r="P590" s="463"/>
      <c r="Q590" s="463"/>
      <c r="R590" s="463"/>
      <c r="S590" s="463"/>
      <c r="T590" s="463"/>
      <c r="U590" s="463"/>
      <c r="V590" s="463"/>
      <c r="W590" s="463"/>
      <c r="X590" s="463"/>
      <c r="Y590" s="463"/>
      <c r="Z590" s="463"/>
    </row>
    <row r="591" spans="1:26" ht="15.75" customHeight="1" x14ac:dyDescent="0.3">
      <c r="A591" s="463"/>
      <c r="B591" s="463"/>
      <c r="C591" s="463"/>
      <c r="D591" s="463"/>
      <c r="E591" s="463"/>
      <c r="F591" s="463"/>
      <c r="G591" s="463"/>
      <c r="H591" s="463"/>
      <c r="I591" s="463"/>
      <c r="J591" s="463"/>
      <c r="K591" s="463"/>
      <c r="L591" s="463"/>
      <c r="M591" s="463"/>
      <c r="N591" s="463"/>
      <c r="O591" s="463"/>
      <c r="P591" s="463"/>
      <c r="Q591" s="463"/>
      <c r="R591" s="463"/>
      <c r="S591" s="463"/>
      <c r="T591" s="463"/>
      <c r="U591" s="463"/>
      <c r="V591" s="463"/>
      <c r="W591" s="463"/>
      <c r="X591" s="463"/>
      <c r="Y591" s="463"/>
      <c r="Z591" s="463"/>
    </row>
    <row r="592" spans="1:26" ht="15.75" customHeight="1" x14ac:dyDescent="0.3">
      <c r="A592" s="463"/>
      <c r="B592" s="463"/>
      <c r="C592" s="463"/>
      <c r="D592" s="463"/>
      <c r="E592" s="463"/>
      <c r="F592" s="463"/>
      <c r="G592" s="463"/>
      <c r="H592" s="463"/>
      <c r="I592" s="463"/>
      <c r="J592" s="463"/>
      <c r="K592" s="463"/>
      <c r="L592" s="463"/>
      <c r="M592" s="463"/>
      <c r="N592" s="463"/>
      <c r="O592" s="463"/>
      <c r="P592" s="463"/>
      <c r="Q592" s="463"/>
      <c r="R592" s="463"/>
      <c r="S592" s="463"/>
      <c r="T592" s="463"/>
      <c r="U592" s="463"/>
      <c r="V592" s="463"/>
      <c r="W592" s="463"/>
      <c r="X592" s="463"/>
      <c r="Y592" s="463"/>
      <c r="Z592" s="463"/>
    </row>
    <row r="593" spans="1:26" ht="15.75" customHeight="1" x14ac:dyDescent="0.3">
      <c r="A593" s="463"/>
      <c r="B593" s="463"/>
      <c r="C593" s="463"/>
      <c r="D593" s="463"/>
      <c r="E593" s="463"/>
      <c r="F593" s="463"/>
      <c r="G593" s="463"/>
      <c r="H593" s="463"/>
      <c r="I593" s="463"/>
      <c r="J593" s="463"/>
      <c r="K593" s="463"/>
      <c r="L593" s="463"/>
      <c r="M593" s="463"/>
      <c r="N593" s="463"/>
      <c r="O593" s="463"/>
      <c r="P593" s="463"/>
      <c r="Q593" s="463"/>
      <c r="R593" s="463"/>
      <c r="S593" s="463"/>
      <c r="T593" s="463"/>
      <c r="U593" s="463"/>
      <c r="V593" s="463"/>
      <c r="W593" s="463"/>
      <c r="X593" s="463"/>
      <c r="Y593" s="463"/>
      <c r="Z593" s="463"/>
    </row>
    <row r="594" spans="1:26" ht="15.75" customHeight="1" x14ac:dyDescent="0.3">
      <c r="A594" s="463"/>
      <c r="B594" s="463"/>
      <c r="C594" s="463"/>
      <c r="D594" s="463"/>
      <c r="E594" s="463"/>
      <c r="F594" s="463"/>
      <c r="G594" s="463"/>
      <c r="H594" s="463"/>
      <c r="I594" s="463"/>
      <c r="J594" s="463"/>
      <c r="K594" s="463"/>
      <c r="L594" s="463"/>
      <c r="M594" s="463"/>
      <c r="N594" s="463"/>
      <c r="O594" s="463"/>
      <c r="P594" s="463"/>
      <c r="Q594" s="463"/>
      <c r="R594" s="463"/>
      <c r="S594" s="463"/>
      <c r="T594" s="463"/>
      <c r="U594" s="463"/>
      <c r="V594" s="463"/>
      <c r="W594" s="463"/>
      <c r="X594" s="463"/>
      <c r="Y594" s="463"/>
      <c r="Z594" s="463"/>
    </row>
    <row r="595" spans="1:26" ht="15.75" customHeight="1" x14ac:dyDescent="0.3">
      <c r="A595" s="463"/>
      <c r="B595" s="463"/>
      <c r="C595" s="463"/>
      <c r="D595" s="463"/>
      <c r="E595" s="463"/>
      <c r="F595" s="463"/>
      <c r="G595" s="463"/>
      <c r="H595" s="463"/>
      <c r="I595" s="463"/>
      <c r="J595" s="463"/>
      <c r="K595" s="463"/>
      <c r="L595" s="463"/>
      <c r="M595" s="463"/>
      <c r="N595" s="463"/>
      <c r="O595" s="463"/>
      <c r="P595" s="463"/>
      <c r="Q595" s="463"/>
      <c r="R595" s="463"/>
      <c r="S595" s="463"/>
      <c r="T595" s="463"/>
      <c r="U595" s="463"/>
      <c r="V595" s="463"/>
      <c r="W595" s="463"/>
      <c r="X595" s="463"/>
      <c r="Y595" s="463"/>
      <c r="Z595" s="463"/>
    </row>
    <row r="596" spans="1:26" ht="15.75" customHeight="1" x14ac:dyDescent="0.3">
      <c r="A596" s="463"/>
      <c r="B596" s="463"/>
      <c r="C596" s="463"/>
      <c r="D596" s="463"/>
      <c r="E596" s="463"/>
      <c r="F596" s="463"/>
      <c r="G596" s="463"/>
      <c r="H596" s="463"/>
      <c r="I596" s="463"/>
      <c r="J596" s="463"/>
      <c r="K596" s="463"/>
      <c r="L596" s="463"/>
      <c r="M596" s="463"/>
      <c r="N596" s="463"/>
      <c r="O596" s="463"/>
      <c r="P596" s="463"/>
      <c r="Q596" s="463"/>
      <c r="R596" s="463"/>
      <c r="S596" s="463"/>
      <c r="T596" s="463"/>
      <c r="U596" s="463"/>
      <c r="V596" s="463"/>
      <c r="W596" s="463"/>
      <c r="X596" s="463"/>
      <c r="Y596" s="463"/>
      <c r="Z596" s="463"/>
    </row>
    <row r="597" spans="1:26" ht="15.75" customHeight="1" x14ac:dyDescent="0.3">
      <c r="A597" s="463"/>
      <c r="B597" s="463"/>
      <c r="C597" s="463"/>
      <c r="D597" s="463"/>
      <c r="E597" s="463"/>
      <c r="F597" s="463"/>
      <c r="G597" s="463"/>
      <c r="H597" s="463"/>
      <c r="I597" s="463"/>
      <c r="J597" s="463"/>
      <c r="K597" s="463"/>
      <c r="L597" s="463"/>
      <c r="M597" s="463"/>
      <c r="N597" s="463"/>
      <c r="O597" s="463"/>
      <c r="P597" s="463"/>
      <c r="Q597" s="463"/>
      <c r="R597" s="463"/>
      <c r="S597" s="463"/>
      <c r="T597" s="463"/>
      <c r="U597" s="463"/>
      <c r="V597" s="463"/>
      <c r="W597" s="463"/>
      <c r="X597" s="463"/>
      <c r="Y597" s="463"/>
      <c r="Z597" s="463"/>
    </row>
    <row r="598" spans="1:26" ht="15.75" customHeight="1" x14ac:dyDescent="0.3">
      <c r="A598" s="463"/>
      <c r="B598" s="463"/>
      <c r="C598" s="463"/>
      <c r="D598" s="463"/>
      <c r="E598" s="463"/>
      <c r="F598" s="463"/>
      <c r="G598" s="463"/>
      <c r="H598" s="463"/>
      <c r="I598" s="463"/>
      <c r="J598" s="463"/>
      <c r="K598" s="463"/>
      <c r="L598" s="463"/>
      <c r="M598" s="463"/>
      <c r="N598" s="463"/>
      <c r="O598" s="463"/>
      <c r="P598" s="463"/>
      <c r="Q598" s="463"/>
      <c r="R598" s="463"/>
      <c r="S598" s="463"/>
      <c r="T598" s="463"/>
      <c r="U598" s="463"/>
      <c r="V598" s="463"/>
      <c r="W598" s="463"/>
      <c r="X598" s="463"/>
      <c r="Y598" s="463"/>
      <c r="Z598" s="463"/>
    </row>
    <row r="599" spans="1:26" ht="15.75" customHeight="1" x14ac:dyDescent="0.3">
      <c r="A599" s="463"/>
      <c r="B599" s="463"/>
      <c r="C599" s="463"/>
      <c r="D599" s="463"/>
      <c r="E599" s="463"/>
      <c r="F599" s="463"/>
      <c r="G599" s="463"/>
      <c r="H599" s="463"/>
      <c r="I599" s="463"/>
      <c r="J599" s="463"/>
      <c r="K599" s="463"/>
      <c r="L599" s="463"/>
      <c r="M599" s="463"/>
      <c r="N599" s="463"/>
      <c r="O599" s="463"/>
      <c r="P599" s="463"/>
      <c r="Q599" s="463"/>
      <c r="R599" s="463"/>
      <c r="S599" s="463"/>
      <c r="T599" s="463"/>
      <c r="U599" s="463"/>
      <c r="V599" s="463"/>
      <c r="W599" s="463"/>
      <c r="X599" s="463"/>
      <c r="Y599" s="463"/>
      <c r="Z599" s="463"/>
    </row>
    <row r="600" spans="1:26" ht="15.75" customHeight="1" x14ac:dyDescent="0.3">
      <c r="A600" s="463"/>
      <c r="B600" s="463"/>
      <c r="C600" s="463"/>
      <c r="D600" s="463"/>
      <c r="E600" s="463"/>
      <c r="F600" s="463"/>
      <c r="G600" s="463"/>
      <c r="H600" s="463"/>
      <c r="I600" s="463"/>
      <c r="J600" s="463"/>
      <c r="K600" s="463"/>
      <c r="L600" s="463"/>
      <c r="M600" s="463"/>
      <c r="N600" s="463"/>
      <c r="O600" s="463"/>
      <c r="P600" s="463"/>
      <c r="Q600" s="463"/>
      <c r="R600" s="463"/>
      <c r="S600" s="463"/>
      <c r="T600" s="463"/>
      <c r="U600" s="463"/>
      <c r="V600" s="463"/>
      <c r="W600" s="463"/>
      <c r="X600" s="463"/>
      <c r="Y600" s="463"/>
      <c r="Z600" s="463"/>
    </row>
    <row r="601" spans="1:26" ht="15.75" customHeight="1" x14ac:dyDescent="0.3">
      <c r="A601" s="463"/>
      <c r="B601" s="463"/>
      <c r="C601" s="463"/>
      <c r="D601" s="463"/>
      <c r="E601" s="463"/>
      <c r="F601" s="463"/>
      <c r="G601" s="463"/>
      <c r="H601" s="463"/>
      <c r="I601" s="463"/>
      <c r="J601" s="463"/>
      <c r="K601" s="463"/>
      <c r="L601" s="463"/>
      <c r="M601" s="463"/>
      <c r="N601" s="463"/>
      <c r="O601" s="463"/>
      <c r="P601" s="463"/>
      <c r="Q601" s="463"/>
      <c r="R601" s="463"/>
      <c r="S601" s="463"/>
      <c r="T601" s="463"/>
      <c r="U601" s="463"/>
      <c r="V601" s="463"/>
      <c r="W601" s="463"/>
      <c r="X601" s="463"/>
      <c r="Y601" s="463"/>
      <c r="Z601" s="463"/>
    </row>
    <row r="602" spans="1:26" ht="15.75" customHeight="1" x14ac:dyDescent="0.3">
      <c r="A602" s="463"/>
      <c r="B602" s="463"/>
      <c r="C602" s="463"/>
      <c r="D602" s="463"/>
      <c r="E602" s="463"/>
      <c r="F602" s="463"/>
      <c r="G602" s="463"/>
      <c r="H602" s="463"/>
      <c r="I602" s="463"/>
      <c r="J602" s="463"/>
      <c r="K602" s="463"/>
      <c r="L602" s="463"/>
      <c r="M602" s="463"/>
      <c r="N602" s="463"/>
      <c r="O602" s="463"/>
      <c r="P602" s="463"/>
      <c r="Q602" s="463"/>
      <c r="R602" s="463"/>
      <c r="S602" s="463"/>
      <c r="T602" s="463"/>
      <c r="U602" s="463"/>
      <c r="V602" s="463"/>
      <c r="W602" s="463"/>
      <c r="X602" s="463"/>
      <c r="Y602" s="463"/>
      <c r="Z602" s="463"/>
    </row>
    <row r="603" spans="1:26" ht="15.75" customHeight="1" x14ac:dyDescent="0.3">
      <c r="A603" s="463"/>
      <c r="B603" s="463"/>
      <c r="C603" s="463"/>
      <c r="D603" s="463"/>
      <c r="E603" s="463"/>
      <c r="F603" s="463"/>
      <c r="G603" s="463"/>
      <c r="H603" s="463"/>
      <c r="I603" s="463"/>
      <c r="J603" s="463"/>
      <c r="K603" s="463"/>
      <c r="L603" s="463"/>
      <c r="M603" s="463"/>
      <c r="N603" s="463"/>
      <c r="O603" s="463"/>
      <c r="P603" s="463"/>
      <c r="Q603" s="463"/>
      <c r="R603" s="463"/>
      <c r="S603" s="463"/>
      <c r="T603" s="463"/>
      <c r="U603" s="463"/>
      <c r="V603" s="463"/>
      <c r="W603" s="463"/>
      <c r="X603" s="463"/>
      <c r="Y603" s="463"/>
      <c r="Z603" s="463"/>
    </row>
    <row r="604" spans="1:26" ht="15.75" customHeight="1" x14ac:dyDescent="0.3">
      <c r="A604" s="463"/>
      <c r="B604" s="463"/>
      <c r="C604" s="463"/>
      <c r="D604" s="463"/>
      <c r="E604" s="463"/>
      <c r="F604" s="463"/>
      <c r="G604" s="463"/>
      <c r="H604" s="463"/>
      <c r="I604" s="463"/>
      <c r="J604" s="463"/>
      <c r="K604" s="463"/>
      <c r="L604" s="463"/>
      <c r="M604" s="463"/>
      <c r="N604" s="463"/>
      <c r="O604" s="463"/>
      <c r="P604" s="463"/>
      <c r="Q604" s="463"/>
      <c r="R604" s="463"/>
      <c r="S604" s="463"/>
      <c r="T604" s="463"/>
      <c r="U604" s="463"/>
      <c r="V604" s="463"/>
      <c r="W604" s="463"/>
      <c r="X604" s="463"/>
      <c r="Y604" s="463"/>
      <c r="Z604" s="463"/>
    </row>
    <row r="605" spans="1:26" ht="15.75" customHeight="1" x14ac:dyDescent="0.3">
      <c r="A605" s="463"/>
      <c r="B605" s="463"/>
      <c r="C605" s="463"/>
      <c r="D605" s="463"/>
      <c r="E605" s="463"/>
      <c r="F605" s="463"/>
      <c r="G605" s="463"/>
      <c r="H605" s="463"/>
      <c r="I605" s="463"/>
      <c r="J605" s="463"/>
      <c r="K605" s="463"/>
      <c r="L605" s="463"/>
      <c r="M605" s="463"/>
      <c r="N605" s="463"/>
      <c r="O605" s="463"/>
      <c r="P605" s="463"/>
      <c r="Q605" s="463"/>
      <c r="R605" s="463"/>
      <c r="S605" s="463"/>
      <c r="T605" s="463"/>
      <c r="U605" s="463"/>
      <c r="V605" s="463"/>
      <c r="W605" s="463"/>
      <c r="X605" s="463"/>
      <c r="Y605" s="463"/>
      <c r="Z605" s="463"/>
    </row>
    <row r="606" spans="1:26" ht="15.75" customHeight="1" x14ac:dyDescent="0.3">
      <c r="A606" s="463"/>
      <c r="B606" s="463"/>
      <c r="C606" s="463"/>
      <c r="D606" s="463"/>
      <c r="E606" s="463"/>
      <c r="F606" s="463"/>
      <c r="G606" s="463"/>
      <c r="H606" s="463"/>
      <c r="I606" s="463"/>
      <c r="J606" s="463"/>
      <c r="K606" s="463"/>
      <c r="L606" s="463"/>
      <c r="M606" s="463"/>
      <c r="N606" s="463"/>
      <c r="O606" s="463"/>
      <c r="P606" s="463"/>
      <c r="Q606" s="463"/>
      <c r="R606" s="463"/>
      <c r="S606" s="463"/>
      <c r="T606" s="463"/>
      <c r="U606" s="463"/>
      <c r="V606" s="463"/>
      <c r="W606" s="463"/>
      <c r="X606" s="463"/>
      <c r="Y606" s="463"/>
      <c r="Z606" s="463"/>
    </row>
    <row r="607" spans="1:26" ht="15.75" customHeight="1" x14ac:dyDescent="0.3">
      <c r="A607" s="463"/>
      <c r="B607" s="463"/>
      <c r="C607" s="463"/>
      <c r="D607" s="463"/>
      <c r="E607" s="463"/>
      <c r="F607" s="463"/>
      <c r="G607" s="463"/>
      <c r="H607" s="463"/>
      <c r="I607" s="463"/>
      <c r="J607" s="463"/>
      <c r="K607" s="463"/>
      <c r="L607" s="463"/>
      <c r="M607" s="463"/>
      <c r="N607" s="463"/>
      <c r="O607" s="463"/>
      <c r="P607" s="463"/>
      <c r="Q607" s="463"/>
      <c r="R607" s="463"/>
      <c r="S607" s="463"/>
      <c r="T607" s="463"/>
      <c r="U607" s="463"/>
      <c r="V607" s="463"/>
      <c r="W607" s="463"/>
      <c r="X607" s="463"/>
      <c r="Y607" s="463"/>
      <c r="Z607" s="463"/>
    </row>
    <row r="608" spans="1:26" ht="15.75" customHeight="1" x14ac:dyDescent="0.3">
      <c r="A608" s="463"/>
      <c r="B608" s="463"/>
      <c r="C608" s="463"/>
      <c r="D608" s="463"/>
      <c r="E608" s="463"/>
      <c r="F608" s="463"/>
      <c r="G608" s="463"/>
      <c r="H608" s="463"/>
      <c r="I608" s="463"/>
      <c r="J608" s="463"/>
      <c r="K608" s="463"/>
      <c r="L608" s="463"/>
      <c r="M608" s="463"/>
      <c r="N608" s="463"/>
      <c r="O608" s="463"/>
      <c r="P608" s="463"/>
      <c r="Q608" s="463"/>
      <c r="R608" s="463"/>
      <c r="S608" s="463"/>
      <c r="T608" s="463"/>
      <c r="U608" s="463"/>
      <c r="V608" s="463"/>
      <c r="W608" s="463"/>
      <c r="X608" s="463"/>
      <c r="Y608" s="463"/>
      <c r="Z608" s="463"/>
    </row>
    <row r="609" spans="1:26" ht="15.75" customHeight="1" x14ac:dyDescent="0.3">
      <c r="A609" s="463"/>
      <c r="B609" s="463"/>
      <c r="C609" s="463"/>
      <c r="D609" s="463"/>
      <c r="E609" s="463"/>
      <c r="F609" s="463"/>
      <c r="G609" s="463"/>
      <c r="H609" s="463"/>
      <c r="I609" s="463"/>
      <c r="J609" s="463"/>
      <c r="K609" s="463"/>
      <c r="L609" s="463"/>
      <c r="M609" s="463"/>
      <c r="N609" s="463"/>
      <c r="O609" s="463"/>
      <c r="P609" s="463"/>
      <c r="Q609" s="463"/>
      <c r="R609" s="463"/>
      <c r="S609" s="463"/>
      <c r="T609" s="463"/>
      <c r="U609" s="463"/>
      <c r="V609" s="463"/>
      <c r="W609" s="463"/>
      <c r="X609" s="463"/>
      <c r="Y609" s="463"/>
      <c r="Z609" s="463"/>
    </row>
    <row r="610" spans="1:26" ht="15.75" customHeight="1" x14ac:dyDescent="0.3">
      <c r="A610" s="463"/>
      <c r="B610" s="463"/>
      <c r="C610" s="463"/>
      <c r="D610" s="463"/>
      <c r="E610" s="463"/>
      <c r="F610" s="463"/>
      <c r="G610" s="463"/>
      <c r="H610" s="463"/>
      <c r="I610" s="463"/>
      <c r="J610" s="463"/>
      <c r="K610" s="463"/>
      <c r="L610" s="463"/>
      <c r="M610" s="463"/>
      <c r="N610" s="463"/>
      <c r="O610" s="463"/>
      <c r="P610" s="463"/>
      <c r="Q610" s="463"/>
      <c r="R610" s="463"/>
      <c r="S610" s="463"/>
      <c r="T610" s="463"/>
      <c r="U610" s="463"/>
      <c r="V610" s="463"/>
      <c r="W610" s="463"/>
      <c r="X610" s="463"/>
      <c r="Y610" s="463"/>
      <c r="Z610" s="463"/>
    </row>
    <row r="611" spans="1:26" ht="15.75" customHeight="1" x14ac:dyDescent="0.3">
      <c r="A611" s="463"/>
      <c r="B611" s="463"/>
      <c r="C611" s="463"/>
      <c r="D611" s="463"/>
      <c r="E611" s="463"/>
      <c r="F611" s="463"/>
      <c r="G611" s="463"/>
      <c r="H611" s="463"/>
      <c r="I611" s="463"/>
      <c r="J611" s="463"/>
      <c r="K611" s="463"/>
      <c r="L611" s="463"/>
      <c r="M611" s="463"/>
      <c r="N611" s="463"/>
      <c r="O611" s="463"/>
      <c r="P611" s="463"/>
      <c r="Q611" s="463"/>
      <c r="R611" s="463"/>
      <c r="S611" s="463"/>
      <c r="T611" s="463"/>
      <c r="U611" s="463"/>
      <c r="V611" s="463"/>
      <c r="W611" s="463"/>
      <c r="X611" s="463"/>
      <c r="Y611" s="463"/>
      <c r="Z611" s="463"/>
    </row>
    <row r="612" spans="1:26" ht="15.75" customHeight="1" x14ac:dyDescent="0.3">
      <c r="A612" s="463"/>
      <c r="B612" s="463"/>
      <c r="C612" s="463"/>
      <c r="D612" s="463"/>
      <c r="E612" s="463"/>
      <c r="F612" s="463"/>
      <c r="G612" s="463"/>
      <c r="H612" s="463"/>
      <c r="I612" s="463"/>
      <c r="J612" s="463"/>
      <c r="K612" s="463"/>
      <c r="L612" s="463"/>
      <c r="M612" s="463"/>
      <c r="N612" s="463"/>
      <c r="O612" s="463"/>
      <c r="P612" s="463"/>
      <c r="Q612" s="463"/>
      <c r="R612" s="463"/>
      <c r="S612" s="463"/>
      <c r="T612" s="463"/>
      <c r="U612" s="463"/>
      <c r="V612" s="463"/>
      <c r="W612" s="463"/>
      <c r="X612" s="463"/>
      <c r="Y612" s="463"/>
      <c r="Z612" s="463"/>
    </row>
    <row r="613" spans="1:26" ht="15.75" customHeight="1" x14ac:dyDescent="0.3">
      <c r="A613" s="463"/>
      <c r="B613" s="463"/>
      <c r="C613" s="463"/>
      <c r="D613" s="463"/>
      <c r="E613" s="463"/>
      <c r="F613" s="463"/>
      <c r="G613" s="463"/>
      <c r="H613" s="463"/>
      <c r="I613" s="463"/>
      <c r="J613" s="463"/>
      <c r="K613" s="463"/>
      <c r="L613" s="463"/>
      <c r="M613" s="463"/>
      <c r="N613" s="463"/>
      <c r="O613" s="463"/>
      <c r="P613" s="463"/>
      <c r="Q613" s="463"/>
      <c r="R613" s="463"/>
      <c r="S613" s="463"/>
      <c r="T613" s="463"/>
      <c r="U613" s="463"/>
      <c r="V613" s="463"/>
      <c r="W613" s="463"/>
      <c r="X613" s="463"/>
      <c r="Y613" s="463"/>
      <c r="Z613" s="463"/>
    </row>
    <row r="614" spans="1:26" ht="15.75" customHeight="1" x14ac:dyDescent="0.3">
      <c r="A614" s="463"/>
      <c r="B614" s="463"/>
      <c r="C614" s="463"/>
      <c r="D614" s="463"/>
      <c r="E614" s="463"/>
      <c r="F614" s="463"/>
      <c r="G614" s="463"/>
      <c r="H614" s="463"/>
      <c r="I614" s="463"/>
      <c r="J614" s="463"/>
      <c r="K614" s="463"/>
      <c r="L614" s="463"/>
      <c r="M614" s="463"/>
      <c r="N614" s="463"/>
      <c r="O614" s="463"/>
      <c r="P614" s="463"/>
      <c r="Q614" s="463"/>
      <c r="R614" s="463"/>
      <c r="S614" s="463"/>
      <c r="T614" s="463"/>
      <c r="U614" s="463"/>
      <c r="V614" s="463"/>
      <c r="W614" s="463"/>
      <c r="X614" s="463"/>
      <c r="Y614" s="463"/>
      <c r="Z614" s="463"/>
    </row>
    <row r="615" spans="1:26" ht="15.75" customHeight="1" x14ac:dyDescent="0.3">
      <c r="A615" s="463"/>
      <c r="B615" s="463"/>
      <c r="C615" s="463"/>
      <c r="D615" s="463"/>
      <c r="E615" s="463"/>
      <c r="F615" s="463"/>
      <c r="G615" s="463"/>
      <c r="H615" s="463"/>
      <c r="I615" s="463"/>
      <c r="J615" s="463"/>
      <c r="K615" s="463"/>
      <c r="L615" s="463"/>
      <c r="M615" s="463"/>
      <c r="N615" s="463"/>
      <c r="O615" s="463"/>
      <c r="P615" s="463"/>
      <c r="Q615" s="463"/>
      <c r="R615" s="463"/>
      <c r="S615" s="463"/>
      <c r="T615" s="463"/>
      <c r="U615" s="463"/>
      <c r="V615" s="463"/>
      <c r="W615" s="463"/>
      <c r="X615" s="463"/>
      <c r="Y615" s="463"/>
      <c r="Z615" s="463"/>
    </row>
    <row r="616" spans="1:26" ht="15.75" customHeight="1" x14ac:dyDescent="0.3">
      <c r="A616" s="463"/>
      <c r="B616" s="463"/>
      <c r="C616" s="463"/>
      <c r="D616" s="463"/>
      <c r="E616" s="463"/>
      <c r="F616" s="463"/>
      <c r="G616" s="463"/>
      <c r="H616" s="463"/>
      <c r="I616" s="463"/>
      <c r="J616" s="463"/>
      <c r="K616" s="463"/>
      <c r="L616" s="463"/>
      <c r="M616" s="463"/>
      <c r="N616" s="463"/>
      <c r="O616" s="463"/>
      <c r="P616" s="463"/>
      <c r="Q616" s="463"/>
      <c r="R616" s="463"/>
      <c r="S616" s="463"/>
      <c r="T616" s="463"/>
      <c r="U616" s="463"/>
      <c r="V616" s="463"/>
      <c r="W616" s="463"/>
      <c r="X616" s="463"/>
      <c r="Y616" s="463"/>
      <c r="Z616" s="463"/>
    </row>
    <row r="617" spans="1:26" ht="15.75" customHeight="1" x14ac:dyDescent="0.3">
      <c r="A617" s="463"/>
      <c r="B617" s="463"/>
      <c r="C617" s="463"/>
      <c r="D617" s="463"/>
      <c r="E617" s="463"/>
      <c r="F617" s="463"/>
      <c r="G617" s="463"/>
      <c r="H617" s="463"/>
      <c r="I617" s="463"/>
      <c r="J617" s="463"/>
      <c r="K617" s="463"/>
      <c r="L617" s="463"/>
      <c r="M617" s="463"/>
      <c r="N617" s="463"/>
      <c r="O617" s="463"/>
      <c r="P617" s="463"/>
      <c r="Q617" s="463"/>
      <c r="R617" s="463"/>
      <c r="S617" s="463"/>
      <c r="T617" s="463"/>
      <c r="U617" s="463"/>
      <c r="V617" s="463"/>
      <c r="W617" s="463"/>
      <c r="X617" s="463"/>
      <c r="Y617" s="463"/>
      <c r="Z617" s="463"/>
    </row>
    <row r="618" spans="1:26" ht="15.75" customHeight="1" x14ac:dyDescent="0.3">
      <c r="A618" s="463"/>
      <c r="B618" s="463"/>
      <c r="C618" s="463"/>
      <c r="D618" s="463"/>
      <c r="E618" s="463"/>
      <c r="F618" s="463"/>
      <c r="G618" s="463"/>
      <c r="H618" s="463"/>
      <c r="I618" s="463"/>
      <c r="J618" s="463"/>
      <c r="K618" s="463"/>
      <c r="L618" s="463"/>
      <c r="M618" s="463"/>
      <c r="N618" s="463"/>
      <c r="O618" s="463"/>
      <c r="P618" s="463"/>
      <c r="Q618" s="463"/>
      <c r="R618" s="463"/>
      <c r="S618" s="463"/>
      <c r="T618" s="463"/>
      <c r="U618" s="463"/>
      <c r="V618" s="463"/>
      <c r="W618" s="463"/>
      <c r="X618" s="463"/>
      <c r="Y618" s="463"/>
      <c r="Z618" s="463"/>
    </row>
    <row r="619" spans="1:26" ht="15.75" customHeight="1" x14ac:dyDescent="0.3">
      <c r="A619" s="463"/>
      <c r="B619" s="463"/>
      <c r="C619" s="463"/>
      <c r="D619" s="463"/>
      <c r="E619" s="463"/>
      <c r="F619" s="463"/>
      <c r="G619" s="463"/>
      <c r="H619" s="463"/>
      <c r="I619" s="463"/>
      <c r="J619" s="463"/>
      <c r="K619" s="463"/>
      <c r="L619" s="463"/>
      <c r="M619" s="463"/>
      <c r="N619" s="463"/>
      <c r="O619" s="463"/>
      <c r="P619" s="463"/>
      <c r="Q619" s="463"/>
      <c r="R619" s="463"/>
      <c r="S619" s="463"/>
      <c r="T619" s="463"/>
      <c r="U619" s="463"/>
      <c r="V619" s="463"/>
      <c r="W619" s="463"/>
      <c r="X619" s="463"/>
      <c r="Y619" s="463"/>
      <c r="Z619" s="463"/>
    </row>
    <row r="620" spans="1:26" ht="15.75" customHeight="1" x14ac:dyDescent="0.3">
      <c r="A620" s="463"/>
      <c r="B620" s="463"/>
      <c r="C620" s="463"/>
      <c r="D620" s="463"/>
      <c r="E620" s="463"/>
      <c r="F620" s="463"/>
      <c r="G620" s="463"/>
      <c r="H620" s="463"/>
      <c r="I620" s="463"/>
      <c r="J620" s="463"/>
      <c r="K620" s="463"/>
      <c r="L620" s="463"/>
      <c r="M620" s="463"/>
      <c r="N620" s="463"/>
      <c r="O620" s="463"/>
      <c r="P620" s="463"/>
      <c r="Q620" s="463"/>
      <c r="R620" s="463"/>
      <c r="S620" s="463"/>
      <c r="T620" s="463"/>
      <c r="U620" s="463"/>
      <c r="V620" s="463"/>
      <c r="W620" s="463"/>
      <c r="X620" s="463"/>
      <c r="Y620" s="463"/>
      <c r="Z620" s="463"/>
    </row>
    <row r="621" spans="1:26" ht="15.75" customHeight="1" x14ac:dyDescent="0.3">
      <c r="A621" s="463"/>
      <c r="B621" s="463"/>
      <c r="C621" s="463"/>
      <c r="D621" s="463"/>
      <c r="E621" s="463"/>
      <c r="F621" s="463"/>
      <c r="G621" s="463"/>
      <c r="H621" s="463"/>
      <c r="I621" s="463"/>
      <c r="J621" s="463"/>
      <c r="K621" s="463"/>
      <c r="L621" s="463"/>
      <c r="M621" s="463"/>
      <c r="N621" s="463"/>
      <c r="O621" s="463"/>
      <c r="P621" s="463"/>
      <c r="Q621" s="463"/>
      <c r="R621" s="463"/>
      <c r="S621" s="463"/>
      <c r="T621" s="463"/>
      <c r="U621" s="463"/>
      <c r="V621" s="463"/>
      <c r="W621" s="463"/>
      <c r="X621" s="463"/>
      <c r="Y621" s="463"/>
      <c r="Z621" s="463"/>
    </row>
    <row r="622" spans="1:26" ht="15.75" customHeight="1" x14ac:dyDescent="0.3">
      <c r="A622" s="463"/>
      <c r="B622" s="463"/>
      <c r="C622" s="463"/>
      <c r="D622" s="463"/>
      <c r="E622" s="463"/>
      <c r="F622" s="463"/>
      <c r="G622" s="463"/>
      <c r="H622" s="463"/>
      <c r="I622" s="463"/>
      <c r="J622" s="463"/>
      <c r="K622" s="463"/>
      <c r="L622" s="463"/>
      <c r="M622" s="463"/>
      <c r="N622" s="463"/>
      <c r="O622" s="463"/>
      <c r="P622" s="463"/>
      <c r="Q622" s="463"/>
      <c r="R622" s="463"/>
      <c r="S622" s="463"/>
      <c r="T622" s="463"/>
      <c r="U622" s="463"/>
      <c r="V622" s="463"/>
      <c r="W622" s="463"/>
      <c r="X622" s="463"/>
      <c r="Y622" s="463"/>
      <c r="Z622" s="463"/>
    </row>
    <row r="623" spans="1:26" ht="15.75" customHeight="1" x14ac:dyDescent="0.3">
      <c r="A623" s="463"/>
      <c r="B623" s="463"/>
      <c r="C623" s="463"/>
      <c r="D623" s="463"/>
      <c r="E623" s="463"/>
      <c r="F623" s="463"/>
      <c r="G623" s="463"/>
      <c r="H623" s="463"/>
      <c r="I623" s="463"/>
      <c r="J623" s="463"/>
      <c r="K623" s="463"/>
      <c r="L623" s="463"/>
      <c r="M623" s="463"/>
      <c r="N623" s="463"/>
      <c r="O623" s="463"/>
      <c r="P623" s="463"/>
      <c r="Q623" s="463"/>
      <c r="R623" s="463"/>
      <c r="S623" s="463"/>
      <c r="T623" s="463"/>
      <c r="U623" s="463"/>
      <c r="V623" s="463"/>
      <c r="W623" s="463"/>
      <c r="X623" s="463"/>
      <c r="Y623" s="463"/>
      <c r="Z623" s="463"/>
    </row>
    <row r="624" spans="1:26" ht="15.75" customHeight="1" x14ac:dyDescent="0.3">
      <c r="A624" s="463"/>
      <c r="B624" s="463"/>
      <c r="C624" s="463"/>
      <c r="D624" s="463"/>
      <c r="E624" s="463"/>
      <c r="F624" s="463"/>
      <c r="G624" s="463"/>
      <c r="H624" s="463"/>
      <c r="I624" s="463"/>
      <c r="J624" s="463"/>
      <c r="K624" s="463"/>
      <c r="L624" s="463"/>
      <c r="M624" s="463"/>
      <c r="N624" s="463"/>
      <c r="O624" s="463"/>
      <c r="P624" s="463"/>
      <c r="Q624" s="463"/>
      <c r="R624" s="463"/>
      <c r="S624" s="463"/>
      <c r="T624" s="463"/>
      <c r="U624" s="463"/>
      <c r="V624" s="463"/>
      <c r="W624" s="463"/>
      <c r="X624" s="463"/>
      <c r="Y624" s="463"/>
      <c r="Z624" s="463"/>
    </row>
    <row r="625" spans="1:26" ht="15.75" customHeight="1" x14ac:dyDescent="0.3">
      <c r="A625" s="463"/>
      <c r="B625" s="463"/>
      <c r="C625" s="463"/>
      <c r="D625" s="463"/>
      <c r="E625" s="463"/>
      <c r="F625" s="463"/>
      <c r="G625" s="463"/>
      <c r="H625" s="463"/>
      <c r="I625" s="463"/>
      <c r="J625" s="463"/>
      <c r="K625" s="463"/>
      <c r="L625" s="463"/>
      <c r="M625" s="463"/>
      <c r="N625" s="463"/>
      <c r="O625" s="463"/>
      <c r="P625" s="463"/>
      <c r="Q625" s="463"/>
      <c r="R625" s="463"/>
      <c r="S625" s="463"/>
      <c r="T625" s="463"/>
      <c r="U625" s="463"/>
      <c r="V625" s="463"/>
      <c r="W625" s="463"/>
      <c r="X625" s="463"/>
      <c r="Y625" s="463"/>
      <c r="Z625" s="463"/>
    </row>
    <row r="626" spans="1:26" ht="15.75" customHeight="1" x14ac:dyDescent="0.3">
      <c r="A626" s="463"/>
      <c r="B626" s="463"/>
      <c r="C626" s="463"/>
      <c r="D626" s="463"/>
      <c r="E626" s="463"/>
      <c r="F626" s="463"/>
      <c r="G626" s="463"/>
      <c r="H626" s="463"/>
      <c r="I626" s="463"/>
      <c r="J626" s="463"/>
      <c r="K626" s="463"/>
      <c r="L626" s="463"/>
      <c r="M626" s="463"/>
      <c r="N626" s="463"/>
      <c r="O626" s="463"/>
      <c r="P626" s="463"/>
      <c r="Q626" s="463"/>
      <c r="R626" s="463"/>
      <c r="S626" s="463"/>
      <c r="T626" s="463"/>
      <c r="U626" s="463"/>
      <c r="V626" s="463"/>
      <c r="W626" s="463"/>
      <c r="X626" s="463"/>
      <c r="Y626" s="463"/>
      <c r="Z626" s="463"/>
    </row>
    <row r="627" spans="1:26" ht="15.75" customHeight="1" x14ac:dyDescent="0.3">
      <c r="A627" s="463"/>
      <c r="B627" s="463"/>
      <c r="C627" s="463"/>
      <c r="D627" s="463"/>
      <c r="E627" s="463"/>
      <c r="F627" s="463"/>
      <c r="G627" s="463"/>
      <c r="H627" s="463"/>
      <c r="I627" s="463"/>
      <c r="J627" s="463"/>
      <c r="K627" s="463"/>
      <c r="L627" s="463"/>
      <c r="M627" s="463"/>
      <c r="N627" s="463"/>
      <c r="O627" s="463"/>
      <c r="P627" s="463"/>
      <c r="Q627" s="463"/>
      <c r="R627" s="463"/>
      <c r="S627" s="463"/>
      <c r="T627" s="463"/>
      <c r="U627" s="463"/>
      <c r="V627" s="463"/>
      <c r="W627" s="463"/>
      <c r="X627" s="463"/>
      <c r="Y627" s="463"/>
      <c r="Z627" s="463"/>
    </row>
    <row r="628" spans="1:26" ht="15.75" customHeight="1" x14ac:dyDescent="0.3">
      <c r="A628" s="463"/>
      <c r="B628" s="463"/>
      <c r="C628" s="463"/>
      <c r="D628" s="463"/>
      <c r="E628" s="463"/>
      <c r="F628" s="463"/>
      <c r="G628" s="463"/>
      <c r="H628" s="463"/>
      <c r="I628" s="463"/>
      <c r="J628" s="463"/>
      <c r="K628" s="463"/>
      <c r="L628" s="463"/>
      <c r="M628" s="463"/>
      <c r="N628" s="463"/>
      <c r="O628" s="463"/>
      <c r="P628" s="463"/>
      <c r="Q628" s="463"/>
      <c r="R628" s="463"/>
      <c r="S628" s="463"/>
      <c r="T628" s="463"/>
      <c r="U628" s="463"/>
      <c r="V628" s="463"/>
      <c r="W628" s="463"/>
      <c r="X628" s="463"/>
      <c r="Y628" s="463"/>
      <c r="Z628" s="463"/>
    </row>
    <row r="629" spans="1:26" ht="15.75" customHeight="1" x14ac:dyDescent="0.3">
      <c r="A629" s="463"/>
      <c r="B629" s="463"/>
      <c r="C629" s="463"/>
      <c r="D629" s="463"/>
      <c r="E629" s="463"/>
      <c r="F629" s="463"/>
      <c r="G629" s="463"/>
      <c r="H629" s="463"/>
      <c r="I629" s="463"/>
      <c r="J629" s="463"/>
      <c r="K629" s="463"/>
      <c r="L629" s="463"/>
      <c r="M629" s="463"/>
      <c r="N629" s="463"/>
      <c r="O629" s="463"/>
      <c r="P629" s="463"/>
      <c r="Q629" s="463"/>
      <c r="R629" s="463"/>
      <c r="S629" s="463"/>
      <c r="T629" s="463"/>
      <c r="U629" s="463"/>
      <c r="V629" s="463"/>
      <c r="W629" s="463"/>
      <c r="X629" s="463"/>
      <c r="Y629" s="463"/>
      <c r="Z629" s="463"/>
    </row>
    <row r="630" spans="1:26" ht="15.75" customHeight="1" x14ac:dyDescent="0.3">
      <c r="A630" s="463"/>
      <c r="B630" s="463"/>
      <c r="C630" s="463"/>
      <c r="D630" s="463"/>
      <c r="E630" s="463"/>
      <c r="F630" s="463"/>
      <c r="G630" s="463"/>
      <c r="H630" s="463"/>
      <c r="I630" s="463"/>
      <c r="J630" s="463"/>
      <c r="K630" s="463"/>
      <c r="L630" s="463"/>
      <c r="M630" s="463"/>
      <c r="N630" s="463"/>
      <c r="O630" s="463"/>
      <c r="P630" s="463"/>
      <c r="Q630" s="463"/>
      <c r="R630" s="463"/>
      <c r="S630" s="463"/>
      <c r="T630" s="463"/>
      <c r="U630" s="463"/>
      <c r="V630" s="463"/>
      <c r="W630" s="463"/>
      <c r="X630" s="463"/>
      <c r="Y630" s="463"/>
      <c r="Z630" s="463"/>
    </row>
    <row r="631" spans="1:26" ht="15.75" customHeight="1" x14ac:dyDescent="0.3">
      <c r="A631" s="463"/>
      <c r="B631" s="463"/>
      <c r="C631" s="463"/>
      <c r="D631" s="463"/>
      <c r="E631" s="463"/>
      <c r="F631" s="463"/>
      <c r="G631" s="463"/>
      <c r="H631" s="463"/>
      <c r="I631" s="463"/>
      <c r="J631" s="463"/>
      <c r="K631" s="463"/>
      <c r="L631" s="463"/>
      <c r="M631" s="463"/>
      <c r="N631" s="463"/>
      <c r="O631" s="463"/>
      <c r="P631" s="463"/>
      <c r="Q631" s="463"/>
      <c r="R631" s="463"/>
      <c r="S631" s="463"/>
      <c r="T631" s="463"/>
      <c r="U631" s="463"/>
      <c r="V631" s="463"/>
      <c r="W631" s="463"/>
      <c r="X631" s="463"/>
      <c r="Y631" s="463"/>
      <c r="Z631" s="463"/>
    </row>
    <row r="632" spans="1:26" ht="15.75" customHeight="1" x14ac:dyDescent="0.3">
      <c r="A632" s="463"/>
      <c r="B632" s="463"/>
      <c r="C632" s="463"/>
      <c r="D632" s="463"/>
      <c r="E632" s="463"/>
      <c r="F632" s="463"/>
      <c r="G632" s="463"/>
      <c r="H632" s="463"/>
      <c r="I632" s="463"/>
      <c r="J632" s="463"/>
      <c r="K632" s="463"/>
      <c r="L632" s="463"/>
      <c r="M632" s="463"/>
      <c r="N632" s="463"/>
      <c r="O632" s="463"/>
      <c r="P632" s="463"/>
      <c r="Q632" s="463"/>
      <c r="R632" s="463"/>
      <c r="S632" s="463"/>
      <c r="T632" s="463"/>
      <c r="U632" s="463"/>
      <c r="V632" s="463"/>
      <c r="W632" s="463"/>
      <c r="X632" s="463"/>
      <c r="Y632" s="463"/>
      <c r="Z632" s="463"/>
    </row>
    <row r="633" spans="1:26" ht="15.75" customHeight="1" x14ac:dyDescent="0.3">
      <c r="A633" s="463"/>
      <c r="B633" s="463"/>
      <c r="C633" s="463"/>
      <c r="D633" s="463"/>
      <c r="E633" s="463"/>
      <c r="F633" s="463"/>
      <c r="G633" s="463"/>
      <c r="H633" s="463"/>
      <c r="I633" s="463"/>
      <c r="J633" s="463"/>
      <c r="K633" s="463"/>
      <c r="L633" s="463"/>
      <c r="M633" s="463"/>
      <c r="N633" s="463"/>
      <c r="O633" s="463"/>
      <c r="P633" s="463"/>
      <c r="Q633" s="463"/>
      <c r="R633" s="463"/>
      <c r="S633" s="463"/>
      <c r="T633" s="463"/>
      <c r="U633" s="463"/>
      <c r="V633" s="463"/>
      <c r="W633" s="463"/>
      <c r="X633" s="463"/>
      <c r="Y633" s="463"/>
      <c r="Z633" s="463"/>
    </row>
    <row r="634" spans="1:26" ht="15.75" customHeight="1" x14ac:dyDescent="0.3">
      <c r="A634" s="463"/>
      <c r="B634" s="463"/>
      <c r="C634" s="463"/>
      <c r="D634" s="463"/>
      <c r="E634" s="463"/>
      <c r="F634" s="463"/>
      <c r="G634" s="463"/>
      <c r="H634" s="463"/>
      <c r="I634" s="463"/>
      <c r="J634" s="463"/>
      <c r="K634" s="463"/>
      <c r="L634" s="463"/>
      <c r="M634" s="463"/>
      <c r="N634" s="463"/>
      <c r="O634" s="463"/>
      <c r="P634" s="463"/>
      <c r="Q634" s="463"/>
      <c r="R634" s="463"/>
      <c r="S634" s="463"/>
      <c r="T634" s="463"/>
      <c r="U634" s="463"/>
      <c r="V634" s="463"/>
      <c r="W634" s="463"/>
      <c r="X634" s="463"/>
      <c r="Y634" s="463"/>
      <c r="Z634" s="463"/>
    </row>
    <row r="635" spans="1:26" ht="15.75" customHeight="1" x14ac:dyDescent="0.3">
      <c r="A635" s="463"/>
      <c r="B635" s="463"/>
      <c r="C635" s="463"/>
      <c r="D635" s="463"/>
      <c r="E635" s="463"/>
      <c r="F635" s="463"/>
      <c r="G635" s="463"/>
      <c r="H635" s="463"/>
      <c r="I635" s="463"/>
      <c r="J635" s="463"/>
      <c r="K635" s="463"/>
      <c r="L635" s="463"/>
      <c r="M635" s="463"/>
      <c r="N635" s="463"/>
      <c r="O635" s="463"/>
      <c r="P635" s="463"/>
      <c r="Q635" s="463"/>
      <c r="R635" s="463"/>
      <c r="S635" s="463"/>
      <c r="T635" s="463"/>
      <c r="U635" s="463"/>
      <c r="V635" s="463"/>
      <c r="W635" s="463"/>
      <c r="X635" s="463"/>
      <c r="Y635" s="463"/>
      <c r="Z635" s="463"/>
    </row>
    <row r="636" spans="1:26" ht="15.75" customHeight="1" x14ac:dyDescent="0.3">
      <c r="A636" s="463"/>
      <c r="B636" s="463"/>
      <c r="C636" s="463"/>
      <c r="D636" s="463"/>
      <c r="E636" s="463"/>
      <c r="F636" s="463"/>
      <c r="G636" s="463"/>
      <c r="H636" s="463"/>
      <c r="I636" s="463"/>
      <c r="J636" s="463"/>
      <c r="K636" s="463"/>
      <c r="L636" s="463"/>
      <c r="M636" s="463"/>
      <c r="N636" s="463"/>
      <c r="O636" s="463"/>
      <c r="P636" s="463"/>
      <c r="Q636" s="463"/>
      <c r="R636" s="463"/>
      <c r="S636" s="463"/>
      <c r="T636" s="463"/>
      <c r="U636" s="463"/>
      <c r="V636" s="463"/>
      <c r="W636" s="463"/>
      <c r="X636" s="463"/>
      <c r="Y636" s="463"/>
      <c r="Z636" s="463"/>
    </row>
    <row r="637" spans="1:26" ht="15.75" customHeight="1" x14ac:dyDescent="0.3">
      <c r="A637" s="463"/>
      <c r="B637" s="463"/>
      <c r="C637" s="463"/>
      <c r="D637" s="463"/>
      <c r="E637" s="463"/>
      <c r="F637" s="463"/>
      <c r="G637" s="463"/>
      <c r="H637" s="463"/>
      <c r="I637" s="463"/>
      <c r="J637" s="463"/>
      <c r="K637" s="463"/>
      <c r="L637" s="463"/>
      <c r="M637" s="463"/>
      <c r="N637" s="463"/>
      <c r="O637" s="463"/>
      <c r="P637" s="463"/>
      <c r="Q637" s="463"/>
      <c r="R637" s="463"/>
      <c r="S637" s="463"/>
      <c r="T637" s="463"/>
      <c r="U637" s="463"/>
      <c r="V637" s="463"/>
      <c r="W637" s="463"/>
      <c r="X637" s="463"/>
      <c r="Y637" s="463"/>
      <c r="Z637" s="463"/>
    </row>
    <row r="638" spans="1:26" ht="15.75" customHeight="1" x14ac:dyDescent="0.3">
      <c r="A638" s="463"/>
      <c r="B638" s="463"/>
      <c r="C638" s="463"/>
      <c r="D638" s="463"/>
      <c r="E638" s="463"/>
      <c r="F638" s="463"/>
      <c r="G638" s="463"/>
      <c r="H638" s="463"/>
      <c r="I638" s="463"/>
      <c r="J638" s="463"/>
      <c r="K638" s="463"/>
      <c r="L638" s="463"/>
      <c r="M638" s="463"/>
      <c r="N638" s="463"/>
      <c r="O638" s="463"/>
      <c r="P638" s="463"/>
      <c r="Q638" s="463"/>
      <c r="R638" s="463"/>
      <c r="S638" s="463"/>
      <c r="T638" s="463"/>
      <c r="U638" s="463"/>
      <c r="V638" s="463"/>
      <c r="W638" s="463"/>
      <c r="X638" s="463"/>
      <c r="Y638" s="463"/>
      <c r="Z638" s="463"/>
    </row>
    <row r="639" spans="1:26" ht="15.75" customHeight="1" x14ac:dyDescent="0.3">
      <c r="A639" s="463"/>
      <c r="B639" s="463"/>
      <c r="C639" s="463"/>
      <c r="D639" s="463"/>
      <c r="E639" s="463"/>
      <c r="F639" s="463"/>
      <c r="G639" s="463"/>
      <c r="H639" s="463"/>
      <c r="I639" s="463"/>
      <c r="J639" s="463"/>
      <c r="K639" s="463"/>
      <c r="L639" s="463"/>
      <c r="M639" s="463"/>
      <c r="N639" s="463"/>
      <c r="O639" s="463"/>
      <c r="P639" s="463"/>
      <c r="Q639" s="463"/>
      <c r="R639" s="463"/>
      <c r="S639" s="463"/>
      <c r="T639" s="463"/>
      <c r="U639" s="463"/>
      <c r="V639" s="463"/>
      <c r="W639" s="463"/>
      <c r="X639" s="463"/>
      <c r="Y639" s="463"/>
      <c r="Z639" s="463"/>
    </row>
    <row r="640" spans="1:26" ht="15.75" customHeight="1" x14ac:dyDescent="0.3">
      <c r="A640" s="463"/>
      <c r="B640" s="463"/>
      <c r="C640" s="463"/>
      <c r="D640" s="463"/>
      <c r="E640" s="463"/>
      <c r="F640" s="463"/>
      <c r="G640" s="463"/>
      <c r="H640" s="463"/>
      <c r="I640" s="463"/>
      <c r="J640" s="463"/>
      <c r="K640" s="463"/>
      <c r="L640" s="463"/>
      <c r="M640" s="463"/>
      <c r="N640" s="463"/>
      <c r="O640" s="463"/>
      <c r="P640" s="463"/>
      <c r="Q640" s="463"/>
      <c r="R640" s="463"/>
      <c r="S640" s="463"/>
      <c r="T640" s="463"/>
      <c r="U640" s="463"/>
      <c r="V640" s="463"/>
      <c r="W640" s="463"/>
      <c r="X640" s="463"/>
      <c r="Y640" s="463"/>
      <c r="Z640" s="463"/>
    </row>
    <row r="641" spans="1:26" ht="15.75" customHeight="1" x14ac:dyDescent="0.3">
      <c r="A641" s="463"/>
      <c r="B641" s="463"/>
      <c r="C641" s="463"/>
      <c r="D641" s="463"/>
      <c r="E641" s="463"/>
      <c r="F641" s="463"/>
      <c r="G641" s="463"/>
      <c r="H641" s="463"/>
      <c r="I641" s="463"/>
      <c r="J641" s="463"/>
      <c r="K641" s="463"/>
      <c r="L641" s="463"/>
      <c r="M641" s="463"/>
      <c r="N641" s="463"/>
      <c r="O641" s="463"/>
      <c r="P641" s="463"/>
      <c r="Q641" s="463"/>
      <c r="R641" s="463"/>
      <c r="S641" s="463"/>
      <c r="T641" s="463"/>
      <c r="U641" s="463"/>
      <c r="V641" s="463"/>
      <c r="W641" s="463"/>
      <c r="X641" s="463"/>
      <c r="Y641" s="463"/>
      <c r="Z641" s="463"/>
    </row>
    <row r="642" spans="1:26" ht="15.75" customHeight="1" x14ac:dyDescent="0.3">
      <c r="A642" s="463"/>
      <c r="B642" s="463"/>
      <c r="C642" s="463"/>
      <c r="D642" s="463"/>
      <c r="E642" s="463"/>
      <c r="F642" s="463"/>
      <c r="G642" s="463"/>
      <c r="H642" s="463"/>
      <c r="I642" s="463"/>
      <c r="J642" s="463"/>
      <c r="K642" s="463"/>
      <c r="L642" s="463"/>
      <c r="M642" s="463"/>
      <c r="N642" s="463"/>
      <c r="O642" s="463"/>
      <c r="P642" s="463"/>
      <c r="Q642" s="463"/>
      <c r="R642" s="463"/>
      <c r="S642" s="463"/>
      <c r="T642" s="463"/>
      <c r="U642" s="463"/>
      <c r="V642" s="463"/>
      <c r="W642" s="463"/>
      <c r="X642" s="463"/>
      <c r="Y642" s="463"/>
      <c r="Z642" s="463"/>
    </row>
    <row r="643" spans="1:26" ht="15.75" customHeight="1" x14ac:dyDescent="0.3">
      <c r="A643" s="463"/>
      <c r="B643" s="463"/>
      <c r="C643" s="463"/>
      <c r="D643" s="463"/>
      <c r="E643" s="463"/>
      <c r="F643" s="463"/>
      <c r="G643" s="463"/>
      <c r="H643" s="463"/>
      <c r="I643" s="463"/>
      <c r="J643" s="463"/>
      <c r="K643" s="463"/>
      <c r="L643" s="463"/>
      <c r="M643" s="463"/>
      <c r="N643" s="463"/>
      <c r="O643" s="463"/>
      <c r="P643" s="463"/>
      <c r="Q643" s="463"/>
      <c r="R643" s="463"/>
      <c r="S643" s="463"/>
      <c r="T643" s="463"/>
      <c r="U643" s="463"/>
      <c r="V643" s="463"/>
      <c r="W643" s="463"/>
      <c r="X643" s="463"/>
      <c r="Y643" s="463"/>
      <c r="Z643" s="463"/>
    </row>
    <row r="644" spans="1:26" ht="15.75" customHeight="1" x14ac:dyDescent="0.3">
      <c r="A644" s="463"/>
      <c r="B644" s="463"/>
      <c r="C644" s="463"/>
      <c r="D644" s="463"/>
      <c r="E644" s="463"/>
      <c r="F644" s="463"/>
      <c r="G644" s="463"/>
      <c r="H644" s="463"/>
      <c r="I644" s="463"/>
      <c r="J644" s="463"/>
      <c r="K644" s="463"/>
      <c r="L644" s="463"/>
      <c r="M644" s="463"/>
      <c r="N644" s="463"/>
      <c r="O644" s="463"/>
      <c r="P644" s="463"/>
      <c r="Q644" s="463"/>
      <c r="R644" s="463"/>
      <c r="S644" s="463"/>
      <c r="T644" s="463"/>
      <c r="U644" s="463"/>
      <c r="V644" s="463"/>
      <c r="W644" s="463"/>
      <c r="X644" s="463"/>
      <c r="Y644" s="463"/>
      <c r="Z644" s="463"/>
    </row>
    <row r="645" spans="1:26" ht="15.75" customHeight="1" x14ac:dyDescent="0.3">
      <c r="A645" s="463"/>
      <c r="B645" s="463"/>
      <c r="C645" s="463"/>
      <c r="D645" s="463"/>
      <c r="E645" s="463"/>
      <c r="F645" s="463"/>
      <c r="G645" s="463"/>
      <c r="H645" s="463"/>
      <c r="I645" s="463"/>
      <c r="J645" s="463"/>
      <c r="K645" s="463"/>
      <c r="L645" s="463"/>
      <c r="M645" s="463"/>
      <c r="N645" s="463"/>
      <c r="O645" s="463"/>
      <c r="P645" s="463"/>
      <c r="Q645" s="463"/>
      <c r="R645" s="463"/>
      <c r="S645" s="463"/>
      <c r="T645" s="463"/>
      <c r="U645" s="463"/>
      <c r="V645" s="463"/>
      <c r="W645" s="463"/>
      <c r="X645" s="463"/>
      <c r="Y645" s="463"/>
      <c r="Z645" s="463"/>
    </row>
    <row r="646" spans="1:26" ht="15.75" customHeight="1" x14ac:dyDescent="0.3">
      <c r="A646" s="463"/>
      <c r="B646" s="463"/>
      <c r="C646" s="463"/>
      <c r="D646" s="463"/>
      <c r="E646" s="463"/>
      <c r="F646" s="463"/>
      <c r="G646" s="463"/>
      <c r="H646" s="463"/>
      <c r="I646" s="463"/>
      <c r="J646" s="463"/>
      <c r="K646" s="463"/>
      <c r="L646" s="463"/>
      <c r="M646" s="463"/>
      <c r="N646" s="463"/>
      <c r="O646" s="463"/>
      <c r="P646" s="463"/>
      <c r="Q646" s="463"/>
      <c r="R646" s="463"/>
      <c r="S646" s="463"/>
      <c r="T646" s="463"/>
      <c r="U646" s="463"/>
      <c r="V646" s="463"/>
      <c r="W646" s="463"/>
      <c r="X646" s="463"/>
      <c r="Y646" s="463"/>
      <c r="Z646" s="463"/>
    </row>
    <row r="647" spans="1:26" ht="15.75" customHeight="1" x14ac:dyDescent="0.3">
      <c r="A647" s="463"/>
      <c r="B647" s="463"/>
      <c r="C647" s="463"/>
      <c r="D647" s="463"/>
      <c r="E647" s="463"/>
      <c r="F647" s="463"/>
      <c r="G647" s="463"/>
      <c r="H647" s="463"/>
      <c r="I647" s="463"/>
      <c r="J647" s="463"/>
      <c r="K647" s="463"/>
      <c r="L647" s="463"/>
      <c r="M647" s="463"/>
      <c r="N647" s="463"/>
      <c r="O647" s="463"/>
      <c r="P647" s="463"/>
      <c r="Q647" s="463"/>
      <c r="R647" s="463"/>
      <c r="S647" s="463"/>
      <c r="T647" s="463"/>
      <c r="U647" s="463"/>
      <c r="V647" s="463"/>
      <c r="W647" s="463"/>
      <c r="X647" s="463"/>
      <c r="Y647" s="463"/>
      <c r="Z647" s="463"/>
    </row>
    <row r="648" spans="1:26" ht="15.75" customHeight="1" x14ac:dyDescent="0.3">
      <c r="A648" s="463"/>
      <c r="B648" s="463"/>
      <c r="C648" s="463"/>
      <c r="D648" s="463"/>
      <c r="E648" s="463"/>
      <c r="F648" s="463"/>
      <c r="G648" s="463"/>
      <c r="H648" s="463"/>
      <c r="I648" s="463"/>
      <c r="J648" s="463"/>
      <c r="K648" s="463"/>
      <c r="L648" s="463"/>
      <c r="M648" s="463"/>
      <c r="N648" s="463"/>
      <c r="O648" s="463"/>
      <c r="P648" s="463"/>
      <c r="Q648" s="463"/>
      <c r="R648" s="463"/>
      <c r="S648" s="463"/>
      <c r="T648" s="463"/>
      <c r="U648" s="463"/>
      <c r="V648" s="463"/>
      <c r="W648" s="463"/>
      <c r="X648" s="463"/>
      <c r="Y648" s="463"/>
      <c r="Z648" s="463"/>
    </row>
    <row r="649" spans="1:26" ht="15.75" customHeight="1" x14ac:dyDescent="0.3">
      <c r="A649" s="463"/>
      <c r="B649" s="463"/>
      <c r="C649" s="463"/>
      <c r="D649" s="463"/>
      <c r="E649" s="463"/>
      <c r="F649" s="463"/>
      <c r="G649" s="463"/>
      <c r="H649" s="463"/>
      <c r="I649" s="463"/>
      <c r="J649" s="463"/>
      <c r="K649" s="463"/>
      <c r="L649" s="463"/>
      <c r="M649" s="463"/>
      <c r="N649" s="463"/>
      <c r="O649" s="463"/>
      <c r="P649" s="463"/>
      <c r="Q649" s="463"/>
      <c r="R649" s="463"/>
      <c r="S649" s="463"/>
      <c r="T649" s="463"/>
      <c r="U649" s="463"/>
      <c r="V649" s="463"/>
      <c r="W649" s="463"/>
      <c r="X649" s="463"/>
      <c r="Y649" s="463"/>
      <c r="Z649" s="463"/>
    </row>
    <row r="650" spans="1:26" ht="15.75" customHeight="1" x14ac:dyDescent="0.3">
      <c r="A650" s="463"/>
      <c r="B650" s="463"/>
      <c r="C650" s="463"/>
      <c r="D650" s="463"/>
      <c r="E650" s="463"/>
      <c r="F650" s="463"/>
      <c r="G650" s="463"/>
      <c r="H650" s="463"/>
      <c r="I650" s="463"/>
      <c r="J650" s="463"/>
      <c r="K650" s="463"/>
      <c r="L650" s="463"/>
      <c r="M650" s="463"/>
      <c r="N650" s="463"/>
      <c r="O650" s="463"/>
      <c r="P650" s="463"/>
      <c r="Q650" s="463"/>
      <c r="R650" s="463"/>
      <c r="S650" s="463"/>
      <c r="T650" s="463"/>
      <c r="U650" s="463"/>
      <c r="V650" s="463"/>
      <c r="W650" s="463"/>
      <c r="X650" s="463"/>
      <c r="Y650" s="463"/>
      <c r="Z650" s="463"/>
    </row>
    <row r="651" spans="1:26" ht="15.75" customHeight="1" x14ac:dyDescent="0.3">
      <c r="A651" s="463"/>
      <c r="B651" s="463"/>
      <c r="C651" s="463"/>
      <c r="D651" s="463"/>
      <c r="E651" s="463"/>
      <c r="F651" s="463"/>
      <c r="G651" s="463"/>
      <c r="H651" s="463"/>
      <c r="I651" s="463"/>
      <c r="J651" s="463"/>
      <c r="K651" s="463"/>
      <c r="L651" s="463"/>
      <c r="M651" s="463"/>
      <c r="N651" s="463"/>
      <c r="O651" s="463"/>
      <c r="P651" s="463"/>
      <c r="Q651" s="463"/>
      <c r="R651" s="463"/>
      <c r="S651" s="463"/>
      <c r="T651" s="463"/>
      <c r="U651" s="463"/>
      <c r="V651" s="463"/>
      <c r="W651" s="463"/>
      <c r="X651" s="463"/>
      <c r="Y651" s="463"/>
      <c r="Z651" s="463"/>
    </row>
    <row r="652" spans="1:26" ht="15.75" customHeight="1" x14ac:dyDescent="0.3">
      <c r="A652" s="463"/>
      <c r="B652" s="463"/>
      <c r="C652" s="463"/>
      <c r="D652" s="463"/>
      <c r="E652" s="463"/>
      <c r="F652" s="463"/>
      <c r="G652" s="463"/>
      <c r="H652" s="463"/>
      <c r="I652" s="463"/>
      <c r="J652" s="463"/>
      <c r="K652" s="463"/>
      <c r="L652" s="463"/>
      <c r="M652" s="463"/>
      <c r="N652" s="463"/>
      <c r="O652" s="463"/>
      <c r="P652" s="463"/>
      <c r="Q652" s="463"/>
      <c r="R652" s="463"/>
      <c r="S652" s="463"/>
      <c r="T652" s="463"/>
      <c r="U652" s="463"/>
      <c r="V652" s="463"/>
      <c r="W652" s="463"/>
      <c r="X652" s="463"/>
      <c r="Y652" s="463"/>
      <c r="Z652" s="463"/>
    </row>
    <row r="653" spans="1:26" ht="15.75" customHeight="1" x14ac:dyDescent="0.3">
      <c r="A653" s="463"/>
      <c r="B653" s="463"/>
      <c r="C653" s="463"/>
      <c r="D653" s="463"/>
      <c r="E653" s="463"/>
      <c r="F653" s="463"/>
      <c r="G653" s="463"/>
      <c r="H653" s="463"/>
      <c r="I653" s="463"/>
      <c r="J653" s="463"/>
      <c r="K653" s="463"/>
      <c r="L653" s="463"/>
      <c r="M653" s="463"/>
      <c r="N653" s="463"/>
      <c r="O653" s="463"/>
      <c r="P653" s="463"/>
      <c r="Q653" s="463"/>
      <c r="R653" s="463"/>
      <c r="S653" s="463"/>
      <c r="T653" s="463"/>
      <c r="U653" s="463"/>
      <c r="V653" s="463"/>
      <c r="W653" s="463"/>
      <c r="X653" s="463"/>
      <c r="Y653" s="463"/>
      <c r="Z653" s="463"/>
    </row>
    <row r="654" spans="1:26" ht="15.75" customHeight="1" x14ac:dyDescent="0.3">
      <c r="A654" s="463"/>
      <c r="B654" s="463"/>
      <c r="C654" s="463"/>
      <c r="D654" s="463"/>
      <c r="E654" s="463"/>
      <c r="F654" s="463"/>
      <c r="G654" s="463"/>
      <c r="H654" s="463"/>
      <c r="I654" s="463"/>
      <c r="J654" s="463"/>
      <c r="K654" s="463"/>
      <c r="L654" s="463"/>
      <c r="M654" s="463"/>
      <c r="N654" s="463"/>
      <c r="O654" s="463"/>
      <c r="P654" s="463"/>
      <c r="Q654" s="463"/>
      <c r="R654" s="463"/>
      <c r="S654" s="463"/>
      <c r="T654" s="463"/>
      <c r="U654" s="463"/>
      <c r="V654" s="463"/>
      <c r="W654" s="463"/>
      <c r="X654" s="463"/>
      <c r="Y654" s="463"/>
      <c r="Z654" s="463"/>
    </row>
    <row r="655" spans="1:26" ht="15.75" customHeight="1" x14ac:dyDescent="0.3">
      <c r="A655" s="463"/>
      <c r="B655" s="463"/>
      <c r="C655" s="463"/>
      <c r="D655" s="463"/>
      <c r="E655" s="463"/>
      <c r="F655" s="463"/>
      <c r="G655" s="463"/>
      <c r="H655" s="463"/>
      <c r="I655" s="463"/>
      <c r="J655" s="463"/>
      <c r="K655" s="463"/>
      <c r="L655" s="463"/>
      <c r="M655" s="463"/>
      <c r="N655" s="463"/>
      <c r="O655" s="463"/>
      <c r="P655" s="463"/>
      <c r="Q655" s="463"/>
      <c r="R655" s="463"/>
      <c r="S655" s="463"/>
      <c r="T655" s="463"/>
      <c r="U655" s="463"/>
      <c r="V655" s="463"/>
      <c r="W655" s="463"/>
      <c r="X655" s="463"/>
      <c r="Y655" s="463"/>
      <c r="Z655" s="463"/>
    </row>
    <row r="656" spans="1:26" ht="15.75" customHeight="1" x14ac:dyDescent="0.3">
      <c r="A656" s="463"/>
      <c r="B656" s="463"/>
      <c r="C656" s="463"/>
      <c r="D656" s="463"/>
      <c r="E656" s="463"/>
      <c r="F656" s="463"/>
      <c r="G656" s="463"/>
      <c r="H656" s="463"/>
      <c r="I656" s="463"/>
      <c r="J656" s="463"/>
      <c r="K656" s="463"/>
      <c r="L656" s="463"/>
      <c r="M656" s="463"/>
      <c r="N656" s="463"/>
      <c r="O656" s="463"/>
      <c r="P656" s="463"/>
      <c r="Q656" s="463"/>
      <c r="R656" s="463"/>
      <c r="S656" s="463"/>
      <c r="T656" s="463"/>
      <c r="U656" s="463"/>
      <c r="V656" s="463"/>
      <c r="W656" s="463"/>
      <c r="X656" s="463"/>
      <c r="Y656" s="463"/>
      <c r="Z656" s="463"/>
    </row>
    <row r="657" spans="1:26" ht="15.75" customHeight="1" x14ac:dyDescent="0.3">
      <c r="A657" s="463"/>
      <c r="B657" s="463"/>
      <c r="C657" s="463"/>
      <c r="D657" s="463"/>
      <c r="E657" s="463"/>
      <c r="F657" s="463"/>
      <c r="G657" s="463"/>
      <c r="H657" s="463"/>
      <c r="I657" s="463"/>
      <c r="J657" s="463"/>
      <c r="K657" s="463"/>
      <c r="L657" s="463"/>
      <c r="M657" s="463"/>
      <c r="N657" s="463"/>
      <c r="O657" s="463"/>
      <c r="P657" s="463"/>
      <c r="Q657" s="463"/>
      <c r="R657" s="463"/>
      <c r="S657" s="463"/>
      <c r="T657" s="463"/>
      <c r="U657" s="463"/>
      <c r="V657" s="463"/>
      <c r="W657" s="463"/>
      <c r="X657" s="463"/>
      <c r="Y657" s="463"/>
      <c r="Z657" s="463"/>
    </row>
    <row r="658" spans="1:26" ht="15.75" customHeight="1" x14ac:dyDescent="0.3">
      <c r="A658" s="463"/>
      <c r="B658" s="463"/>
      <c r="C658" s="463"/>
      <c r="D658" s="463"/>
      <c r="E658" s="463"/>
      <c r="F658" s="463"/>
      <c r="G658" s="463"/>
      <c r="H658" s="463"/>
      <c r="I658" s="463"/>
      <c r="J658" s="463"/>
      <c r="K658" s="463"/>
      <c r="L658" s="463"/>
      <c r="M658" s="463"/>
      <c r="N658" s="463"/>
      <c r="O658" s="463"/>
      <c r="P658" s="463"/>
      <c r="Q658" s="463"/>
      <c r="R658" s="463"/>
      <c r="S658" s="463"/>
      <c r="T658" s="463"/>
      <c r="U658" s="463"/>
      <c r="V658" s="463"/>
      <c r="W658" s="463"/>
      <c r="X658" s="463"/>
      <c r="Y658" s="463"/>
      <c r="Z658" s="463"/>
    </row>
    <row r="659" spans="1:26" ht="15.75" customHeight="1" x14ac:dyDescent="0.3">
      <c r="A659" s="463"/>
      <c r="B659" s="463"/>
      <c r="C659" s="463"/>
      <c r="D659" s="463"/>
      <c r="E659" s="463"/>
      <c r="F659" s="463"/>
      <c r="G659" s="463"/>
      <c r="H659" s="463"/>
      <c r="I659" s="463"/>
      <c r="J659" s="463"/>
      <c r="K659" s="463"/>
      <c r="L659" s="463"/>
      <c r="M659" s="463"/>
      <c r="N659" s="463"/>
      <c r="O659" s="463"/>
      <c r="P659" s="463"/>
      <c r="Q659" s="463"/>
      <c r="R659" s="463"/>
      <c r="S659" s="463"/>
      <c r="T659" s="463"/>
      <c r="U659" s="463"/>
      <c r="V659" s="463"/>
      <c r="W659" s="463"/>
      <c r="X659" s="463"/>
      <c r="Y659" s="463"/>
      <c r="Z659" s="463"/>
    </row>
    <row r="660" spans="1:26" ht="15.75" customHeight="1" x14ac:dyDescent="0.3">
      <c r="A660" s="463"/>
      <c r="B660" s="463"/>
      <c r="C660" s="463"/>
      <c r="D660" s="463"/>
      <c r="E660" s="463"/>
      <c r="F660" s="463"/>
      <c r="G660" s="463"/>
      <c r="H660" s="463"/>
      <c r="I660" s="463"/>
      <c r="J660" s="463"/>
      <c r="K660" s="463"/>
      <c r="L660" s="463"/>
      <c r="M660" s="463"/>
      <c r="N660" s="463"/>
      <c r="O660" s="463"/>
      <c r="P660" s="463"/>
      <c r="Q660" s="463"/>
      <c r="R660" s="463"/>
      <c r="S660" s="463"/>
      <c r="T660" s="463"/>
      <c r="U660" s="463"/>
      <c r="V660" s="463"/>
      <c r="W660" s="463"/>
      <c r="X660" s="463"/>
      <c r="Y660" s="463"/>
      <c r="Z660" s="463"/>
    </row>
    <row r="661" spans="1:26" ht="15.75" customHeight="1" x14ac:dyDescent="0.3">
      <c r="A661" s="463"/>
      <c r="B661" s="463"/>
      <c r="C661" s="463"/>
      <c r="D661" s="463"/>
      <c r="E661" s="463"/>
      <c r="F661" s="463"/>
      <c r="G661" s="463"/>
      <c r="H661" s="463"/>
      <c r="I661" s="463"/>
      <c r="J661" s="463"/>
      <c r="K661" s="463"/>
      <c r="L661" s="463"/>
      <c r="M661" s="463"/>
      <c r="N661" s="463"/>
      <c r="O661" s="463"/>
      <c r="P661" s="463"/>
      <c r="Q661" s="463"/>
      <c r="R661" s="463"/>
      <c r="S661" s="463"/>
      <c r="T661" s="463"/>
      <c r="U661" s="463"/>
      <c r="V661" s="463"/>
      <c r="W661" s="463"/>
      <c r="X661" s="463"/>
      <c r="Y661" s="463"/>
      <c r="Z661" s="463"/>
    </row>
    <row r="662" spans="1:26" ht="15.75" customHeight="1" x14ac:dyDescent="0.3">
      <c r="A662" s="463"/>
      <c r="B662" s="463"/>
      <c r="C662" s="463"/>
      <c r="D662" s="463"/>
      <c r="E662" s="463"/>
      <c r="F662" s="463"/>
      <c r="G662" s="463"/>
      <c r="H662" s="463"/>
      <c r="I662" s="463"/>
      <c r="J662" s="463"/>
      <c r="K662" s="463"/>
      <c r="L662" s="463"/>
      <c r="M662" s="463"/>
      <c r="N662" s="463"/>
      <c r="O662" s="463"/>
      <c r="P662" s="463"/>
      <c r="Q662" s="463"/>
      <c r="R662" s="463"/>
      <c r="S662" s="463"/>
      <c r="T662" s="463"/>
      <c r="U662" s="463"/>
      <c r="V662" s="463"/>
      <c r="W662" s="463"/>
      <c r="X662" s="463"/>
      <c r="Y662" s="463"/>
      <c r="Z662" s="463"/>
    </row>
    <row r="663" spans="1:26" ht="15.75" customHeight="1" x14ac:dyDescent="0.3">
      <c r="A663" s="463"/>
      <c r="B663" s="463"/>
      <c r="C663" s="463"/>
      <c r="D663" s="463"/>
      <c r="E663" s="463"/>
      <c r="F663" s="463"/>
      <c r="G663" s="463"/>
      <c r="H663" s="463"/>
      <c r="I663" s="463"/>
      <c r="J663" s="463"/>
      <c r="K663" s="463"/>
      <c r="L663" s="463"/>
      <c r="M663" s="463"/>
      <c r="N663" s="463"/>
      <c r="O663" s="463"/>
      <c r="P663" s="463"/>
      <c r="Q663" s="463"/>
      <c r="R663" s="463"/>
      <c r="S663" s="463"/>
      <c r="T663" s="463"/>
      <c r="U663" s="463"/>
      <c r="V663" s="463"/>
      <c r="W663" s="463"/>
      <c r="X663" s="463"/>
      <c r="Y663" s="463"/>
      <c r="Z663" s="463"/>
    </row>
    <row r="664" spans="1:26" ht="15.75" customHeight="1" x14ac:dyDescent="0.3">
      <c r="A664" s="463"/>
      <c r="B664" s="463"/>
      <c r="C664" s="463"/>
      <c r="D664" s="463"/>
      <c r="E664" s="463"/>
      <c r="F664" s="463"/>
      <c r="G664" s="463"/>
      <c r="H664" s="463"/>
      <c r="I664" s="463"/>
      <c r="J664" s="463"/>
      <c r="K664" s="463"/>
      <c r="L664" s="463"/>
      <c r="M664" s="463"/>
      <c r="N664" s="463"/>
      <c r="O664" s="463"/>
      <c r="P664" s="463"/>
      <c r="Q664" s="463"/>
      <c r="R664" s="463"/>
      <c r="S664" s="463"/>
      <c r="T664" s="463"/>
      <c r="U664" s="463"/>
      <c r="V664" s="463"/>
      <c r="W664" s="463"/>
      <c r="X664" s="463"/>
      <c r="Y664" s="463"/>
      <c r="Z664" s="463"/>
    </row>
    <row r="665" spans="1:26" ht="15.75" customHeight="1" x14ac:dyDescent="0.3">
      <c r="A665" s="463"/>
      <c r="B665" s="463"/>
      <c r="C665" s="463"/>
      <c r="D665" s="463"/>
      <c r="E665" s="463"/>
      <c r="F665" s="463"/>
      <c r="G665" s="463"/>
      <c r="H665" s="463"/>
      <c r="I665" s="463"/>
      <c r="J665" s="463"/>
      <c r="K665" s="463"/>
      <c r="L665" s="463"/>
      <c r="M665" s="463"/>
      <c r="N665" s="463"/>
      <c r="O665" s="463"/>
      <c r="P665" s="463"/>
      <c r="Q665" s="463"/>
      <c r="R665" s="463"/>
      <c r="S665" s="463"/>
      <c r="T665" s="463"/>
      <c r="U665" s="463"/>
      <c r="V665" s="463"/>
      <c r="W665" s="463"/>
      <c r="X665" s="463"/>
      <c r="Y665" s="463"/>
      <c r="Z665" s="463"/>
    </row>
    <row r="666" spans="1:26" ht="15.75" customHeight="1" x14ac:dyDescent="0.3">
      <c r="A666" s="463"/>
      <c r="B666" s="463"/>
      <c r="C666" s="463"/>
      <c r="D666" s="463"/>
      <c r="E666" s="463"/>
      <c r="F666" s="463"/>
      <c r="G666" s="463"/>
      <c r="H666" s="463"/>
      <c r="I666" s="463"/>
      <c r="J666" s="463"/>
      <c r="K666" s="463"/>
      <c r="L666" s="463"/>
      <c r="M666" s="463"/>
      <c r="N666" s="463"/>
      <c r="O666" s="463"/>
      <c r="P666" s="463"/>
      <c r="Q666" s="463"/>
      <c r="R666" s="463"/>
      <c r="S666" s="463"/>
      <c r="T666" s="463"/>
      <c r="U666" s="463"/>
      <c r="V666" s="463"/>
      <c r="W666" s="463"/>
      <c r="X666" s="463"/>
      <c r="Y666" s="463"/>
      <c r="Z666" s="463"/>
    </row>
    <row r="667" spans="1:26" ht="15.75" customHeight="1" x14ac:dyDescent="0.3">
      <c r="A667" s="463"/>
      <c r="B667" s="463"/>
      <c r="C667" s="463"/>
      <c r="D667" s="463"/>
      <c r="E667" s="463"/>
      <c r="F667" s="463"/>
      <c r="G667" s="463"/>
      <c r="H667" s="463"/>
      <c r="I667" s="463"/>
      <c r="J667" s="463"/>
      <c r="K667" s="463"/>
      <c r="L667" s="463"/>
      <c r="M667" s="463"/>
      <c r="N667" s="463"/>
      <c r="O667" s="463"/>
      <c r="P667" s="463"/>
      <c r="Q667" s="463"/>
      <c r="R667" s="463"/>
      <c r="S667" s="463"/>
      <c r="T667" s="463"/>
      <c r="U667" s="463"/>
      <c r="V667" s="463"/>
      <c r="W667" s="463"/>
      <c r="X667" s="463"/>
      <c r="Y667" s="463"/>
      <c r="Z667" s="463"/>
    </row>
    <row r="668" spans="1:26" ht="15.75" customHeight="1" x14ac:dyDescent="0.3">
      <c r="A668" s="463"/>
      <c r="B668" s="463"/>
      <c r="C668" s="463"/>
      <c r="D668" s="463"/>
      <c r="E668" s="463"/>
      <c r="F668" s="463"/>
      <c r="G668" s="463"/>
      <c r="H668" s="463"/>
      <c r="I668" s="463"/>
      <c r="J668" s="463"/>
      <c r="K668" s="463"/>
      <c r="L668" s="463"/>
      <c r="M668" s="463"/>
      <c r="N668" s="463"/>
      <c r="O668" s="463"/>
      <c r="P668" s="463"/>
      <c r="Q668" s="463"/>
      <c r="R668" s="463"/>
      <c r="S668" s="463"/>
      <c r="T668" s="463"/>
      <c r="U668" s="463"/>
      <c r="V668" s="463"/>
      <c r="W668" s="463"/>
      <c r="X668" s="463"/>
      <c r="Y668" s="463"/>
      <c r="Z668" s="463"/>
    </row>
    <row r="669" spans="1:26" ht="15.75" customHeight="1" x14ac:dyDescent="0.3">
      <c r="A669" s="463"/>
      <c r="B669" s="463"/>
      <c r="C669" s="463"/>
      <c r="D669" s="463"/>
      <c r="E669" s="463"/>
      <c r="F669" s="463"/>
      <c r="G669" s="463"/>
      <c r="H669" s="463"/>
      <c r="I669" s="463"/>
      <c r="J669" s="463"/>
      <c r="K669" s="463"/>
      <c r="L669" s="463"/>
      <c r="M669" s="463"/>
      <c r="N669" s="463"/>
      <c r="O669" s="463"/>
      <c r="P669" s="463"/>
      <c r="Q669" s="463"/>
      <c r="R669" s="463"/>
      <c r="S669" s="463"/>
      <c r="T669" s="463"/>
      <c r="U669" s="463"/>
      <c r="V669" s="463"/>
      <c r="W669" s="463"/>
      <c r="X669" s="463"/>
      <c r="Y669" s="463"/>
      <c r="Z669" s="463"/>
    </row>
    <row r="670" spans="1:26" ht="15.75" customHeight="1" x14ac:dyDescent="0.3">
      <c r="A670" s="463"/>
      <c r="B670" s="463"/>
      <c r="C670" s="463"/>
      <c r="D670" s="463"/>
      <c r="E670" s="463"/>
      <c r="F670" s="463"/>
      <c r="G670" s="463"/>
      <c r="H670" s="463"/>
      <c r="I670" s="463"/>
      <c r="J670" s="463"/>
      <c r="K670" s="463"/>
      <c r="L670" s="463"/>
      <c r="M670" s="463"/>
      <c r="N670" s="463"/>
      <c r="O670" s="463"/>
      <c r="P670" s="463"/>
      <c r="Q670" s="463"/>
      <c r="R670" s="463"/>
      <c r="S670" s="463"/>
      <c r="T670" s="463"/>
      <c r="U670" s="463"/>
      <c r="V670" s="463"/>
      <c r="W670" s="463"/>
      <c r="X670" s="463"/>
      <c r="Y670" s="463"/>
      <c r="Z670" s="463"/>
    </row>
    <row r="671" spans="1:26" ht="15.75" customHeight="1" x14ac:dyDescent="0.3">
      <c r="A671" s="463"/>
      <c r="B671" s="463"/>
      <c r="C671" s="463"/>
      <c r="D671" s="463"/>
      <c r="E671" s="463"/>
      <c r="F671" s="463"/>
      <c r="G671" s="463"/>
      <c r="H671" s="463"/>
      <c r="I671" s="463"/>
      <c r="J671" s="463"/>
      <c r="K671" s="463"/>
      <c r="L671" s="463"/>
      <c r="M671" s="463"/>
      <c r="N671" s="463"/>
      <c r="O671" s="463"/>
      <c r="P671" s="463"/>
      <c r="Q671" s="463"/>
      <c r="R671" s="463"/>
      <c r="S671" s="463"/>
      <c r="T671" s="463"/>
      <c r="U671" s="463"/>
      <c r="V671" s="463"/>
      <c r="W671" s="463"/>
      <c r="X671" s="463"/>
      <c r="Y671" s="463"/>
      <c r="Z671" s="463"/>
    </row>
    <row r="672" spans="1:26" ht="15.75" customHeight="1" x14ac:dyDescent="0.3">
      <c r="A672" s="463"/>
      <c r="B672" s="463"/>
      <c r="C672" s="463"/>
      <c r="D672" s="463"/>
      <c r="E672" s="463"/>
      <c r="F672" s="463"/>
      <c r="G672" s="463"/>
      <c r="H672" s="463"/>
      <c r="I672" s="463"/>
      <c r="J672" s="463"/>
      <c r="K672" s="463"/>
      <c r="L672" s="463"/>
      <c r="M672" s="463"/>
      <c r="N672" s="463"/>
      <c r="O672" s="463"/>
      <c r="P672" s="463"/>
      <c r="Q672" s="463"/>
      <c r="R672" s="463"/>
      <c r="S672" s="463"/>
      <c r="T672" s="463"/>
      <c r="U672" s="463"/>
      <c r="V672" s="463"/>
      <c r="W672" s="463"/>
      <c r="X672" s="463"/>
      <c r="Y672" s="463"/>
      <c r="Z672" s="463"/>
    </row>
    <row r="673" spans="1:26" ht="15.75" customHeight="1" x14ac:dyDescent="0.3">
      <c r="A673" s="463"/>
      <c r="B673" s="463"/>
      <c r="C673" s="463"/>
      <c r="D673" s="463"/>
      <c r="E673" s="463"/>
      <c r="F673" s="463"/>
      <c r="G673" s="463"/>
      <c r="H673" s="463"/>
      <c r="I673" s="463"/>
      <c r="J673" s="463"/>
      <c r="K673" s="463"/>
      <c r="L673" s="463"/>
      <c r="M673" s="463"/>
      <c r="N673" s="463"/>
      <c r="O673" s="463"/>
      <c r="P673" s="463"/>
      <c r="Q673" s="463"/>
      <c r="R673" s="463"/>
      <c r="S673" s="463"/>
      <c r="T673" s="463"/>
      <c r="U673" s="463"/>
      <c r="V673" s="463"/>
      <c r="W673" s="463"/>
      <c r="X673" s="463"/>
      <c r="Y673" s="463"/>
      <c r="Z673" s="463"/>
    </row>
    <row r="674" spans="1:26" ht="15.75" customHeight="1" x14ac:dyDescent="0.3">
      <c r="A674" s="463"/>
      <c r="B674" s="463"/>
      <c r="C674" s="463"/>
      <c r="D674" s="463"/>
      <c r="E674" s="463"/>
      <c r="F674" s="463"/>
      <c r="G674" s="463"/>
      <c r="H674" s="463"/>
      <c r="I674" s="463"/>
      <c r="J674" s="463"/>
      <c r="K674" s="463"/>
      <c r="L674" s="463"/>
      <c r="M674" s="463"/>
      <c r="N674" s="463"/>
      <c r="O674" s="463"/>
      <c r="P674" s="463"/>
      <c r="Q674" s="463"/>
      <c r="R674" s="463"/>
      <c r="S674" s="463"/>
      <c r="T674" s="463"/>
      <c r="U674" s="463"/>
      <c r="V674" s="463"/>
      <c r="W674" s="463"/>
      <c r="X674" s="463"/>
      <c r="Y674" s="463"/>
      <c r="Z674" s="463"/>
    </row>
    <row r="675" spans="1:26" ht="15.75" customHeight="1" x14ac:dyDescent="0.3">
      <c r="A675" s="463"/>
      <c r="B675" s="463"/>
      <c r="C675" s="463"/>
      <c r="D675" s="463"/>
      <c r="E675" s="463"/>
      <c r="F675" s="463"/>
      <c r="G675" s="463"/>
      <c r="H675" s="463"/>
      <c r="I675" s="463"/>
      <c r="J675" s="463"/>
      <c r="K675" s="463"/>
      <c r="L675" s="463"/>
      <c r="M675" s="463"/>
      <c r="N675" s="463"/>
      <c r="O675" s="463"/>
      <c r="P675" s="463"/>
      <c r="Q675" s="463"/>
      <c r="R675" s="463"/>
      <c r="S675" s="463"/>
      <c r="T675" s="463"/>
      <c r="U675" s="463"/>
      <c r="V675" s="463"/>
      <c r="W675" s="463"/>
      <c r="X675" s="463"/>
      <c r="Y675" s="463"/>
      <c r="Z675" s="463"/>
    </row>
    <row r="676" spans="1:26" ht="15.75" customHeight="1" x14ac:dyDescent="0.3">
      <c r="A676" s="463"/>
      <c r="B676" s="463"/>
      <c r="C676" s="463"/>
      <c r="D676" s="463"/>
      <c r="E676" s="463"/>
      <c r="F676" s="463"/>
      <c r="G676" s="463"/>
      <c r="H676" s="463"/>
      <c r="I676" s="463"/>
      <c r="J676" s="463"/>
      <c r="K676" s="463"/>
      <c r="L676" s="463"/>
      <c r="M676" s="463"/>
      <c r="N676" s="463"/>
      <c r="O676" s="463"/>
      <c r="P676" s="463"/>
      <c r="Q676" s="463"/>
      <c r="R676" s="463"/>
      <c r="S676" s="463"/>
      <c r="T676" s="463"/>
      <c r="U676" s="463"/>
      <c r="V676" s="463"/>
      <c r="W676" s="463"/>
      <c r="X676" s="463"/>
      <c r="Y676" s="463"/>
      <c r="Z676" s="463"/>
    </row>
    <row r="677" spans="1:26" ht="15.75" customHeight="1" x14ac:dyDescent="0.3">
      <c r="A677" s="463"/>
      <c r="B677" s="463"/>
      <c r="C677" s="463"/>
      <c r="D677" s="463"/>
      <c r="E677" s="463"/>
      <c r="F677" s="463"/>
      <c r="G677" s="463"/>
      <c r="H677" s="463"/>
      <c r="I677" s="463"/>
      <c r="J677" s="463"/>
      <c r="K677" s="463"/>
      <c r="L677" s="463"/>
      <c r="M677" s="463"/>
      <c r="N677" s="463"/>
      <c r="O677" s="463"/>
      <c r="P677" s="463"/>
      <c r="Q677" s="463"/>
      <c r="R677" s="463"/>
      <c r="S677" s="463"/>
      <c r="T677" s="463"/>
      <c r="U677" s="463"/>
      <c r="V677" s="463"/>
      <c r="W677" s="463"/>
      <c r="X677" s="463"/>
      <c r="Y677" s="463"/>
      <c r="Z677" s="463"/>
    </row>
    <row r="678" spans="1:26" ht="15.75" customHeight="1" x14ac:dyDescent="0.3">
      <c r="A678" s="463"/>
      <c r="B678" s="463"/>
      <c r="C678" s="463"/>
      <c r="D678" s="463"/>
      <c r="E678" s="463"/>
      <c r="F678" s="463"/>
      <c r="G678" s="463"/>
      <c r="H678" s="463"/>
      <c r="I678" s="463"/>
      <c r="J678" s="463"/>
      <c r="K678" s="463"/>
      <c r="L678" s="463"/>
      <c r="M678" s="463"/>
      <c r="N678" s="463"/>
      <c r="O678" s="463"/>
      <c r="P678" s="463"/>
      <c r="Q678" s="463"/>
      <c r="R678" s="463"/>
      <c r="S678" s="463"/>
      <c r="T678" s="463"/>
      <c r="U678" s="463"/>
      <c r="V678" s="463"/>
      <c r="W678" s="463"/>
      <c r="X678" s="463"/>
      <c r="Y678" s="463"/>
      <c r="Z678" s="463"/>
    </row>
    <row r="679" spans="1:26" ht="15.75" customHeight="1" x14ac:dyDescent="0.3">
      <c r="A679" s="463"/>
      <c r="B679" s="463"/>
      <c r="C679" s="463"/>
      <c r="D679" s="463"/>
      <c r="E679" s="463"/>
      <c r="F679" s="463"/>
      <c r="G679" s="463"/>
      <c r="H679" s="463"/>
      <c r="I679" s="463"/>
      <c r="J679" s="463"/>
      <c r="K679" s="463"/>
      <c r="L679" s="463"/>
      <c r="M679" s="463"/>
      <c r="N679" s="463"/>
      <c r="O679" s="463"/>
      <c r="P679" s="463"/>
      <c r="Q679" s="463"/>
      <c r="R679" s="463"/>
      <c r="S679" s="463"/>
      <c r="T679" s="463"/>
      <c r="U679" s="463"/>
      <c r="V679" s="463"/>
      <c r="W679" s="463"/>
      <c r="X679" s="463"/>
      <c r="Y679" s="463"/>
      <c r="Z679" s="463"/>
    </row>
    <row r="680" spans="1:26" ht="15.75" customHeight="1" x14ac:dyDescent="0.3">
      <c r="A680" s="463"/>
      <c r="B680" s="463"/>
      <c r="C680" s="463"/>
      <c r="D680" s="463"/>
      <c r="E680" s="463"/>
      <c r="F680" s="463"/>
      <c r="G680" s="463"/>
      <c r="H680" s="463"/>
      <c r="I680" s="463"/>
      <c r="J680" s="463"/>
      <c r="K680" s="463"/>
      <c r="L680" s="463"/>
      <c r="M680" s="463"/>
      <c r="N680" s="463"/>
      <c r="O680" s="463"/>
      <c r="P680" s="463"/>
      <c r="Q680" s="463"/>
      <c r="R680" s="463"/>
      <c r="S680" s="463"/>
      <c r="T680" s="463"/>
      <c r="U680" s="463"/>
      <c r="V680" s="463"/>
      <c r="W680" s="463"/>
      <c r="X680" s="463"/>
      <c r="Y680" s="463"/>
      <c r="Z680" s="463"/>
    </row>
    <row r="681" spans="1:26" ht="15.75" customHeight="1" x14ac:dyDescent="0.3">
      <c r="A681" s="463"/>
      <c r="B681" s="463"/>
      <c r="C681" s="463"/>
      <c r="D681" s="463"/>
      <c r="E681" s="463"/>
      <c r="F681" s="463"/>
      <c r="G681" s="463"/>
      <c r="H681" s="463"/>
      <c r="I681" s="463"/>
      <c r="J681" s="463"/>
      <c r="K681" s="463"/>
      <c r="L681" s="463"/>
      <c r="M681" s="463"/>
      <c r="N681" s="463"/>
      <c r="O681" s="463"/>
      <c r="P681" s="463"/>
      <c r="Q681" s="463"/>
      <c r="R681" s="463"/>
      <c r="S681" s="463"/>
      <c r="T681" s="463"/>
      <c r="U681" s="463"/>
      <c r="V681" s="463"/>
      <c r="W681" s="463"/>
      <c r="X681" s="463"/>
      <c r="Y681" s="463"/>
      <c r="Z681" s="463"/>
    </row>
    <row r="682" spans="1:26" ht="15.75" customHeight="1" x14ac:dyDescent="0.3">
      <c r="A682" s="463"/>
      <c r="B682" s="463"/>
      <c r="C682" s="463"/>
      <c r="D682" s="463"/>
      <c r="E682" s="463"/>
      <c r="F682" s="463"/>
      <c r="G682" s="463"/>
      <c r="H682" s="463"/>
      <c r="I682" s="463"/>
      <c r="J682" s="463"/>
      <c r="K682" s="463"/>
      <c r="L682" s="463"/>
      <c r="M682" s="463"/>
      <c r="N682" s="463"/>
      <c r="O682" s="463"/>
      <c r="P682" s="463"/>
      <c r="Q682" s="463"/>
      <c r="R682" s="463"/>
      <c r="S682" s="463"/>
      <c r="T682" s="463"/>
      <c r="U682" s="463"/>
      <c r="V682" s="463"/>
      <c r="W682" s="463"/>
      <c r="X682" s="463"/>
      <c r="Y682" s="463"/>
      <c r="Z682" s="463"/>
    </row>
    <row r="683" spans="1:26" ht="15.75" customHeight="1" x14ac:dyDescent="0.3">
      <c r="A683" s="463"/>
      <c r="B683" s="463"/>
      <c r="C683" s="463"/>
      <c r="D683" s="463"/>
      <c r="E683" s="463"/>
      <c r="F683" s="463"/>
      <c r="G683" s="463"/>
      <c r="H683" s="463"/>
      <c r="I683" s="463"/>
      <c r="J683" s="463"/>
      <c r="K683" s="463"/>
      <c r="L683" s="463"/>
      <c r="M683" s="463"/>
      <c r="N683" s="463"/>
      <c r="O683" s="463"/>
      <c r="P683" s="463"/>
      <c r="Q683" s="463"/>
      <c r="R683" s="463"/>
      <c r="S683" s="463"/>
      <c r="T683" s="463"/>
      <c r="U683" s="463"/>
      <c r="V683" s="463"/>
      <c r="W683" s="463"/>
      <c r="X683" s="463"/>
      <c r="Y683" s="463"/>
      <c r="Z683" s="463"/>
    </row>
    <row r="684" spans="1:26" ht="15.75" customHeight="1" x14ac:dyDescent="0.3">
      <c r="A684" s="463"/>
      <c r="B684" s="463"/>
      <c r="C684" s="463"/>
      <c r="D684" s="463"/>
      <c r="E684" s="463"/>
      <c r="F684" s="463"/>
      <c r="G684" s="463"/>
      <c r="H684" s="463"/>
      <c r="I684" s="463"/>
      <c r="J684" s="463"/>
      <c r="K684" s="463"/>
      <c r="L684" s="463"/>
      <c r="M684" s="463"/>
      <c r="N684" s="463"/>
      <c r="O684" s="463"/>
      <c r="P684" s="463"/>
      <c r="Q684" s="463"/>
      <c r="R684" s="463"/>
      <c r="S684" s="463"/>
      <c r="T684" s="463"/>
      <c r="U684" s="463"/>
      <c r="V684" s="463"/>
      <c r="W684" s="463"/>
      <c r="X684" s="463"/>
      <c r="Y684" s="463"/>
      <c r="Z684" s="463"/>
    </row>
    <row r="685" spans="1:26" ht="15.75" customHeight="1" x14ac:dyDescent="0.3">
      <c r="A685" s="463"/>
      <c r="B685" s="463"/>
      <c r="C685" s="463"/>
      <c r="D685" s="463"/>
      <c r="E685" s="463"/>
      <c r="F685" s="463"/>
      <c r="G685" s="463"/>
      <c r="H685" s="463"/>
      <c r="I685" s="463"/>
      <c r="J685" s="463"/>
      <c r="K685" s="463"/>
      <c r="L685" s="463"/>
      <c r="M685" s="463"/>
      <c r="N685" s="463"/>
      <c r="O685" s="463"/>
      <c r="P685" s="463"/>
      <c r="Q685" s="463"/>
      <c r="R685" s="463"/>
      <c r="S685" s="463"/>
      <c r="T685" s="463"/>
      <c r="U685" s="463"/>
      <c r="V685" s="463"/>
      <c r="W685" s="463"/>
      <c r="X685" s="463"/>
      <c r="Y685" s="463"/>
      <c r="Z685" s="463"/>
    </row>
    <row r="686" spans="1:26" ht="15.75" customHeight="1" x14ac:dyDescent="0.3">
      <c r="A686" s="463"/>
      <c r="B686" s="463"/>
      <c r="C686" s="463"/>
      <c r="D686" s="463"/>
      <c r="E686" s="463"/>
      <c r="F686" s="463"/>
      <c r="G686" s="463"/>
      <c r="H686" s="463"/>
      <c r="I686" s="463"/>
      <c r="J686" s="463"/>
      <c r="K686" s="463"/>
      <c r="L686" s="463"/>
      <c r="M686" s="463"/>
      <c r="N686" s="463"/>
      <c r="O686" s="463"/>
      <c r="P686" s="463"/>
      <c r="Q686" s="463"/>
      <c r="R686" s="463"/>
      <c r="S686" s="463"/>
      <c r="T686" s="463"/>
      <c r="U686" s="463"/>
      <c r="V686" s="463"/>
      <c r="W686" s="463"/>
      <c r="X686" s="463"/>
      <c r="Y686" s="463"/>
      <c r="Z686" s="463"/>
    </row>
    <row r="687" spans="1:26" ht="15.75" customHeight="1" x14ac:dyDescent="0.3">
      <c r="A687" s="463"/>
      <c r="B687" s="463"/>
      <c r="C687" s="463"/>
      <c r="D687" s="463"/>
      <c r="E687" s="463"/>
      <c r="F687" s="463"/>
      <c r="G687" s="463"/>
      <c r="H687" s="463"/>
      <c r="I687" s="463"/>
      <c r="J687" s="463"/>
      <c r="K687" s="463"/>
      <c r="L687" s="463"/>
      <c r="M687" s="463"/>
      <c r="N687" s="463"/>
      <c r="O687" s="463"/>
      <c r="P687" s="463"/>
      <c r="Q687" s="463"/>
      <c r="R687" s="463"/>
      <c r="S687" s="463"/>
      <c r="T687" s="463"/>
      <c r="U687" s="463"/>
      <c r="V687" s="463"/>
      <c r="W687" s="463"/>
      <c r="X687" s="463"/>
      <c r="Y687" s="463"/>
      <c r="Z687" s="463"/>
    </row>
    <row r="688" spans="1:26" ht="15.75" customHeight="1" x14ac:dyDescent="0.3">
      <c r="A688" s="463"/>
      <c r="B688" s="463"/>
      <c r="C688" s="463"/>
      <c r="D688" s="463"/>
      <c r="E688" s="463"/>
      <c r="F688" s="463"/>
      <c r="G688" s="463"/>
      <c r="H688" s="463"/>
      <c r="I688" s="463"/>
      <c r="J688" s="463"/>
      <c r="K688" s="463"/>
      <c r="L688" s="463"/>
      <c r="M688" s="463"/>
      <c r="N688" s="463"/>
      <c r="O688" s="463"/>
      <c r="P688" s="463"/>
      <c r="Q688" s="463"/>
      <c r="R688" s="463"/>
      <c r="S688" s="463"/>
      <c r="T688" s="463"/>
      <c r="U688" s="463"/>
      <c r="V688" s="463"/>
      <c r="W688" s="463"/>
      <c r="X688" s="463"/>
      <c r="Y688" s="463"/>
      <c r="Z688" s="463"/>
    </row>
    <row r="689" spans="1:26" ht="15.75" customHeight="1" x14ac:dyDescent="0.3">
      <c r="A689" s="463"/>
      <c r="B689" s="463"/>
      <c r="C689" s="463"/>
      <c r="D689" s="463"/>
      <c r="E689" s="463"/>
      <c r="F689" s="463"/>
      <c r="G689" s="463"/>
      <c r="H689" s="463"/>
      <c r="I689" s="463"/>
      <c r="J689" s="463"/>
      <c r="K689" s="463"/>
      <c r="L689" s="463"/>
      <c r="M689" s="463"/>
      <c r="N689" s="463"/>
      <c r="O689" s="463"/>
      <c r="P689" s="463"/>
      <c r="Q689" s="463"/>
      <c r="R689" s="463"/>
      <c r="S689" s="463"/>
      <c r="T689" s="463"/>
      <c r="U689" s="463"/>
      <c r="V689" s="463"/>
      <c r="W689" s="463"/>
      <c r="X689" s="463"/>
      <c r="Y689" s="463"/>
      <c r="Z689" s="463"/>
    </row>
    <row r="690" spans="1:26" ht="15.75" customHeight="1" x14ac:dyDescent="0.3">
      <c r="A690" s="463"/>
      <c r="B690" s="463"/>
      <c r="C690" s="463"/>
      <c r="D690" s="463"/>
      <c r="E690" s="463"/>
      <c r="F690" s="463"/>
      <c r="G690" s="463"/>
      <c r="H690" s="463"/>
      <c r="I690" s="463"/>
      <c r="J690" s="463"/>
      <c r="K690" s="463"/>
      <c r="L690" s="463"/>
      <c r="M690" s="463"/>
      <c r="N690" s="463"/>
      <c r="O690" s="463"/>
      <c r="P690" s="463"/>
      <c r="Q690" s="463"/>
      <c r="R690" s="463"/>
      <c r="S690" s="463"/>
      <c r="T690" s="463"/>
      <c r="U690" s="463"/>
      <c r="V690" s="463"/>
      <c r="W690" s="463"/>
      <c r="X690" s="463"/>
      <c r="Y690" s="463"/>
      <c r="Z690" s="463"/>
    </row>
    <row r="691" spans="1:26" ht="15.75" customHeight="1" x14ac:dyDescent="0.3">
      <c r="A691" s="463"/>
      <c r="B691" s="463"/>
      <c r="C691" s="463"/>
      <c r="D691" s="463"/>
      <c r="E691" s="463"/>
      <c r="F691" s="463"/>
      <c r="G691" s="463"/>
      <c r="H691" s="463"/>
      <c r="I691" s="463"/>
      <c r="J691" s="463"/>
      <c r="K691" s="463"/>
      <c r="L691" s="463"/>
      <c r="M691" s="463"/>
      <c r="N691" s="463"/>
      <c r="O691" s="463"/>
      <c r="P691" s="463"/>
      <c r="Q691" s="463"/>
      <c r="R691" s="463"/>
      <c r="S691" s="463"/>
      <c r="T691" s="463"/>
      <c r="U691" s="463"/>
      <c r="V691" s="463"/>
      <c r="W691" s="463"/>
      <c r="X691" s="463"/>
      <c r="Y691" s="463"/>
      <c r="Z691" s="463"/>
    </row>
    <row r="692" spans="1:26" ht="15.75" customHeight="1" x14ac:dyDescent="0.3">
      <c r="A692" s="463"/>
      <c r="B692" s="463"/>
      <c r="C692" s="463"/>
      <c r="D692" s="463"/>
      <c r="E692" s="463"/>
      <c r="F692" s="463"/>
      <c r="G692" s="463"/>
      <c r="H692" s="463"/>
      <c r="I692" s="463"/>
      <c r="J692" s="463"/>
      <c r="K692" s="463"/>
      <c r="L692" s="463"/>
      <c r="M692" s="463"/>
      <c r="N692" s="463"/>
      <c r="O692" s="463"/>
      <c r="P692" s="463"/>
      <c r="Q692" s="463"/>
      <c r="R692" s="463"/>
      <c r="S692" s="463"/>
      <c r="T692" s="463"/>
      <c r="U692" s="463"/>
      <c r="V692" s="463"/>
      <c r="W692" s="463"/>
      <c r="X692" s="463"/>
      <c r="Y692" s="463"/>
      <c r="Z692" s="463"/>
    </row>
    <row r="693" spans="1:26" ht="15.75" customHeight="1" x14ac:dyDescent="0.3">
      <c r="A693" s="463"/>
      <c r="B693" s="463"/>
      <c r="C693" s="463"/>
      <c r="D693" s="463"/>
      <c r="E693" s="463"/>
      <c r="F693" s="463"/>
      <c r="G693" s="463"/>
      <c r="H693" s="463"/>
      <c r="I693" s="463"/>
      <c r="J693" s="463"/>
      <c r="K693" s="463"/>
      <c r="L693" s="463"/>
      <c r="M693" s="463"/>
      <c r="N693" s="463"/>
      <c r="O693" s="463"/>
      <c r="P693" s="463"/>
      <c r="Q693" s="463"/>
      <c r="R693" s="463"/>
      <c r="S693" s="463"/>
      <c r="T693" s="463"/>
      <c r="U693" s="463"/>
      <c r="V693" s="463"/>
      <c r="W693" s="463"/>
      <c r="X693" s="463"/>
      <c r="Y693" s="463"/>
      <c r="Z693" s="463"/>
    </row>
    <row r="694" spans="1:26" ht="15.75" customHeight="1" x14ac:dyDescent="0.3">
      <c r="A694" s="463"/>
      <c r="B694" s="463"/>
      <c r="C694" s="463"/>
      <c r="D694" s="463"/>
      <c r="E694" s="463"/>
      <c r="F694" s="463"/>
      <c r="G694" s="463"/>
      <c r="H694" s="463"/>
      <c r="I694" s="463"/>
      <c r="J694" s="463"/>
      <c r="K694" s="463"/>
      <c r="L694" s="463"/>
      <c r="M694" s="463"/>
      <c r="N694" s="463"/>
      <c r="O694" s="463"/>
      <c r="P694" s="463"/>
      <c r="Q694" s="463"/>
      <c r="R694" s="463"/>
      <c r="S694" s="463"/>
      <c r="T694" s="463"/>
      <c r="U694" s="463"/>
      <c r="V694" s="463"/>
      <c r="W694" s="463"/>
      <c r="X694" s="463"/>
      <c r="Y694" s="463"/>
      <c r="Z694" s="463"/>
    </row>
    <row r="695" spans="1:26" ht="15.75" customHeight="1" x14ac:dyDescent="0.3">
      <c r="A695" s="463"/>
      <c r="B695" s="463"/>
      <c r="C695" s="463"/>
      <c r="D695" s="463"/>
      <c r="E695" s="463"/>
      <c r="F695" s="463"/>
      <c r="G695" s="463"/>
      <c r="H695" s="463"/>
      <c r="I695" s="463"/>
      <c r="J695" s="463"/>
      <c r="K695" s="463"/>
      <c r="L695" s="463"/>
      <c r="M695" s="463"/>
      <c r="N695" s="463"/>
      <c r="O695" s="463"/>
      <c r="P695" s="463"/>
      <c r="Q695" s="463"/>
      <c r="R695" s="463"/>
      <c r="S695" s="463"/>
      <c r="T695" s="463"/>
      <c r="U695" s="463"/>
      <c r="V695" s="463"/>
      <c r="W695" s="463"/>
      <c r="X695" s="463"/>
      <c r="Y695" s="463"/>
      <c r="Z695" s="463"/>
    </row>
    <row r="696" spans="1:26" ht="15.75" customHeight="1" x14ac:dyDescent="0.3">
      <c r="A696" s="463"/>
      <c r="B696" s="463"/>
      <c r="C696" s="463"/>
      <c r="D696" s="463"/>
      <c r="E696" s="463"/>
      <c r="F696" s="463"/>
      <c r="G696" s="463"/>
      <c r="H696" s="463"/>
      <c r="I696" s="463"/>
      <c r="J696" s="463"/>
      <c r="K696" s="463"/>
      <c r="L696" s="463"/>
      <c r="M696" s="463"/>
      <c r="N696" s="463"/>
      <c r="O696" s="463"/>
      <c r="P696" s="463"/>
      <c r="Q696" s="463"/>
      <c r="R696" s="463"/>
      <c r="S696" s="463"/>
      <c r="T696" s="463"/>
      <c r="U696" s="463"/>
      <c r="V696" s="463"/>
      <c r="W696" s="463"/>
      <c r="X696" s="463"/>
      <c r="Y696" s="463"/>
      <c r="Z696" s="463"/>
    </row>
    <row r="697" spans="1:26" ht="15.75" customHeight="1" x14ac:dyDescent="0.3">
      <c r="A697" s="463"/>
      <c r="B697" s="463"/>
      <c r="C697" s="463"/>
      <c r="D697" s="463"/>
      <c r="E697" s="463"/>
      <c r="F697" s="463"/>
      <c r="G697" s="463"/>
      <c r="H697" s="463"/>
      <c r="I697" s="463"/>
      <c r="J697" s="463"/>
      <c r="K697" s="463"/>
      <c r="L697" s="463"/>
      <c r="M697" s="463"/>
      <c r="N697" s="463"/>
      <c r="O697" s="463"/>
      <c r="P697" s="463"/>
      <c r="Q697" s="463"/>
      <c r="R697" s="463"/>
      <c r="S697" s="463"/>
      <c r="T697" s="463"/>
      <c r="U697" s="463"/>
      <c r="V697" s="463"/>
      <c r="W697" s="463"/>
      <c r="X697" s="463"/>
      <c r="Y697" s="463"/>
      <c r="Z697" s="463"/>
    </row>
    <row r="698" spans="1:26" ht="15.75" customHeight="1" x14ac:dyDescent="0.3">
      <c r="A698" s="463"/>
      <c r="B698" s="463"/>
      <c r="C698" s="463"/>
      <c r="D698" s="463"/>
      <c r="E698" s="463"/>
      <c r="F698" s="463"/>
      <c r="G698" s="463"/>
      <c r="H698" s="463"/>
      <c r="I698" s="463"/>
      <c r="J698" s="463"/>
      <c r="K698" s="463"/>
      <c r="L698" s="463"/>
      <c r="M698" s="463"/>
      <c r="N698" s="463"/>
      <c r="O698" s="463"/>
      <c r="P698" s="463"/>
      <c r="Q698" s="463"/>
      <c r="R698" s="463"/>
      <c r="S698" s="463"/>
      <c r="T698" s="463"/>
      <c r="U698" s="463"/>
      <c r="V698" s="463"/>
      <c r="W698" s="463"/>
      <c r="X698" s="463"/>
      <c r="Y698" s="463"/>
      <c r="Z698" s="463"/>
    </row>
    <row r="699" spans="1:26" ht="15.75" customHeight="1" x14ac:dyDescent="0.3">
      <c r="A699" s="463"/>
      <c r="B699" s="463"/>
      <c r="C699" s="463"/>
      <c r="D699" s="463"/>
      <c r="E699" s="463"/>
      <c r="F699" s="463"/>
      <c r="G699" s="463"/>
      <c r="H699" s="463"/>
      <c r="I699" s="463"/>
      <c r="J699" s="463"/>
      <c r="K699" s="463"/>
      <c r="L699" s="463"/>
      <c r="M699" s="463"/>
      <c r="N699" s="463"/>
      <c r="O699" s="463"/>
      <c r="P699" s="463"/>
      <c r="Q699" s="463"/>
      <c r="R699" s="463"/>
      <c r="S699" s="463"/>
      <c r="T699" s="463"/>
      <c r="U699" s="463"/>
      <c r="V699" s="463"/>
      <c r="W699" s="463"/>
      <c r="X699" s="463"/>
      <c r="Y699" s="463"/>
      <c r="Z699" s="463"/>
    </row>
    <row r="700" spans="1:26" ht="15.75" customHeight="1" x14ac:dyDescent="0.3">
      <c r="A700" s="463"/>
      <c r="B700" s="463"/>
      <c r="C700" s="463"/>
      <c r="D700" s="463"/>
      <c r="E700" s="463"/>
      <c r="F700" s="463"/>
      <c r="G700" s="463"/>
      <c r="H700" s="463"/>
      <c r="I700" s="463"/>
      <c r="J700" s="463"/>
      <c r="K700" s="463"/>
      <c r="L700" s="463"/>
      <c r="M700" s="463"/>
      <c r="N700" s="463"/>
      <c r="O700" s="463"/>
      <c r="P700" s="463"/>
      <c r="Q700" s="463"/>
      <c r="R700" s="463"/>
      <c r="S700" s="463"/>
      <c r="T700" s="463"/>
      <c r="U700" s="463"/>
      <c r="V700" s="463"/>
      <c r="W700" s="463"/>
      <c r="X700" s="463"/>
      <c r="Y700" s="463"/>
      <c r="Z700" s="463"/>
    </row>
    <row r="701" spans="1:26" ht="15.75" customHeight="1" x14ac:dyDescent="0.3">
      <c r="A701" s="463"/>
      <c r="B701" s="463"/>
      <c r="C701" s="463"/>
      <c r="D701" s="463"/>
      <c r="E701" s="463"/>
      <c r="F701" s="463"/>
      <c r="G701" s="463"/>
      <c r="H701" s="463"/>
      <c r="I701" s="463"/>
      <c r="J701" s="463"/>
      <c r="K701" s="463"/>
      <c r="L701" s="463"/>
      <c r="M701" s="463"/>
      <c r="N701" s="463"/>
      <c r="O701" s="463"/>
      <c r="P701" s="463"/>
      <c r="Q701" s="463"/>
      <c r="R701" s="463"/>
      <c r="S701" s="463"/>
      <c r="T701" s="463"/>
      <c r="U701" s="463"/>
      <c r="V701" s="463"/>
      <c r="W701" s="463"/>
      <c r="X701" s="463"/>
      <c r="Y701" s="463"/>
      <c r="Z701" s="463"/>
    </row>
    <row r="702" spans="1:26" ht="15.75" customHeight="1" x14ac:dyDescent="0.3">
      <c r="A702" s="463"/>
      <c r="B702" s="463"/>
      <c r="C702" s="463"/>
      <c r="D702" s="463"/>
      <c r="E702" s="463"/>
      <c r="F702" s="463"/>
      <c r="G702" s="463"/>
      <c r="H702" s="463"/>
      <c r="I702" s="463"/>
      <c r="J702" s="463"/>
      <c r="K702" s="463"/>
      <c r="L702" s="463"/>
      <c r="M702" s="463"/>
      <c r="N702" s="463"/>
      <c r="O702" s="463"/>
      <c r="P702" s="463"/>
      <c r="Q702" s="463"/>
      <c r="R702" s="463"/>
      <c r="S702" s="463"/>
      <c r="T702" s="463"/>
      <c r="U702" s="463"/>
      <c r="V702" s="463"/>
      <c r="W702" s="463"/>
      <c r="X702" s="463"/>
      <c r="Y702" s="463"/>
      <c r="Z702" s="463"/>
    </row>
    <row r="703" spans="1:26" ht="15.75" customHeight="1" x14ac:dyDescent="0.3">
      <c r="A703" s="463"/>
      <c r="B703" s="463"/>
      <c r="C703" s="463"/>
      <c r="D703" s="463"/>
      <c r="E703" s="463"/>
      <c r="F703" s="463"/>
      <c r="G703" s="463"/>
      <c r="H703" s="463"/>
      <c r="I703" s="463"/>
      <c r="J703" s="463"/>
      <c r="K703" s="463"/>
      <c r="L703" s="463"/>
      <c r="M703" s="463"/>
      <c r="N703" s="463"/>
      <c r="O703" s="463"/>
      <c r="P703" s="463"/>
      <c r="Q703" s="463"/>
      <c r="R703" s="463"/>
      <c r="S703" s="463"/>
      <c r="T703" s="463"/>
      <c r="U703" s="463"/>
      <c r="V703" s="463"/>
      <c r="W703" s="463"/>
      <c r="X703" s="463"/>
      <c r="Y703" s="463"/>
      <c r="Z703" s="463"/>
    </row>
    <row r="704" spans="1:26" ht="15.75" customHeight="1" x14ac:dyDescent="0.3">
      <c r="A704" s="463"/>
      <c r="B704" s="463"/>
      <c r="C704" s="463"/>
      <c r="D704" s="463"/>
      <c r="E704" s="463"/>
      <c r="F704" s="463"/>
      <c r="G704" s="463"/>
      <c r="H704" s="463"/>
      <c r="I704" s="463"/>
      <c r="J704" s="463"/>
      <c r="K704" s="463"/>
      <c r="L704" s="463"/>
      <c r="M704" s="463"/>
      <c r="N704" s="463"/>
      <c r="O704" s="463"/>
      <c r="P704" s="463"/>
      <c r="Q704" s="463"/>
      <c r="R704" s="463"/>
      <c r="S704" s="463"/>
      <c r="T704" s="463"/>
      <c r="U704" s="463"/>
      <c r="V704" s="463"/>
      <c r="W704" s="463"/>
      <c r="X704" s="463"/>
      <c r="Y704" s="463"/>
      <c r="Z704" s="463"/>
    </row>
    <row r="705" spans="1:26" ht="15.75" customHeight="1" x14ac:dyDescent="0.3">
      <c r="A705" s="463"/>
      <c r="B705" s="463"/>
      <c r="C705" s="463"/>
      <c r="D705" s="463"/>
      <c r="E705" s="463"/>
      <c r="F705" s="463"/>
      <c r="G705" s="463"/>
      <c r="H705" s="463"/>
      <c r="I705" s="463"/>
      <c r="J705" s="463"/>
      <c r="K705" s="463"/>
      <c r="L705" s="463"/>
      <c r="M705" s="463"/>
      <c r="N705" s="463"/>
      <c r="O705" s="463"/>
      <c r="P705" s="463"/>
      <c r="Q705" s="463"/>
      <c r="R705" s="463"/>
      <c r="S705" s="463"/>
      <c r="T705" s="463"/>
      <c r="U705" s="463"/>
      <c r="V705" s="463"/>
      <c r="W705" s="463"/>
      <c r="X705" s="463"/>
      <c r="Y705" s="463"/>
      <c r="Z705" s="463"/>
    </row>
    <row r="706" spans="1:26" ht="15.75" customHeight="1" x14ac:dyDescent="0.3">
      <c r="A706" s="463"/>
      <c r="B706" s="463"/>
      <c r="C706" s="463"/>
      <c r="D706" s="463"/>
      <c r="E706" s="463"/>
      <c r="F706" s="463"/>
      <c r="G706" s="463"/>
      <c r="H706" s="463"/>
      <c r="I706" s="463"/>
      <c r="J706" s="463"/>
      <c r="K706" s="463"/>
      <c r="L706" s="463"/>
      <c r="M706" s="463"/>
      <c r="N706" s="463"/>
      <c r="O706" s="463"/>
      <c r="P706" s="463"/>
      <c r="Q706" s="463"/>
      <c r="R706" s="463"/>
      <c r="S706" s="463"/>
      <c r="T706" s="463"/>
      <c r="U706" s="463"/>
      <c r="V706" s="463"/>
      <c r="W706" s="463"/>
      <c r="X706" s="463"/>
      <c r="Y706" s="463"/>
      <c r="Z706" s="463"/>
    </row>
    <row r="707" spans="1:26" ht="15.75" customHeight="1" x14ac:dyDescent="0.3">
      <c r="A707" s="463"/>
      <c r="B707" s="463"/>
      <c r="C707" s="463"/>
      <c r="D707" s="463"/>
      <c r="E707" s="463"/>
      <c r="F707" s="463"/>
      <c r="G707" s="463"/>
      <c r="H707" s="463"/>
      <c r="I707" s="463"/>
      <c r="J707" s="463"/>
      <c r="K707" s="463"/>
      <c r="L707" s="463"/>
      <c r="M707" s="463"/>
      <c r="N707" s="463"/>
      <c r="O707" s="463"/>
      <c r="P707" s="463"/>
      <c r="Q707" s="463"/>
      <c r="R707" s="463"/>
      <c r="S707" s="463"/>
      <c r="T707" s="463"/>
      <c r="U707" s="463"/>
      <c r="V707" s="463"/>
      <c r="W707" s="463"/>
      <c r="X707" s="463"/>
      <c r="Y707" s="463"/>
      <c r="Z707" s="463"/>
    </row>
    <row r="708" spans="1:26" ht="15.75" customHeight="1" x14ac:dyDescent="0.3">
      <c r="A708" s="463"/>
      <c r="B708" s="463"/>
      <c r="C708" s="463"/>
      <c r="D708" s="463"/>
      <c r="E708" s="463"/>
      <c r="F708" s="463"/>
      <c r="G708" s="463"/>
      <c r="H708" s="463"/>
      <c r="I708" s="463"/>
      <c r="J708" s="463"/>
      <c r="K708" s="463"/>
      <c r="L708" s="463"/>
      <c r="M708" s="463"/>
      <c r="N708" s="463"/>
      <c r="O708" s="463"/>
      <c r="P708" s="463"/>
      <c r="Q708" s="463"/>
      <c r="R708" s="463"/>
      <c r="S708" s="463"/>
      <c r="T708" s="463"/>
      <c r="U708" s="463"/>
      <c r="V708" s="463"/>
      <c r="W708" s="463"/>
      <c r="X708" s="463"/>
      <c r="Y708" s="463"/>
      <c r="Z708" s="463"/>
    </row>
    <row r="709" spans="1:26" ht="15.75" customHeight="1" x14ac:dyDescent="0.3">
      <c r="A709" s="463"/>
      <c r="B709" s="463"/>
      <c r="C709" s="463"/>
      <c r="D709" s="463"/>
      <c r="E709" s="463"/>
      <c r="F709" s="463"/>
      <c r="G709" s="463"/>
      <c r="H709" s="463"/>
      <c r="I709" s="463"/>
      <c r="J709" s="463"/>
      <c r="K709" s="463"/>
      <c r="L709" s="463"/>
      <c r="M709" s="463"/>
      <c r="N709" s="463"/>
      <c r="O709" s="463"/>
      <c r="P709" s="463"/>
      <c r="Q709" s="463"/>
      <c r="R709" s="463"/>
      <c r="S709" s="463"/>
      <c r="T709" s="463"/>
      <c r="U709" s="463"/>
      <c r="V709" s="463"/>
      <c r="W709" s="463"/>
      <c r="X709" s="463"/>
      <c r="Y709" s="463"/>
      <c r="Z709" s="463"/>
    </row>
    <row r="710" spans="1:26" ht="15.75" customHeight="1" x14ac:dyDescent="0.3">
      <c r="A710" s="463"/>
      <c r="B710" s="463"/>
      <c r="C710" s="463"/>
      <c r="D710" s="463"/>
      <c r="E710" s="463"/>
      <c r="F710" s="463"/>
      <c r="G710" s="463"/>
      <c r="H710" s="463"/>
      <c r="I710" s="463"/>
      <c r="J710" s="463"/>
      <c r="K710" s="463"/>
      <c r="L710" s="463"/>
      <c r="M710" s="463"/>
      <c r="N710" s="463"/>
      <c r="O710" s="463"/>
      <c r="P710" s="463"/>
      <c r="Q710" s="463"/>
      <c r="R710" s="463"/>
      <c r="S710" s="463"/>
      <c r="T710" s="463"/>
      <c r="U710" s="463"/>
      <c r="V710" s="463"/>
      <c r="W710" s="463"/>
      <c r="X710" s="463"/>
      <c r="Y710" s="463"/>
      <c r="Z710" s="463"/>
    </row>
    <row r="711" spans="1:26" ht="15.75" customHeight="1" x14ac:dyDescent="0.3">
      <c r="A711" s="463"/>
      <c r="B711" s="463"/>
      <c r="C711" s="463"/>
      <c r="D711" s="463"/>
      <c r="E711" s="463"/>
      <c r="F711" s="463"/>
      <c r="G711" s="463"/>
      <c r="H711" s="463"/>
      <c r="I711" s="463"/>
      <c r="J711" s="463"/>
      <c r="K711" s="463"/>
      <c r="L711" s="463"/>
      <c r="M711" s="463"/>
      <c r="N711" s="463"/>
      <c r="O711" s="463"/>
      <c r="P711" s="463"/>
      <c r="Q711" s="463"/>
      <c r="R711" s="463"/>
      <c r="S711" s="463"/>
      <c r="T711" s="463"/>
      <c r="U711" s="463"/>
      <c r="V711" s="463"/>
      <c r="W711" s="463"/>
      <c r="X711" s="463"/>
      <c r="Y711" s="463"/>
      <c r="Z711" s="463"/>
    </row>
    <row r="712" spans="1:26" ht="15.75" customHeight="1" x14ac:dyDescent="0.3">
      <c r="A712" s="463"/>
      <c r="B712" s="463"/>
      <c r="C712" s="463"/>
      <c r="D712" s="463"/>
      <c r="E712" s="463"/>
      <c r="F712" s="463"/>
      <c r="G712" s="463"/>
      <c r="H712" s="463"/>
      <c r="I712" s="463"/>
      <c r="J712" s="463"/>
      <c r="K712" s="463"/>
      <c r="L712" s="463"/>
      <c r="M712" s="463"/>
      <c r="N712" s="463"/>
      <c r="O712" s="463"/>
      <c r="P712" s="463"/>
      <c r="Q712" s="463"/>
      <c r="R712" s="463"/>
      <c r="S712" s="463"/>
      <c r="T712" s="463"/>
      <c r="U712" s="463"/>
      <c r="V712" s="463"/>
      <c r="W712" s="463"/>
      <c r="X712" s="463"/>
      <c r="Y712" s="463"/>
      <c r="Z712" s="463"/>
    </row>
    <row r="713" spans="1:26" ht="15.75" customHeight="1" x14ac:dyDescent="0.3">
      <c r="A713" s="463"/>
      <c r="B713" s="463"/>
      <c r="C713" s="463"/>
      <c r="D713" s="463"/>
      <c r="E713" s="463"/>
      <c r="F713" s="463"/>
      <c r="G713" s="463"/>
      <c r="H713" s="463"/>
      <c r="I713" s="463"/>
      <c r="J713" s="463"/>
      <c r="K713" s="463"/>
      <c r="L713" s="463"/>
      <c r="M713" s="463"/>
      <c r="N713" s="463"/>
      <c r="O713" s="463"/>
      <c r="P713" s="463"/>
      <c r="Q713" s="463"/>
      <c r="R713" s="463"/>
      <c r="S713" s="463"/>
      <c r="T713" s="463"/>
      <c r="U713" s="463"/>
      <c r="V713" s="463"/>
      <c r="W713" s="463"/>
      <c r="X713" s="463"/>
      <c r="Y713" s="463"/>
      <c r="Z713" s="463"/>
    </row>
    <row r="714" spans="1:26" ht="15.75" customHeight="1" x14ac:dyDescent="0.3">
      <c r="A714" s="463"/>
      <c r="B714" s="463"/>
      <c r="C714" s="463"/>
      <c r="D714" s="463"/>
      <c r="E714" s="463"/>
      <c r="F714" s="463"/>
      <c r="G714" s="463"/>
      <c r="H714" s="463"/>
      <c r="I714" s="463"/>
      <c r="J714" s="463"/>
      <c r="K714" s="463"/>
      <c r="L714" s="463"/>
      <c r="M714" s="463"/>
      <c r="N714" s="463"/>
      <c r="O714" s="463"/>
      <c r="P714" s="463"/>
      <c r="Q714" s="463"/>
      <c r="R714" s="463"/>
      <c r="S714" s="463"/>
      <c r="T714" s="463"/>
      <c r="U714" s="463"/>
      <c r="V714" s="463"/>
      <c r="W714" s="463"/>
      <c r="X714" s="463"/>
      <c r="Y714" s="463"/>
      <c r="Z714" s="463"/>
    </row>
    <row r="715" spans="1:26" ht="15.75" customHeight="1" x14ac:dyDescent="0.3">
      <c r="A715" s="463"/>
      <c r="B715" s="463"/>
      <c r="C715" s="463"/>
      <c r="D715" s="463"/>
      <c r="E715" s="463"/>
      <c r="F715" s="463"/>
      <c r="G715" s="463"/>
      <c r="H715" s="463"/>
      <c r="I715" s="463"/>
      <c r="J715" s="463"/>
      <c r="K715" s="463"/>
      <c r="L715" s="463"/>
      <c r="M715" s="463"/>
      <c r="N715" s="463"/>
      <c r="O715" s="463"/>
      <c r="P715" s="463"/>
      <c r="Q715" s="463"/>
      <c r="R715" s="463"/>
      <c r="S715" s="463"/>
      <c r="T715" s="463"/>
      <c r="U715" s="463"/>
      <c r="V715" s="463"/>
      <c r="W715" s="463"/>
      <c r="X715" s="463"/>
      <c r="Y715" s="463"/>
      <c r="Z715" s="463"/>
    </row>
    <row r="716" spans="1:26" ht="15.75" customHeight="1" x14ac:dyDescent="0.3">
      <c r="A716" s="463"/>
      <c r="B716" s="463"/>
      <c r="C716" s="463"/>
      <c r="D716" s="463"/>
      <c r="E716" s="463"/>
      <c r="F716" s="463"/>
      <c r="G716" s="463"/>
      <c r="H716" s="463"/>
      <c r="I716" s="463"/>
      <c r="J716" s="463"/>
      <c r="K716" s="463"/>
      <c r="L716" s="463"/>
      <c r="M716" s="463"/>
      <c r="N716" s="463"/>
      <c r="O716" s="463"/>
      <c r="P716" s="463"/>
      <c r="Q716" s="463"/>
      <c r="R716" s="463"/>
      <c r="S716" s="463"/>
      <c r="T716" s="463"/>
      <c r="U716" s="463"/>
      <c r="V716" s="463"/>
      <c r="W716" s="463"/>
      <c r="X716" s="463"/>
      <c r="Y716" s="463"/>
      <c r="Z716" s="463"/>
    </row>
    <row r="717" spans="1:26" ht="15.75" customHeight="1" x14ac:dyDescent="0.3">
      <c r="A717" s="463"/>
      <c r="B717" s="463"/>
      <c r="C717" s="463"/>
      <c r="D717" s="463"/>
      <c r="E717" s="463"/>
      <c r="F717" s="463"/>
      <c r="G717" s="463"/>
      <c r="H717" s="463"/>
      <c r="I717" s="463"/>
      <c r="J717" s="463"/>
      <c r="K717" s="463"/>
      <c r="L717" s="463"/>
      <c r="M717" s="463"/>
      <c r="N717" s="463"/>
      <c r="O717" s="463"/>
      <c r="P717" s="463"/>
      <c r="Q717" s="463"/>
      <c r="R717" s="463"/>
      <c r="S717" s="463"/>
      <c r="T717" s="463"/>
      <c r="U717" s="463"/>
      <c r="V717" s="463"/>
      <c r="W717" s="463"/>
      <c r="X717" s="463"/>
      <c r="Y717" s="463"/>
      <c r="Z717" s="463"/>
    </row>
    <row r="718" spans="1:26" ht="15.75" customHeight="1" x14ac:dyDescent="0.3">
      <c r="A718" s="463"/>
      <c r="B718" s="463"/>
      <c r="C718" s="463"/>
      <c r="D718" s="463"/>
      <c r="E718" s="463"/>
      <c r="F718" s="463"/>
      <c r="G718" s="463"/>
      <c r="H718" s="463"/>
      <c r="I718" s="463"/>
      <c r="J718" s="463"/>
      <c r="K718" s="463"/>
      <c r="L718" s="463"/>
      <c r="M718" s="463"/>
      <c r="N718" s="463"/>
      <c r="O718" s="463"/>
      <c r="P718" s="463"/>
      <c r="Q718" s="463"/>
      <c r="R718" s="463"/>
      <c r="S718" s="463"/>
      <c r="T718" s="463"/>
      <c r="U718" s="463"/>
      <c r="V718" s="463"/>
      <c r="W718" s="463"/>
      <c r="X718" s="463"/>
      <c r="Y718" s="463"/>
      <c r="Z718" s="463"/>
    </row>
    <row r="719" spans="1:26" ht="15.75" customHeight="1" x14ac:dyDescent="0.3">
      <c r="A719" s="463"/>
      <c r="B719" s="463"/>
      <c r="C719" s="463"/>
      <c r="D719" s="463"/>
      <c r="E719" s="463"/>
      <c r="F719" s="463"/>
      <c r="G719" s="463"/>
      <c r="H719" s="463"/>
      <c r="I719" s="463"/>
      <c r="J719" s="463"/>
      <c r="K719" s="463"/>
      <c r="L719" s="463"/>
      <c r="M719" s="463"/>
      <c r="N719" s="463"/>
      <c r="O719" s="463"/>
      <c r="P719" s="463"/>
      <c r="Q719" s="463"/>
      <c r="R719" s="463"/>
      <c r="S719" s="463"/>
      <c r="T719" s="463"/>
      <c r="U719" s="463"/>
      <c r="V719" s="463"/>
      <c r="W719" s="463"/>
      <c r="X719" s="463"/>
      <c r="Y719" s="463"/>
      <c r="Z719" s="463"/>
    </row>
    <row r="720" spans="1:26" ht="15.75" customHeight="1" x14ac:dyDescent="0.3">
      <c r="A720" s="463"/>
      <c r="B720" s="463"/>
      <c r="C720" s="463"/>
      <c r="D720" s="463"/>
      <c r="E720" s="463"/>
      <c r="F720" s="463"/>
      <c r="G720" s="463"/>
      <c r="H720" s="463"/>
      <c r="I720" s="463"/>
      <c r="J720" s="463"/>
      <c r="K720" s="463"/>
      <c r="L720" s="463"/>
      <c r="M720" s="463"/>
      <c r="N720" s="463"/>
      <c r="O720" s="463"/>
      <c r="P720" s="463"/>
      <c r="Q720" s="463"/>
      <c r="R720" s="463"/>
      <c r="S720" s="463"/>
      <c r="T720" s="463"/>
      <c r="U720" s="463"/>
      <c r="V720" s="463"/>
      <c r="W720" s="463"/>
      <c r="X720" s="463"/>
      <c r="Y720" s="463"/>
      <c r="Z720" s="463"/>
    </row>
    <row r="721" spans="1:26" ht="15.75" customHeight="1" x14ac:dyDescent="0.3">
      <c r="A721" s="463"/>
      <c r="B721" s="463"/>
      <c r="C721" s="463"/>
      <c r="D721" s="463"/>
      <c r="E721" s="463"/>
      <c r="F721" s="463"/>
      <c r="G721" s="463"/>
      <c r="H721" s="463"/>
      <c r="I721" s="463"/>
      <c r="J721" s="463"/>
      <c r="K721" s="463"/>
      <c r="L721" s="463"/>
      <c r="M721" s="463"/>
      <c r="N721" s="463"/>
      <c r="O721" s="463"/>
      <c r="P721" s="463"/>
      <c r="Q721" s="463"/>
      <c r="R721" s="463"/>
      <c r="S721" s="463"/>
      <c r="T721" s="463"/>
      <c r="U721" s="463"/>
      <c r="V721" s="463"/>
      <c r="W721" s="463"/>
      <c r="X721" s="463"/>
      <c r="Y721" s="463"/>
      <c r="Z721" s="463"/>
    </row>
    <row r="722" spans="1:26" ht="15.75" customHeight="1" x14ac:dyDescent="0.3">
      <c r="A722" s="463"/>
      <c r="B722" s="463"/>
      <c r="C722" s="463"/>
      <c r="D722" s="463"/>
      <c r="E722" s="463"/>
      <c r="F722" s="463"/>
      <c r="G722" s="463"/>
      <c r="H722" s="463"/>
      <c r="I722" s="463"/>
      <c r="J722" s="463"/>
      <c r="K722" s="463"/>
      <c r="L722" s="463"/>
      <c r="M722" s="463"/>
      <c r="N722" s="463"/>
      <c r="O722" s="463"/>
      <c r="P722" s="463"/>
      <c r="Q722" s="463"/>
      <c r="R722" s="463"/>
      <c r="S722" s="463"/>
      <c r="T722" s="463"/>
      <c r="U722" s="463"/>
      <c r="V722" s="463"/>
      <c r="W722" s="463"/>
      <c r="X722" s="463"/>
      <c r="Y722" s="463"/>
      <c r="Z722" s="463"/>
    </row>
    <row r="723" spans="1:26" ht="15.75" customHeight="1" x14ac:dyDescent="0.3">
      <c r="A723" s="463"/>
      <c r="B723" s="463"/>
      <c r="C723" s="463"/>
      <c r="D723" s="463"/>
      <c r="E723" s="463"/>
      <c r="F723" s="463"/>
      <c r="G723" s="463"/>
      <c r="H723" s="463"/>
      <c r="I723" s="463"/>
      <c r="J723" s="463"/>
      <c r="K723" s="463"/>
      <c r="L723" s="463"/>
      <c r="M723" s="463"/>
      <c r="N723" s="463"/>
      <c r="O723" s="463"/>
      <c r="P723" s="463"/>
      <c r="Q723" s="463"/>
      <c r="R723" s="463"/>
      <c r="S723" s="463"/>
      <c r="T723" s="463"/>
      <c r="U723" s="463"/>
      <c r="V723" s="463"/>
      <c r="W723" s="463"/>
      <c r="X723" s="463"/>
      <c r="Y723" s="463"/>
      <c r="Z723" s="463"/>
    </row>
    <row r="724" spans="1:26" ht="15.75" customHeight="1" x14ac:dyDescent="0.3">
      <c r="A724" s="463"/>
      <c r="B724" s="463"/>
      <c r="C724" s="463"/>
      <c r="D724" s="463"/>
      <c r="E724" s="463"/>
      <c r="F724" s="463"/>
      <c r="G724" s="463"/>
      <c r="H724" s="463"/>
      <c r="I724" s="463"/>
      <c r="J724" s="463"/>
      <c r="K724" s="463"/>
      <c r="L724" s="463"/>
      <c r="M724" s="463"/>
      <c r="N724" s="463"/>
      <c r="O724" s="463"/>
      <c r="P724" s="463"/>
      <c r="Q724" s="463"/>
      <c r="R724" s="463"/>
      <c r="S724" s="463"/>
      <c r="T724" s="463"/>
      <c r="U724" s="463"/>
      <c r="V724" s="463"/>
      <c r="W724" s="463"/>
      <c r="X724" s="463"/>
      <c r="Y724" s="463"/>
      <c r="Z724" s="463"/>
    </row>
    <row r="725" spans="1:26" ht="15.75" customHeight="1" x14ac:dyDescent="0.3">
      <c r="A725" s="463"/>
      <c r="B725" s="463"/>
      <c r="C725" s="463"/>
      <c r="D725" s="463"/>
      <c r="E725" s="463"/>
      <c r="F725" s="463"/>
      <c r="G725" s="463"/>
      <c r="H725" s="463"/>
      <c r="I725" s="463"/>
      <c r="J725" s="463"/>
      <c r="K725" s="463"/>
      <c r="L725" s="463"/>
      <c r="M725" s="463"/>
      <c r="N725" s="463"/>
      <c r="O725" s="463"/>
      <c r="P725" s="463"/>
      <c r="Q725" s="463"/>
      <c r="R725" s="463"/>
      <c r="S725" s="463"/>
      <c r="T725" s="463"/>
      <c r="U725" s="463"/>
      <c r="V725" s="463"/>
      <c r="W725" s="463"/>
      <c r="X725" s="463"/>
      <c r="Y725" s="463"/>
      <c r="Z725" s="463"/>
    </row>
    <row r="726" spans="1:26" ht="15.75" customHeight="1" x14ac:dyDescent="0.3">
      <c r="A726" s="463"/>
      <c r="B726" s="463"/>
      <c r="C726" s="463"/>
      <c r="D726" s="463"/>
      <c r="E726" s="463"/>
      <c r="F726" s="463"/>
      <c r="G726" s="463"/>
      <c r="H726" s="463"/>
      <c r="I726" s="463"/>
      <c r="J726" s="463"/>
      <c r="K726" s="463"/>
      <c r="L726" s="463"/>
      <c r="M726" s="463"/>
      <c r="N726" s="463"/>
      <c r="O726" s="463"/>
      <c r="P726" s="463"/>
      <c r="Q726" s="463"/>
      <c r="R726" s="463"/>
      <c r="S726" s="463"/>
      <c r="T726" s="463"/>
      <c r="U726" s="463"/>
      <c r="V726" s="463"/>
      <c r="W726" s="463"/>
      <c r="X726" s="463"/>
      <c r="Y726" s="463"/>
      <c r="Z726" s="463"/>
    </row>
    <row r="727" spans="1:26" ht="15.75" customHeight="1" x14ac:dyDescent="0.3">
      <c r="A727" s="463"/>
      <c r="B727" s="463"/>
      <c r="C727" s="463"/>
      <c r="D727" s="463"/>
      <c r="E727" s="463"/>
      <c r="F727" s="463"/>
      <c r="G727" s="463"/>
      <c r="H727" s="463"/>
      <c r="I727" s="463"/>
      <c r="J727" s="463"/>
      <c r="K727" s="463"/>
      <c r="L727" s="463"/>
      <c r="M727" s="463"/>
      <c r="N727" s="463"/>
      <c r="O727" s="463"/>
      <c r="P727" s="463"/>
      <c r="Q727" s="463"/>
      <c r="R727" s="463"/>
      <c r="S727" s="463"/>
      <c r="T727" s="463"/>
      <c r="U727" s="463"/>
      <c r="V727" s="463"/>
      <c r="W727" s="463"/>
      <c r="X727" s="463"/>
      <c r="Y727" s="463"/>
      <c r="Z727" s="463"/>
    </row>
    <row r="728" spans="1:26" ht="15.75" customHeight="1" x14ac:dyDescent="0.3">
      <c r="A728" s="463"/>
      <c r="B728" s="463"/>
      <c r="C728" s="463"/>
      <c r="D728" s="463"/>
      <c r="E728" s="463"/>
      <c r="F728" s="463"/>
      <c r="G728" s="463"/>
      <c r="H728" s="463"/>
      <c r="I728" s="463"/>
      <c r="J728" s="463"/>
      <c r="K728" s="463"/>
      <c r="L728" s="463"/>
      <c r="M728" s="463"/>
      <c r="N728" s="463"/>
      <c r="O728" s="463"/>
      <c r="P728" s="463"/>
      <c r="Q728" s="463"/>
      <c r="R728" s="463"/>
      <c r="S728" s="463"/>
      <c r="T728" s="463"/>
      <c r="U728" s="463"/>
      <c r="V728" s="463"/>
      <c r="W728" s="463"/>
      <c r="X728" s="463"/>
      <c r="Y728" s="463"/>
      <c r="Z728" s="463"/>
    </row>
    <row r="729" spans="1:26" ht="15.75" customHeight="1" x14ac:dyDescent="0.3">
      <c r="A729" s="463"/>
      <c r="B729" s="463"/>
      <c r="C729" s="463"/>
      <c r="D729" s="463"/>
      <c r="E729" s="463"/>
      <c r="F729" s="463"/>
      <c r="G729" s="463"/>
      <c r="H729" s="463"/>
      <c r="I729" s="463"/>
      <c r="J729" s="463"/>
      <c r="K729" s="463"/>
      <c r="L729" s="463"/>
      <c r="M729" s="463"/>
      <c r="N729" s="463"/>
      <c r="O729" s="463"/>
      <c r="P729" s="463"/>
      <c r="Q729" s="463"/>
      <c r="R729" s="463"/>
      <c r="S729" s="463"/>
      <c r="T729" s="463"/>
      <c r="U729" s="463"/>
      <c r="V729" s="463"/>
      <c r="W729" s="463"/>
      <c r="X729" s="463"/>
      <c r="Y729" s="463"/>
      <c r="Z729" s="463"/>
    </row>
    <row r="730" spans="1:26" ht="15.75" customHeight="1" x14ac:dyDescent="0.3">
      <c r="A730" s="463"/>
      <c r="B730" s="463"/>
      <c r="C730" s="463"/>
      <c r="D730" s="463"/>
      <c r="E730" s="463"/>
      <c r="F730" s="463"/>
      <c r="G730" s="463"/>
      <c r="H730" s="463"/>
      <c r="I730" s="463"/>
      <c r="J730" s="463"/>
      <c r="K730" s="463"/>
      <c r="L730" s="463"/>
      <c r="M730" s="463"/>
      <c r="N730" s="463"/>
      <c r="O730" s="463"/>
      <c r="P730" s="463"/>
      <c r="Q730" s="463"/>
      <c r="R730" s="463"/>
      <c r="S730" s="463"/>
      <c r="T730" s="463"/>
      <c r="U730" s="463"/>
      <c r="V730" s="463"/>
      <c r="W730" s="463"/>
      <c r="X730" s="463"/>
      <c r="Y730" s="463"/>
      <c r="Z730" s="463"/>
    </row>
    <row r="731" spans="1:26" ht="15.75" customHeight="1" x14ac:dyDescent="0.3">
      <c r="A731" s="463"/>
      <c r="B731" s="463"/>
      <c r="C731" s="463"/>
      <c r="D731" s="463"/>
      <c r="E731" s="463"/>
      <c r="F731" s="463"/>
      <c r="G731" s="463"/>
      <c r="H731" s="463"/>
      <c r="I731" s="463"/>
      <c r="J731" s="463"/>
      <c r="K731" s="463"/>
      <c r="L731" s="463"/>
      <c r="M731" s="463"/>
      <c r="N731" s="463"/>
      <c r="O731" s="463"/>
      <c r="P731" s="463"/>
      <c r="Q731" s="463"/>
      <c r="R731" s="463"/>
      <c r="S731" s="463"/>
      <c r="T731" s="463"/>
      <c r="U731" s="463"/>
      <c r="V731" s="463"/>
      <c r="W731" s="463"/>
      <c r="X731" s="463"/>
      <c r="Y731" s="463"/>
      <c r="Z731" s="463"/>
    </row>
    <row r="732" spans="1:26" ht="15.75" customHeight="1" x14ac:dyDescent="0.3">
      <c r="A732" s="463"/>
      <c r="B732" s="463"/>
      <c r="C732" s="463"/>
      <c r="D732" s="463"/>
      <c r="E732" s="463"/>
      <c r="F732" s="463"/>
      <c r="G732" s="463"/>
      <c r="H732" s="463"/>
      <c r="I732" s="463"/>
      <c r="J732" s="463"/>
      <c r="K732" s="463"/>
      <c r="L732" s="463"/>
      <c r="M732" s="463"/>
      <c r="N732" s="463"/>
      <c r="O732" s="463"/>
      <c r="P732" s="463"/>
      <c r="Q732" s="463"/>
      <c r="R732" s="463"/>
      <c r="S732" s="463"/>
      <c r="T732" s="463"/>
      <c r="U732" s="463"/>
      <c r="V732" s="463"/>
      <c r="W732" s="463"/>
      <c r="X732" s="463"/>
      <c r="Y732" s="463"/>
      <c r="Z732" s="463"/>
    </row>
    <row r="733" spans="1:26" ht="15.75" customHeight="1" x14ac:dyDescent="0.3">
      <c r="A733" s="463"/>
      <c r="B733" s="463"/>
      <c r="C733" s="463"/>
      <c r="D733" s="463"/>
      <c r="E733" s="463"/>
      <c r="F733" s="463"/>
      <c r="G733" s="463"/>
      <c r="H733" s="463"/>
      <c r="I733" s="463"/>
      <c r="J733" s="463"/>
      <c r="K733" s="463"/>
      <c r="L733" s="463"/>
      <c r="M733" s="463"/>
      <c r="N733" s="463"/>
      <c r="O733" s="463"/>
      <c r="P733" s="463"/>
      <c r="Q733" s="463"/>
      <c r="R733" s="463"/>
      <c r="S733" s="463"/>
      <c r="T733" s="463"/>
      <c r="U733" s="463"/>
      <c r="V733" s="463"/>
      <c r="W733" s="463"/>
      <c r="X733" s="463"/>
      <c r="Y733" s="463"/>
      <c r="Z733" s="463"/>
    </row>
    <row r="734" spans="1:26" ht="15.75" customHeight="1" x14ac:dyDescent="0.3">
      <c r="A734" s="463"/>
      <c r="B734" s="463"/>
      <c r="C734" s="463"/>
      <c r="D734" s="463"/>
      <c r="E734" s="463"/>
      <c r="F734" s="463"/>
      <c r="G734" s="463"/>
      <c r="H734" s="463"/>
      <c r="I734" s="463"/>
      <c r="J734" s="463"/>
      <c r="K734" s="463"/>
      <c r="L734" s="463"/>
      <c r="M734" s="463"/>
      <c r="N734" s="463"/>
      <c r="O734" s="463"/>
      <c r="P734" s="463"/>
      <c r="Q734" s="463"/>
      <c r="R734" s="463"/>
      <c r="S734" s="463"/>
      <c r="T734" s="463"/>
      <c r="U734" s="463"/>
      <c r="V734" s="463"/>
      <c r="W734" s="463"/>
      <c r="X734" s="463"/>
      <c r="Y734" s="463"/>
      <c r="Z734" s="463"/>
    </row>
    <row r="735" spans="1:26" ht="15.75" customHeight="1" x14ac:dyDescent="0.3">
      <c r="A735" s="463"/>
      <c r="B735" s="463"/>
      <c r="C735" s="463"/>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63"/>
      <c r="Z735" s="463"/>
    </row>
    <row r="736" spans="1:26" ht="15.75" customHeight="1" x14ac:dyDescent="0.3">
      <c r="A736" s="463"/>
      <c r="B736" s="463"/>
      <c r="C736" s="463"/>
      <c r="D736" s="463"/>
      <c r="E736" s="463"/>
      <c r="F736" s="463"/>
      <c r="G736" s="463"/>
      <c r="H736" s="463"/>
      <c r="I736" s="463"/>
      <c r="J736" s="463"/>
      <c r="K736" s="463"/>
      <c r="L736" s="463"/>
      <c r="M736" s="463"/>
      <c r="N736" s="463"/>
      <c r="O736" s="463"/>
      <c r="P736" s="463"/>
      <c r="Q736" s="463"/>
      <c r="R736" s="463"/>
      <c r="S736" s="463"/>
      <c r="T736" s="463"/>
      <c r="U736" s="463"/>
      <c r="V736" s="463"/>
      <c r="W736" s="463"/>
      <c r="X736" s="463"/>
      <c r="Y736" s="463"/>
      <c r="Z736" s="463"/>
    </row>
    <row r="737" spans="1:26" ht="15.75" customHeight="1" x14ac:dyDescent="0.3">
      <c r="A737" s="463"/>
      <c r="B737" s="463"/>
      <c r="C737" s="463"/>
      <c r="D737" s="463"/>
      <c r="E737" s="463"/>
      <c r="F737" s="463"/>
      <c r="G737" s="463"/>
      <c r="H737" s="463"/>
      <c r="I737" s="463"/>
      <c r="J737" s="463"/>
      <c r="K737" s="463"/>
      <c r="L737" s="463"/>
      <c r="M737" s="463"/>
      <c r="N737" s="463"/>
      <c r="O737" s="463"/>
      <c r="P737" s="463"/>
      <c r="Q737" s="463"/>
      <c r="R737" s="463"/>
      <c r="S737" s="463"/>
      <c r="T737" s="463"/>
      <c r="U737" s="463"/>
      <c r="V737" s="463"/>
      <c r="W737" s="463"/>
      <c r="X737" s="463"/>
      <c r="Y737" s="463"/>
      <c r="Z737" s="463"/>
    </row>
    <row r="738" spans="1:26" ht="15.75" customHeight="1" x14ac:dyDescent="0.3">
      <c r="A738" s="463"/>
      <c r="B738" s="463"/>
      <c r="C738" s="463"/>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63"/>
      <c r="Z738" s="463"/>
    </row>
    <row r="739" spans="1:26" ht="15.75" customHeight="1" x14ac:dyDescent="0.3">
      <c r="A739" s="463"/>
      <c r="B739" s="463"/>
      <c r="C739" s="463"/>
      <c r="D739" s="463"/>
      <c r="E739" s="463"/>
      <c r="F739" s="463"/>
      <c r="G739" s="463"/>
      <c r="H739" s="463"/>
      <c r="I739" s="463"/>
      <c r="J739" s="463"/>
      <c r="K739" s="463"/>
      <c r="L739" s="463"/>
      <c r="M739" s="463"/>
      <c r="N739" s="463"/>
      <c r="O739" s="463"/>
      <c r="P739" s="463"/>
      <c r="Q739" s="463"/>
      <c r="R739" s="463"/>
      <c r="S739" s="463"/>
      <c r="T739" s="463"/>
      <c r="U739" s="463"/>
      <c r="V739" s="463"/>
      <c r="W739" s="463"/>
      <c r="X739" s="463"/>
      <c r="Y739" s="463"/>
      <c r="Z739" s="463"/>
    </row>
    <row r="740" spans="1:26" ht="15.75" customHeight="1" x14ac:dyDescent="0.3">
      <c r="A740" s="463"/>
      <c r="B740" s="463"/>
      <c r="C740" s="463"/>
      <c r="D740" s="463"/>
      <c r="E740" s="463"/>
      <c r="F740" s="463"/>
      <c r="G740" s="463"/>
      <c r="H740" s="463"/>
      <c r="I740" s="463"/>
      <c r="J740" s="463"/>
      <c r="K740" s="463"/>
      <c r="L740" s="463"/>
      <c r="M740" s="463"/>
      <c r="N740" s="463"/>
      <c r="O740" s="463"/>
      <c r="P740" s="463"/>
      <c r="Q740" s="463"/>
      <c r="R740" s="463"/>
      <c r="S740" s="463"/>
      <c r="T740" s="463"/>
      <c r="U740" s="463"/>
      <c r="V740" s="463"/>
      <c r="W740" s="463"/>
      <c r="X740" s="463"/>
      <c r="Y740" s="463"/>
      <c r="Z740" s="463"/>
    </row>
    <row r="741" spans="1:26" ht="15.75" customHeight="1" x14ac:dyDescent="0.3">
      <c r="A741" s="463"/>
      <c r="B741" s="463"/>
      <c r="C741" s="463"/>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63"/>
      <c r="Z741" s="463"/>
    </row>
    <row r="742" spans="1:26" ht="15.75" customHeight="1" x14ac:dyDescent="0.3">
      <c r="A742" s="463"/>
      <c r="B742" s="463"/>
      <c r="C742" s="463"/>
      <c r="D742" s="463"/>
      <c r="E742" s="463"/>
      <c r="F742" s="463"/>
      <c r="G742" s="463"/>
      <c r="H742" s="463"/>
      <c r="I742" s="463"/>
      <c r="J742" s="463"/>
      <c r="K742" s="463"/>
      <c r="L742" s="463"/>
      <c r="M742" s="463"/>
      <c r="N742" s="463"/>
      <c r="O742" s="463"/>
      <c r="P742" s="463"/>
      <c r="Q742" s="463"/>
      <c r="R742" s="463"/>
      <c r="S742" s="463"/>
      <c r="T742" s="463"/>
      <c r="U742" s="463"/>
      <c r="V742" s="463"/>
      <c r="W742" s="463"/>
      <c r="X742" s="463"/>
      <c r="Y742" s="463"/>
      <c r="Z742" s="463"/>
    </row>
    <row r="743" spans="1:26" ht="15.75" customHeight="1" x14ac:dyDescent="0.3">
      <c r="A743" s="463"/>
      <c r="B743" s="463"/>
      <c r="C743" s="463"/>
      <c r="D743" s="463"/>
      <c r="E743" s="463"/>
      <c r="F743" s="463"/>
      <c r="G743" s="463"/>
      <c r="H743" s="463"/>
      <c r="I743" s="463"/>
      <c r="J743" s="463"/>
      <c r="K743" s="463"/>
      <c r="L743" s="463"/>
      <c r="M743" s="463"/>
      <c r="N743" s="463"/>
      <c r="O743" s="463"/>
      <c r="P743" s="463"/>
      <c r="Q743" s="463"/>
      <c r="R743" s="463"/>
      <c r="S743" s="463"/>
      <c r="T743" s="463"/>
      <c r="U743" s="463"/>
      <c r="V743" s="463"/>
      <c r="W743" s="463"/>
      <c r="X743" s="463"/>
      <c r="Y743" s="463"/>
      <c r="Z743" s="463"/>
    </row>
    <row r="744" spans="1:26" ht="15.75" customHeight="1" x14ac:dyDescent="0.3">
      <c r="A744" s="463"/>
      <c r="B744" s="463"/>
      <c r="C744" s="463"/>
      <c r="D744" s="463"/>
      <c r="E744" s="463"/>
      <c r="F744" s="463"/>
      <c r="G744" s="463"/>
      <c r="H744" s="463"/>
      <c r="I744" s="463"/>
      <c r="J744" s="463"/>
      <c r="K744" s="463"/>
      <c r="L744" s="463"/>
      <c r="M744" s="463"/>
      <c r="N744" s="463"/>
      <c r="O744" s="463"/>
      <c r="P744" s="463"/>
      <c r="Q744" s="463"/>
      <c r="R744" s="463"/>
      <c r="S744" s="463"/>
      <c r="T744" s="463"/>
      <c r="U744" s="463"/>
      <c r="V744" s="463"/>
      <c r="W744" s="463"/>
      <c r="X744" s="463"/>
      <c r="Y744" s="463"/>
      <c r="Z744" s="463"/>
    </row>
    <row r="745" spans="1:26" ht="15.75" customHeight="1" x14ac:dyDescent="0.3">
      <c r="A745" s="463"/>
      <c r="B745" s="463"/>
      <c r="C745" s="463"/>
      <c r="D745" s="463"/>
      <c r="E745" s="463"/>
      <c r="F745" s="463"/>
      <c r="G745" s="463"/>
      <c r="H745" s="463"/>
      <c r="I745" s="463"/>
      <c r="J745" s="463"/>
      <c r="K745" s="463"/>
      <c r="L745" s="463"/>
      <c r="M745" s="463"/>
      <c r="N745" s="463"/>
      <c r="O745" s="463"/>
      <c r="P745" s="463"/>
      <c r="Q745" s="463"/>
      <c r="R745" s="463"/>
      <c r="S745" s="463"/>
      <c r="T745" s="463"/>
      <c r="U745" s="463"/>
      <c r="V745" s="463"/>
      <c r="W745" s="463"/>
      <c r="X745" s="463"/>
      <c r="Y745" s="463"/>
      <c r="Z745" s="463"/>
    </row>
    <row r="746" spans="1:26" ht="15.75" customHeight="1" x14ac:dyDescent="0.3">
      <c r="A746" s="463"/>
      <c r="B746" s="463"/>
      <c r="C746" s="463"/>
      <c r="D746" s="463"/>
      <c r="E746" s="463"/>
      <c r="F746" s="463"/>
      <c r="G746" s="463"/>
      <c r="H746" s="463"/>
      <c r="I746" s="463"/>
      <c r="J746" s="463"/>
      <c r="K746" s="463"/>
      <c r="L746" s="463"/>
      <c r="M746" s="463"/>
      <c r="N746" s="463"/>
      <c r="O746" s="463"/>
      <c r="P746" s="463"/>
      <c r="Q746" s="463"/>
      <c r="R746" s="463"/>
      <c r="S746" s="463"/>
      <c r="T746" s="463"/>
      <c r="U746" s="463"/>
      <c r="V746" s="463"/>
      <c r="W746" s="463"/>
      <c r="X746" s="463"/>
      <c r="Y746" s="463"/>
      <c r="Z746" s="463"/>
    </row>
    <row r="747" spans="1:26" ht="15.75" customHeight="1" x14ac:dyDescent="0.3">
      <c r="A747" s="463"/>
      <c r="B747" s="463"/>
      <c r="C747" s="463"/>
      <c r="D747" s="463"/>
      <c r="E747" s="463"/>
      <c r="F747" s="463"/>
      <c r="G747" s="463"/>
      <c r="H747" s="463"/>
      <c r="I747" s="463"/>
      <c r="J747" s="463"/>
      <c r="K747" s="463"/>
      <c r="L747" s="463"/>
      <c r="M747" s="463"/>
      <c r="N747" s="463"/>
      <c r="O747" s="463"/>
      <c r="P747" s="463"/>
      <c r="Q747" s="463"/>
      <c r="R747" s="463"/>
      <c r="S747" s="463"/>
      <c r="T747" s="463"/>
      <c r="U747" s="463"/>
      <c r="V747" s="463"/>
      <c r="W747" s="463"/>
      <c r="X747" s="463"/>
      <c r="Y747" s="463"/>
      <c r="Z747" s="463"/>
    </row>
    <row r="748" spans="1:26" ht="15.75" customHeight="1" x14ac:dyDescent="0.3">
      <c r="A748" s="463"/>
      <c r="B748" s="463"/>
      <c r="C748" s="463"/>
      <c r="D748" s="463"/>
      <c r="E748" s="463"/>
      <c r="F748" s="463"/>
      <c r="G748" s="463"/>
      <c r="H748" s="463"/>
      <c r="I748" s="463"/>
      <c r="J748" s="463"/>
      <c r="K748" s="463"/>
      <c r="L748" s="463"/>
      <c r="M748" s="463"/>
      <c r="N748" s="463"/>
      <c r="O748" s="463"/>
      <c r="P748" s="463"/>
      <c r="Q748" s="463"/>
      <c r="R748" s="463"/>
      <c r="S748" s="463"/>
      <c r="T748" s="463"/>
      <c r="U748" s="463"/>
      <c r="V748" s="463"/>
      <c r="W748" s="463"/>
      <c r="X748" s="463"/>
      <c r="Y748" s="463"/>
      <c r="Z748" s="463"/>
    </row>
    <row r="749" spans="1:26" ht="15.75" customHeight="1" x14ac:dyDescent="0.3">
      <c r="A749" s="463"/>
      <c r="B749" s="463"/>
      <c r="C749" s="463"/>
      <c r="D749" s="463"/>
      <c r="E749" s="463"/>
      <c r="F749" s="463"/>
      <c r="G749" s="463"/>
      <c r="H749" s="463"/>
      <c r="I749" s="463"/>
      <c r="J749" s="463"/>
      <c r="K749" s="463"/>
      <c r="L749" s="463"/>
      <c r="M749" s="463"/>
      <c r="N749" s="463"/>
      <c r="O749" s="463"/>
      <c r="P749" s="463"/>
      <c r="Q749" s="463"/>
      <c r="R749" s="463"/>
      <c r="S749" s="463"/>
      <c r="T749" s="463"/>
      <c r="U749" s="463"/>
      <c r="V749" s="463"/>
      <c r="W749" s="463"/>
      <c r="X749" s="463"/>
      <c r="Y749" s="463"/>
      <c r="Z749" s="463"/>
    </row>
    <row r="750" spans="1:26" ht="15.75" customHeight="1" x14ac:dyDescent="0.3">
      <c r="A750" s="463"/>
      <c r="B750" s="463"/>
      <c r="C750" s="463"/>
      <c r="D750" s="463"/>
      <c r="E750" s="463"/>
      <c r="F750" s="463"/>
      <c r="G750" s="463"/>
      <c r="H750" s="463"/>
      <c r="I750" s="463"/>
      <c r="J750" s="463"/>
      <c r="K750" s="463"/>
      <c r="L750" s="463"/>
      <c r="M750" s="463"/>
      <c r="N750" s="463"/>
      <c r="O750" s="463"/>
      <c r="P750" s="463"/>
      <c r="Q750" s="463"/>
      <c r="R750" s="463"/>
      <c r="S750" s="463"/>
      <c r="T750" s="463"/>
      <c r="U750" s="463"/>
      <c r="V750" s="463"/>
      <c r="W750" s="463"/>
      <c r="X750" s="463"/>
      <c r="Y750" s="463"/>
      <c r="Z750" s="463"/>
    </row>
    <row r="751" spans="1:26" ht="15.75" customHeight="1" x14ac:dyDescent="0.3">
      <c r="A751" s="463"/>
      <c r="B751" s="463"/>
      <c r="C751" s="463"/>
      <c r="D751" s="463"/>
      <c r="E751" s="463"/>
      <c r="F751" s="463"/>
      <c r="G751" s="463"/>
      <c r="H751" s="463"/>
      <c r="I751" s="463"/>
      <c r="J751" s="463"/>
      <c r="K751" s="463"/>
      <c r="L751" s="463"/>
      <c r="M751" s="463"/>
      <c r="N751" s="463"/>
      <c r="O751" s="463"/>
      <c r="P751" s="463"/>
      <c r="Q751" s="463"/>
      <c r="R751" s="463"/>
      <c r="S751" s="463"/>
      <c r="T751" s="463"/>
      <c r="U751" s="463"/>
      <c r="V751" s="463"/>
      <c r="W751" s="463"/>
      <c r="X751" s="463"/>
      <c r="Y751" s="463"/>
      <c r="Z751" s="463"/>
    </row>
    <row r="752" spans="1:26" ht="15.75" customHeight="1" x14ac:dyDescent="0.3">
      <c r="A752" s="463"/>
      <c r="B752" s="463"/>
      <c r="C752" s="463"/>
      <c r="D752" s="463"/>
      <c r="E752" s="463"/>
      <c r="F752" s="463"/>
      <c r="G752" s="463"/>
      <c r="H752" s="463"/>
      <c r="I752" s="463"/>
      <c r="J752" s="463"/>
      <c r="K752" s="463"/>
      <c r="L752" s="463"/>
      <c r="M752" s="463"/>
      <c r="N752" s="463"/>
      <c r="O752" s="463"/>
      <c r="P752" s="463"/>
      <c r="Q752" s="463"/>
      <c r="R752" s="463"/>
      <c r="S752" s="463"/>
      <c r="T752" s="463"/>
      <c r="U752" s="463"/>
      <c r="V752" s="463"/>
      <c r="W752" s="463"/>
      <c r="X752" s="463"/>
      <c r="Y752" s="463"/>
      <c r="Z752" s="463"/>
    </row>
    <row r="753" spans="1:26" ht="15.75" customHeight="1" x14ac:dyDescent="0.3">
      <c r="A753" s="463"/>
      <c r="B753" s="463"/>
      <c r="C753" s="463"/>
      <c r="D753" s="463"/>
      <c r="E753" s="463"/>
      <c r="F753" s="463"/>
      <c r="G753" s="463"/>
      <c r="H753" s="463"/>
      <c r="I753" s="463"/>
      <c r="J753" s="463"/>
      <c r="K753" s="463"/>
      <c r="L753" s="463"/>
      <c r="M753" s="463"/>
      <c r="N753" s="463"/>
      <c r="O753" s="463"/>
      <c r="P753" s="463"/>
      <c r="Q753" s="463"/>
      <c r="R753" s="463"/>
      <c r="S753" s="463"/>
      <c r="T753" s="463"/>
      <c r="U753" s="463"/>
      <c r="V753" s="463"/>
      <c r="W753" s="463"/>
      <c r="X753" s="463"/>
      <c r="Y753" s="463"/>
      <c r="Z753" s="463"/>
    </row>
    <row r="754" spans="1:26" ht="15.75" customHeight="1" x14ac:dyDescent="0.3">
      <c r="A754" s="463"/>
      <c r="B754" s="463"/>
      <c r="C754" s="463"/>
      <c r="D754" s="463"/>
      <c r="E754" s="463"/>
      <c r="F754" s="463"/>
      <c r="G754" s="463"/>
      <c r="H754" s="463"/>
      <c r="I754" s="463"/>
      <c r="J754" s="463"/>
      <c r="K754" s="463"/>
      <c r="L754" s="463"/>
      <c r="M754" s="463"/>
      <c r="N754" s="463"/>
      <c r="O754" s="463"/>
      <c r="P754" s="463"/>
      <c r="Q754" s="463"/>
      <c r="R754" s="463"/>
      <c r="S754" s="463"/>
      <c r="T754" s="463"/>
      <c r="U754" s="463"/>
      <c r="V754" s="463"/>
      <c r="W754" s="463"/>
      <c r="X754" s="463"/>
      <c r="Y754" s="463"/>
      <c r="Z754" s="463"/>
    </row>
    <row r="755" spans="1:26" ht="15.75" customHeight="1" x14ac:dyDescent="0.3">
      <c r="A755" s="463"/>
      <c r="B755" s="463"/>
      <c r="C755" s="463"/>
      <c r="D755" s="463"/>
      <c r="E755" s="463"/>
      <c r="F755" s="463"/>
      <c r="G755" s="463"/>
      <c r="H755" s="463"/>
      <c r="I755" s="463"/>
      <c r="J755" s="463"/>
      <c r="K755" s="463"/>
      <c r="L755" s="463"/>
      <c r="M755" s="463"/>
      <c r="N755" s="463"/>
      <c r="O755" s="463"/>
      <c r="P755" s="463"/>
      <c r="Q755" s="463"/>
      <c r="R755" s="463"/>
      <c r="S755" s="463"/>
      <c r="T755" s="463"/>
      <c r="U755" s="463"/>
      <c r="V755" s="463"/>
      <c r="W755" s="463"/>
      <c r="X755" s="463"/>
      <c r="Y755" s="463"/>
      <c r="Z755" s="463"/>
    </row>
    <row r="756" spans="1:26" ht="15.75" customHeight="1" x14ac:dyDescent="0.3">
      <c r="A756" s="463"/>
      <c r="B756" s="463"/>
      <c r="C756" s="463"/>
      <c r="D756" s="463"/>
      <c r="E756" s="463"/>
      <c r="F756" s="463"/>
      <c r="G756" s="463"/>
      <c r="H756" s="463"/>
      <c r="I756" s="463"/>
      <c r="J756" s="463"/>
      <c r="K756" s="463"/>
      <c r="L756" s="463"/>
      <c r="M756" s="463"/>
      <c r="N756" s="463"/>
      <c r="O756" s="463"/>
      <c r="P756" s="463"/>
      <c r="Q756" s="463"/>
      <c r="R756" s="463"/>
      <c r="S756" s="463"/>
      <c r="T756" s="463"/>
      <c r="U756" s="463"/>
      <c r="V756" s="463"/>
      <c r="W756" s="463"/>
      <c r="X756" s="463"/>
      <c r="Y756" s="463"/>
      <c r="Z756" s="463"/>
    </row>
    <row r="757" spans="1:26" ht="15.75" customHeight="1" x14ac:dyDescent="0.3">
      <c r="A757" s="463"/>
      <c r="B757" s="463"/>
      <c r="C757" s="463"/>
      <c r="D757" s="463"/>
      <c r="E757" s="463"/>
      <c r="F757" s="463"/>
      <c r="G757" s="463"/>
      <c r="H757" s="463"/>
      <c r="I757" s="463"/>
      <c r="J757" s="463"/>
      <c r="K757" s="463"/>
      <c r="L757" s="463"/>
      <c r="M757" s="463"/>
      <c r="N757" s="463"/>
      <c r="O757" s="463"/>
      <c r="P757" s="463"/>
      <c r="Q757" s="463"/>
      <c r="R757" s="463"/>
      <c r="S757" s="463"/>
      <c r="T757" s="463"/>
      <c r="U757" s="463"/>
      <c r="V757" s="463"/>
      <c r="W757" s="463"/>
      <c r="X757" s="463"/>
      <c r="Y757" s="463"/>
      <c r="Z757" s="463"/>
    </row>
    <row r="758" spans="1:26" ht="15.75" customHeight="1" x14ac:dyDescent="0.3">
      <c r="A758" s="463"/>
      <c r="B758" s="463"/>
      <c r="C758" s="463"/>
      <c r="D758" s="463"/>
      <c r="E758" s="463"/>
      <c r="F758" s="463"/>
      <c r="G758" s="463"/>
      <c r="H758" s="463"/>
      <c r="I758" s="463"/>
      <c r="J758" s="463"/>
      <c r="K758" s="463"/>
      <c r="L758" s="463"/>
      <c r="M758" s="463"/>
      <c r="N758" s="463"/>
      <c r="O758" s="463"/>
      <c r="P758" s="463"/>
      <c r="Q758" s="463"/>
      <c r="R758" s="463"/>
      <c r="S758" s="463"/>
      <c r="T758" s="463"/>
      <c r="U758" s="463"/>
      <c r="V758" s="463"/>
      <c r="W758" s="463"/>
      <c r="X758" s="463"/>
      <c r="Y758" s="463"/>
      <c r="Z758" s="463"/>
    </row>
    <row r="759" spans="1:26" ht="15.75" customHeight="1" x14ac:dyDescent="0.3">
      <c r="A759" s="463"/>
      <c r="B759" s="463"/>
      <c r="C759" s="463"/>
      <c r="D759" s="463"/>
      <c r="E759" s="463"/>
      <c r="F759" s="463"/>
      <c r="G759" s="463"/>
      <c r="H759" s="463"/>
      <c r="I759" s="463"/>
      <c r="J759" s="463"/>
      <c r="K759" s="463"/>
      <c r="L759" s="463"/>
      <c r="M759" s="463"/>
      <c r="N759" s="463"/>
      <c r="O759" s="463"/>
      <c r="P759" s="463"/>
      <c r="Q759" s="463"/>
      <c r="R759" s="463"/>
      <c r="S759" s="463"/>
      <c r="T759" s="463"/>
      <c r="U759" s="463"/>
      <c r="V759" s="463"/>
      <c r="W759" s="463"/>
      <c r="X759" s="463"/>
      <c r="Y759" s="463"/>
      <c r="Z759" s="463"/>
    </row>
    <row r="760" spans="1:26" ht="15.75" customHeight="1" x14ac:dyDescent="0.3">
      <c r="A760" s="463"/>
      <c r="B760" s="463"/>
      <c r="C760" s="463"/>
      <c r="D760" s="463"/>
      <c r="E760" s="463"/>
      <c r="F760" s="463"/>
      <c r="G760" s="463"/>
      <c r="H760" s="463"/>
      <c r="I760" s="463"/>
      <c r="J760" s="463"/>
      <c r="K760" s="463"/>
      <c r="L760" s="463"/>
      <c r="M760" s="463"/>
      <c r="N760" s="463"/>
      <c r="O760" s="463"/>
      <c r="P760" s="463"/>
      <c r="Q760" s="463"/>
      <c r="R760" s="463"/>
      <c r="S760" s="463"/>
      <c r="T760" s="463"/>
      <c r="U760" s="463"/>
      <c r="V760" s="463"/>
      <c r="W760" s="463"/>
      <c r="X760" s="463"/>
      <c r="Y760" s="463"/>
      <c r="Z760" s="463"/>
    </row>
    <row r="761" spans="1:26" ht="15.75" customHeight="1" x14ac:dyDescent="0.3">
      <c r="A761" s="463"/>
      <c r="B761" s="463"/>
      <c r="C761" s="463"/>
      <c r="D761" s="463"/>
      <c r="E761" s="463"/>
      <c r="F761" s="463"/>
      <c r="G761" s="463"/>
      <c r="H761" s="463"/>
      <c r="I761" s="463"/>
      <c r="J761" s="463"/>
      <c r="K761" s="463"/>
      <c r="L761" s="463"/>
      <c r="M761" s="463"/>
      <c r="N761" s="463"/>
      <c r="O761" s="463"/>
      <c r="P761" s="463"/>
      <c r="Q761" s="463"/>
      <c r="R761" s="463"/>
      <c r="S761" s="463"/>
      <c r="T761" s="463"/>
      <c r="U761" s="463"/>
      <c r="V761" s="463"/>
      <c r="W761" s="463"/>
      <c r="X761" s="463"/>
      <c r="Y761" s="463"/>
      <c r="Z761" s="463"/>
    </row>
    <row r="762" spans="1:26" ht="15.75" customHeight="1" x14ac:dyDescent="0.3">
      <c r="A762" s="463"/>
      <c r="B762" s="463"/>
      <c r="C762" s="463"/>
      <c r="D762" s="463"/>
      <c r="E762" s="463"/>
      <c r="F762" s="463"/>
      <c r="G762" s="463"/>
      <c r="H762" s="463"/>
      <c r="I762" s="463"/>
      <c r="J762" s="463"/>
      <c r="K762" s="463"/>
      <c r="L762" s="463"/>
      <c r="M762" s="463"/>
      <c r="N762" s="463"/>
      <c r="O762" s="463"/>
      <c r="P762" s="463"/>
      <c r="Q762" s="463"/>
      <c r="R762" s="463"/>
      <c r="S762" s="463"/>
      <c r="T762" s="463"/>
      <c r="U762" s="463"/>
      <c r="V762" s="463"/>
      <c r="W762" s="463"/>
      <c r="X762" s="463"/>
      <c r="Y762" s="463"/>
      <c r="Z762" s="463"/>
    </row>
    <row r="763" spans="1:26" ht="15.75" customHeight="1" x14ac:dyDescent="0.3">
      <c r="A763" s="463"/>
      <c r="B763" s="463"/>
      <c r="C763" s="463"/>
      <c r="D763" s="463"/>
      <c r="E763" s="463"/>
      <c r="F763" s="463"/>
      <c r="G763" s="463"/>
      <c r="H763" s="463"/>
      <c r="I763" s="463"/>
      <c r="J763" s="463"/>
      <c r="K763" s="463"/>
      <c r="L763" s="463"/>
      <c r="M763" s="463"/>
      <c r="N763" s="463"/>
      <c r="O763" s="463"/>
      <c r="P763" s="463"/>
      <c r="Q763" s="463"/>
      <c r="R763" s="463"/>
      <c r="S763" s="463"/>
      <c r="T763" s="463"/>
      <c r="U763" s="463"/>
      <c r="V763" s="463"/>
      <c r="W763" s="463"/>
      <c r="X763" s="463"/>
      <c r="Y763" s="463"/>
      <c r="Z763" s="463"/>
    </row>
    <row r="764" spans="1:26" ht="15.75" customHeight="1" x14ac:dyDescent="0.3">
      <c r="A764" s="463"/>
      <c r="B764" s="463"/>
      <c r="C764" s="463"/>
      <c r="D764" s="463"/>
      <c r="E764" s="463"/>
      <c r="F764" s="463"/>
      <c r="G764" s="463"/>
      <c r="H764" s="463"/>
      <c r="I764" s="463"/>
      <c r="J764" s="463"/>
      <c r="K764" s="463"/>
      <c r="L764" s="463"/>
      <c r="M764" s="463"/>
      <c r="N764" s="463"/>
      <c r="O764" s="463"/>
      <c r="P764" s="463"/>
      <c r="Q764" s="463"/>
      <c r="R764" s="463"/>
      <c r="S764" s="463"/>
      <c r="T764" s="463"/>
      <c r="U764" s="463"/>
      <c r="V764" s="463"/>
      <c r="W764" s="463"/>
      <c r="X764" s="463"/>
      <c r="Y764" s="463"/>
      <c r="Z764" s="463"/>
    </row>
    <row r="765" spans="1:26" ht="15.75" customHeight="1" x14ac:dyDescent="0.3">
      <c r="A765" s="463"/>
      <c r="B765" s="463"/>
      <c r="C765" s="463"/>
      <c r="D765" s="463"/>
      <c r="E765" s="463"/>
      <c r="F765" s="463"/>
      <c r="G765" s="463"/>
      <c r="H765" s="463"/>
      <c r="I765" s="463"/>
      <c r="J765" s="463"/>
      <c r="K765" s="463"/>
      <c r="L765" s="463"/>
      <c r="M765" s="463"/>
      <c r="N765" s="463"/>
      <c r="O765" s="463"/>
      <c r="P765" s="463"/>
      <c r="Q765" s="463"/>
      <c r="R765" s="463"/>
      <c r="S765" s="463"/>
      <c r="T765" s="463"/>
      <c r="U765" s="463"/>
      <c r="V765" s="463"/>
      <c r="W765" s="463"/>
      <c r="X765" s="463"/>
      <c r="Y765" s="463"/>
      <c r="Z765" s="463"/>
    </row>
    <row r="766" spans="1:26" ht="15.75" customHeight="1" x14ac:dyDescent="0.3">
      <c r="A766" s="463"/>
      <c r="B766" s="463"/>
      <c r="C766" s="463"/>
      <c r="D766" s="463"/>
      <c r="E766" s="463"/>
      <c r="F766" s="463"/>
      <c r="G766" s="463"/>
      <c r="H766" s="463"/>
      <c r="I766" s="463"/>
      <c r="J766" s="463"/>
      <c r="K766" s="463"/>
      <c r="L766" s="463"/>
      <c r="M766" s="463"/>
      <c r="N766" s="463"/>
      <c r="O766" s="463"/>
      <c r="P766" s="463"/>
      <c r="Q766" s="463"/>
      <c r="R766" s="463"/>
      <c r="S766" s="463"/>
      <c r="T766" s="463"/>
      <c r="U766" s="463"/>
      <c r="V766" s="463"/>
      <c r="W766" s="463"/>
      <c r="X766" s="463"/>
      <c r="Y766" s="463"/>
      <c r="Z766" s="463"/>
    </row>
    <row r="767" spans="1:26" ht="15.75" customHeight="1" x14ac:dyDescent="0.3">
      <c r="A767" s="463"/>
      <c r="B767" s="463"/>
      <c r="C767" s="463"/>
      <c r="D767" s="463"/>
      <c r="E767" s="463"/>
      <c r="F767" s="463"/>
      <c r="G767" s="463"/>
      <c r="H767" s="463"/>
      <c r="I767" s="463"/>
      <c r="J767" s="463"/>
      <c r="K767" s="463"/>
      <c r="L767" s="463"/>
      <c r="M767" s="463"/>
      <c r="N767" s="463"/>
      <c r="O767" s="463"/>
      <c r="P767" s="463"/>
      <c r="Q767" s="463"/>
      <c r="R767" s="463"/>
      <c r="S767" s="463"/>
      <c r="T767" s="463"/>
      <c r="U767" s="463"/>
      <c r="V767" s="463"/>
      <c r="W767" s="463"/>
      <c r="X767" s="463"/>
      <c r="Y767" s="463"/>
      <c r="Z767" s="463"/>
    </row>
    <row r="768" spans="1:26" ht="15.75" customHeight="1" x14ac:dyDescent="0.3">
      <c r="A768" s="463"/>
      <c r="B768" s="463"/>
      <c r="C768" s="463"/>
      <c r="D768" s="463"/>
      <c r="E768" s="463"/>
      <c r="F768" s="463"/>
      <c r="G768" s="463"/>
      <c r="H768" s="463"/>
      <c r="I768" s="463"/>
      <c r="J768" s="463"/>
      <c r="K768" s="463"/>
      <c r="L768" s="463"/>
      <c r="M768" s="463"/>
      <c r="N768" s="463"/>
      <c r="O768" s="463"/>
      <c r="P768" s="463"/>
      <c r="Q768" s="463"/>
      <c r="R768" s="463"/>
      <c r="S768" s="463"/>
      <c r="T768" s="463"/>
      <c r="U768" s="463"/>
      <c r="V768" s="463"/>
      <c r="W768" s="463"/>
      <c r="X768" s="463"/>
      <c r="Y768" s="463"/>
      <c r="Z768" s="463"/>
    </row>
    <row r="769" spans="1:26" ht="15.75" customHeight="1" x14ac:dyDescent="0.3">
      <c r="A769" s="463"/>
      <c r="B769" s="463"/>
      <c r="C769" s="463"/>
      <c r="D769" s="463"/>
      <c r="E769" s="463"/>
      <c r="F769" s="463"/>
      <c r="G769" s="463"/>
      <c r="H769" s="463"/>
      <c r="I769" s="463"/>
      <c r="J769" s="463"/>
      <c r="K769" s="463"/>
      <c r="L769" s="463"/>
      <c r="M769" s="463"/>
      <c r="N769" s="463"/>
      <c r="O769" s="463"/>
      <c r="P769" s="463"/>
      <c r="Q769" s="463"/>
      <c r="R769" s="463"/>
      <c r="S769" s="463"/>
      <c r="T769" s="463"/>
      <c r="U769" s="463"/>
      <c r="V769" s="463"/>
      <c r="W769" s="463"/>
      <c r="X769" s="463"/>
      <c r="Y769" s="463"/>
      <c r="Z769" s="463"/>
    </row>
    <row r="770" spans="1:26" ht="15.75" customHeight="1" x14ac:dyDescent="0.3">
      <c r="A770" s="463"/>
      <c r="B770" s="463"/>
      <c r="C770" s="463"/>
      <c r="D770" s="463"/>
      <c r="E770" s="463"/>
      <c r="F770" s="463"/>
      <c r="G770" s="463"/>
      <c r="H770" s="463"/>
      <c r="I770" s="463"/>
      <c r="J770" s="463"/>
      <c r="K770" s="463"/>
      <c r="L770" s="463"/>
      <c r="M770" s="463"/>
      <c r="N770" s="463"/>
      <c r="O770" s="463"/>
      <c r="P770" s="463"/>
      <c r="Q770" s="463"/>
      <c r="R770" s="463"/>
      <c r="S770" s="463"/>
      <c r="T770" s="463"/>
      <c r="U770" s="463"/>
      <c r="V770" s="463"/>
      <c r="W770" s="463"/>
      <c r="X770" s="463"/>
      <c r="Y770" s="463"/>
      <c r="Z770" s="463"/>
    </row>
    <row r="771" spans="1:26" ht="15.75" customHeight="1" x14ac:dyDescent="0.3">
      <c r="A771" s="463"/>
      <c r="B771" s="463"/>
      <c r="C771" s="463"/>
      <c r="D771" s="463"/>
      <c r="E771" s="463"/>
      <c r="F771" s="463"/>
      <c r="G771" s="463"/>
      <c r="H771" s="463"/>
      <c r="I771" s="463"/>
      <c r="J771" s="463"/>
      <c r="K771" s="463"/>
      <c r="L771" s="463"/>
      <c r="M771" s="463"/>
      <c r="N771" s="463"/>
      <c r="O771" s="463"/>
      <c r="P771" s="463"/>
      <c r="Q771" s="463"/>
      <c r="R771" s="463"/>
      <c r="S771" s="463"/>
      <c r="T771" s="463"/>
      <c r="U771" s="463"/>
      <c r="V771" s="463"/>
      <c r="W771" s="463"/>
      <c r="X771" s="463"/>
      <c r="Y771" s="463"/>
      <c r="Z771" s="463"/>
    </row>
    <row r="772" spans="1:26" ht="15.75" customHeight="1" x14ac:dyDescent="0.3">
      <c r="A772" s="463"/>
      <c r="B772" s="463"/>
      <c r="C772" s="463"/>
      <c r="D772" s="463"/>
      <c r="E772" s="463"/>
      <c r="F772" s="463"/>
      <c r="G772" s="463"/>
      <c r="H772" s="463"/>
      <c r="I772" s="463"/>
      <c r="J772" s="463"/>
      <c r="K772" s="463"/>
      <c r="L772" s="463"/>
      <c r="M772" s="463"/>
      <c r="N772" s="463"/>
      <c r="O772" s="463"/>
      <c r="P772" s="463"/>
      <c r="Q772" s="463"/>
      <c r="R772" s="463"/>
      <c r="S772" s="463"/>
      <c r="T772" s="463"/>
      <c r="U772" s="463"/>
      <c r="V772" s="463"/>
      <c r="W772" s="463"/>
      <c r="X772" s="463"/>
      <c r="Y772" s="463"/>
      <c r="Z772" s="463"/>
    </row>
    <row r="773" spans="1:26" ht="15.75" customHeight="1" x14ac:dyDescent="0.3">
      <c r="A773" s="463"/>
      <c r="B773" s="463"/>
      <c r="C773" s="463"/>
      <c r="D773" s="463"/>
      <c r="E773" s="463"/>
      <c r="F773" s="463"/>
      <c r="G773" s="463"/>
      <c r="H773" s="463"/>
      <c r="I773" s="463"/>
      <c r="J773" s="463"/>
      <c r="K773" s="463"/>
      <c r="L773" s="463"/>
      <c r="M773" s="463"/>
      <c r="N773" s="463"/>
      <c r="O773" s="463"/>
      <c r="P773" s="463"/>
      <c r="Q773" s="463"/>
      <c r="R773" s="463"/>
      <c r="S773" s="463"/>
      <c r="T773" s="463"/>
      <c r="U773" s="463"/>
      <c r="V773" s="463"/>
      <c r="W773" s="463"/>
      <c r="X773" s="463"/>
      <c r="Y773" s="463"/>
      <c r="Z773" s="463"/>
    </row>
    <row r="774" spans="1:26" ht="15.75" customHeight="1" x14ac:dyDescent="0.3">
      <c r="A774" s="463"/>
      <c r="B774" s="463"/>
      <c r="C774" s="463"/>
      <c r="D774" s="463"/>
      <c r="E774" s="463"/>
      <c r="F774" s="463"/>
      <c r="G774" s="463"/>
      <c r="H774" s="463"/>
      <c r="I774" s="463"/>
      <c r="J774" s="463"/>
      <c r="K774" s="463"/>
      <c r="L774" s="463"/>
      <c r="M774" s="463"/>
      <c r="N774" s="463"/>
      <c r="O774" s="463"/>
      <c r="P774" s="463"/>
      <c r="Q774" s="463"/>
      <c r="R774" s="463"/>
      <c r="S774" s="463"/>
      <c r="T774" s="463"/>
      <c r="U774" s="463"/>
      <c r="V774" s="463"/>
      <c r="W774" s="463"/>
      <c r="X774" s="463"/>
      <c r="Y774" s="463"/>
      <c r="Z774" s="463"/>
    </row>
    <row r="775" spans="1:26" ht="15.75" customHeight="1" x14ac:dyDescent="0.3">
      <c r="A775" s="463"/>
      <c r="B775" s="463"/>
      <c r="C775" s="463"/>
      <c r="D775" s="463"/>
      <c r="E775" s="463"/>
      <c r="F775" s="463"/>
      <c r="G775" s="463"/>
      <c r="H775" s="463"/>
      <c r="I775" s="463"/>
      <c r="J775" s="463"/>
      <c r="K775" s="463"/>
      <c r="L775" s="463"/>
      <c r="M775" s="463"/>
      <c r="N775" s="463"/>
      <c r="O775" s="463"/>
      <c r="P775" s="463"/>
      <c r="Q775" s="463"/>
      <c r="R775" s="463"/>
      <c r="S775" s="463"/>
      <c r="T775" s="463"/>
      <c r="U775" s="463"/>
      <c r="V775" s="463"/>
      <c r="W775" s="463"/>
      <c r="X775" s="463"/>
      <c r="Y775" s="463"/>
      <c r="Z775" s="463"/>
    </row>
    <row r="776" spans="1:26" ht="15.75" customHeight="1" x14ac:dyDescent="0.3">
      <c r="A776" s="463"/>
      <c r="B776" s="463"/>
      <c r="C776" s="463"/>
      <c r="D776" s="463"/>
      <c r="E776" s="463"/>
      <c r="F776" s="463"/>
      <c r="G776" s="463"/>
      <c r="H776" s="463"/>
      <c r="I776" s="463"/>
      <c r="J776" s="463"/>
      <c r="K776" s="463"/>
      <c r="L776" s="463"/>
      <c r="M776" s="463"/>
      <c r="N776" s="463"/>
      <c r="O776" s="463"/>
      <c r="P776" s="463"/>
      <c r="Q776" s="463"/>
      <c r="R776" s="463"/>
      <c r="S776" s="463"/>
      <c r="T776" s="463"/>
      <c r="U776" s="463"/>
      <c r="V776" s="463"/>
      <c r="W776" s="463"/>
      <c r="X776" s="463"/>
      <c r="Y776" s="463"/>
      <c r="Z776" s="463"/>
    </row>
    <row r="777" spans="1:26" ht="15.75" customHeight="1" x14ac:dyDescent="0.3">
      <c r="A777" s="463"/>
      <c r="B777" s="463"/>
      <c r="C777" s="463"/>
      <c r="D777" s="463"/>
      <c r="E777" s="463"/>
      <c r="F777" s="463"/>
      <c r="G777" s="463"/>
      <c r="H777" s="463"/>
      <c r="I777" s="463"/>
      <c r="J777" s="463"/>
      <c r="K777" s="463"/>
      <c r="L777" s="463"/>
      <c r="M777" s="463"/>
      <c r="N777" s="463"/>
      <c r="O777" s="463"/>
      <c r="P777" s="463"/>
      <c r="Q777" s="463"/>
      <c r="R777" s="463"/>
      <c r="S777" s="463"/>
      <c r="T777" s="463"/>
      <c r="U777" s="463"/>
      <c r="V777" s="463"/>
      <c r="W777" s="463"/>
      <c r="X777" s="463"/>
      <c r="Y777" s="463"/>
      <c r="Z777" s="463"/>
    </row>
    <row r="778" spans="1:26" ht="15.75" customHeight="1" x14ac:dyDescent="0.3">
      <c r="A778" s="463"/>
      <c r="B778" s="463"/>
      <c r="C778" s="463"/>
      <c r="D778" s="463"/>
      <c r="E778" s="463"/>
      <c r="F778" s="463"/>
      <c r="G778" s="463"/>
      <c r="H778" s="463"/>
      <c r="I778" s="463"/>
      <c r="J778" s="463"/>
      <c r="K778" s="463"/>
      <c r="L778" s="463"/>
      <c r="M778" s="463"/>
      <c r="N778" s="463"/>
      <c r="O778" s="463"/>
      <c r="P778" s="463"/>
      <c r="Q778" s="463"/>
      <c r="R778" s="463"/>
      <c r="S778" s="463"/>
      <c r="T778" s="463"/>
      <c r="U778" s="463"/>
      <c r="V778" s="463"/>
      <c r="W778" s="463"/>
      <c r="X778" s="463"/>
      <c r="Y778" s="463"/>
      <c r="Z778" s="463"/>
    </row>
    <row r="779" spans="1:26" ht="15.75" customHeight="1" x14ac:dyDescent="0.3">
      <c r="A779" s="463"/>
      <c r="B779" s="463"/>
      <c r="C779" s="463"/>
      <c r="D779" s="463"/>
      <c r="E779" s="463"/>
      <c r="F779" s="463"/>
      <c r="G779" s="463"/>
      <c r="H779" s="463"/>
      <c r="I779" s="463"/>
      <c r="J779" s="463"/>
      <c r="K779" s="463"/>
      <c r="L779" s="463"/>
      <c r="M779" s="463"/>
      <c r="N779" s="463"/>
      <c r="O779" s="463"/>
      <c r="P779" s="463"/>
      <c r="Q779" s="463"/>
      <c r="R779" s="463"/>
      <c r="S779" s="463"/>
      <c r="T779" s="463"/>
      <c r="U779" s="463"/>
      <c r="V779" s="463"/>
      <c r="W779" s="463"/>
      <c r="X779" s="463"/>
      <c r="Y779" s="463"/>
      <c r="Z779" s="463"/>
    </row>
    <row r="780" spans="1:26" ht="15.75" customHeight="1" x14ac:dyDescent="0.3">
      <c r="A780" s="463"/>
      <c r="B780" s="463"/>
      <c r="C780" s="463"/>
      <c r="D780" s="463"/>
      <c r="E780" s="463"/>
      <c r="F780" s="463"/>
      <c r="G780" s="463"/>
      <c r="H780" s="463"/>
      <c r="I780" s="463"/>
      <c r="J780" s="463"/>
      <c r="K780" s="463"/>
      <c r="L780" s="463"/>
      <c r="M780" s="463"/>
      <c r="N780" s="463"/>
      <c r="O780" s="463"/>
      <c r="P780" s="463"/>
      <c r="Q780" s="463"/>
      <c r="R780" s="463"/>
      <c r="S780" s="463"/>
      <c r="T780" s="463"/>
      <c r="U780" s="463"/>
      <c r="V780" s="463"/>
      <c r="W780" s="463"/>
      <c r="X780" s="463"/>
      <c r="Y780" s="463"/>
      <c r="Z780" s="463"/>
    </row>
    <row r="781" spans="1:26" ht="15.75" customHeight="1" x14ac:dyDescent="0.3">
      <c r="A781" s="463"/>
      <c r="B781" s="463"/>
      <c r="C781" s="463"/>
      <c r="D781" s="463"/>
      <c r="E781" s="463"/>
      <c r="F781" s="463"/>
      <c r="G781" s="463"/>
      <c r="H781" s="463"/>
      <c r="I781" s="463"/>
      <c r="J781" s="463"/>
      <c r="K781" s="463"/>
      <c r="L781" s="463"/>
      <c r="M781" s="463"/>
      <c r="N781" s="463"/>
      <c r="O781" s="463"/>
      <c r="P781" s="463"/>
      <c r="Q781" s="463"/>
      <c r="R781" s="463"/>
      <c r="S781" s="463"/>
      <c r="T781" s="463"/>
      <c r="U781" s="463"/>
      <c r="V781" s="463"/>
      <c r="W781" s="463"/>
      <c r="X781" s="463"/>
      <c r="Y781" s="463"/>
      <c r="Z781" s="463"/>
    </row>
    <row r="782" spans="1:26" ht="15.75" customHeight="1" x14ac:dyDescent="0.3">
      <c r="A782" s="463"/>
      <c r="B782" s="463"/>
      <c r="C782" s="463"/>
      <c r="D782" s="463"/>
      <c r="E782" s="463"/>
      <c r="F782" s="463"/>
      <c r="G782" s="463"/>
      <c r="H782" s="463"/>
      <c r="I782" s="463"/>
      <c r="J782" s="463"/>
      <c r="K782" s="463"/>
      <c r="L782" s="463"/>
      <c r="M782" s="463"/>
      <c r="N782" s="463"/>
      <c r="O782" s="463"/>
      <c r="P782" s="463"/>
      <c r="Q782" s="463"/>
      <c r="R782" s="463"/>
      <c r="S782" s="463"/>
      <c r="T782" s="463"/>
      <c r="U782" s="463"/>
      <c r="V782" s="463"/>
      <c r="W782" s="463"/>
      <c r="X782" s="463"/>
      <c r="Y782" s="463"/>
      <c r="Z782" s="463"/>
    </row>
    <row r="783" spans="1:26" ht="15.75" customHeight="1" x14ac:dyDescent="0.3">
      <c r="A783" s="463"/>
      <c r="B783" s="463"/>
      <c r="C783" s="463"/>
      <c r="D783" s="463"/>
      <c r="E783" s="463"/>
      <c r="F783" s="463"/>
      <c r="G783" s="463"/>
      <c r="H783" s="463"/>
      <c r="I783" s="463"/>
      <c r="J783" s="463"/>
      <c r="K783" s="463"/>
      <c r="L783" s="463"/>
      <c r="M783" s="463"/>
      <c r="N783" s="463"/>
      <c r="O783" s="463"/>
      <c r="P783" s="463"/>
      <c r="Q783" s="463"/>
      <c r="R783" s="463"/>
      <c r="S783" s="463"/>
      <c r="T783" s="463"/>
      <c r="U783" s="463"/>
      <c r="V783" s="463"/>
      <c r="W783" s="463"/>
      <c r="X783" s="463"/>
      <c r="Y783" s="463"/>
      <c r="Z783" s="463"/>
    </row>
    <row r="784" spans="1:26" ht="15.75" customHeight="1" x14ac:dyDescent="0.3">
      <c r="A784" s="463"/>
      <c r="B784" s="463"/>
      <c r="C784" s="463"/>
      <c r="D784" s="463"/>
      <c r="E784" s="463"/>
      <c r="F784" s="463"/>
      <c r="G784" s="463"/>
      <c r="H784" s="463"/>
      <c r="I784" s="463"/>
      <c r="J784" s="463"/>
      <c r="K784" s="463"/>
      <c r="L784" s="463"/>
      <c r="M784" s="463"/>
      <c r="N784" s="463"/>
      <c r="O784" s="463"/>
      <c r="P784" s="463"/>
      <c r="Q784" s="463"/>
      <c r="R784" s="463"/>
      <c r="S784" s="463"/>
      <c r="T784" s="463"/>
      <c r="U784" s="463"/>
      <c r="V784" s="463"/>
      <c r="W784" s="463"/>
      <c r="X784" s="463"/>
      <c r="Y784" s="463"/>
      <c r="Z784" s="463"/>
    </row>
    <row r="785" spans="1:26" ht="15.75" customHeight="1" x14ac:dyDescent="0.3">
      <c r="A785" s="463"/>
      <c r="B785" s="463"/>
      <c r="C785" s="463"/>
      <c r="D785" s="463"/>
      <c r="E785" s="463"/>
      <c r="F785" s="463"/>
      <c r="G785" s="463"/>
      <c r="H785" s="463"/>
      <c r="I785" s="463"/>
      <c r="J785" s="463"/>
      <c r="K785" s="463"/>
      <c r="L785" s="463"/>
      <c r="M785" s="463"/>
      <c r="N785" s="463"/>
      <c r="O785" s="463"/>
      <c r="P785" s="463"/>
      <c r="Q785" s="463"/>
      <c r="R785" s="463"/>
      <c r="S785" s="463"/>
      <c r="T785" s="463"/>
      <c r="U785" s="463"/>
      <c r="V785" s="463"/>
      <c r="W785" s="463"/>
      <c r="X785" s="463"/>
      <c r="Y785" s="463"/>
      <c r="Z785" s="463"/>
    </row>
    <row r="786" spans="1:26" ht="15.75" customHeight="1" x14ac:dyDescent="0.3">
      <c r="A786" s="463"/>
      <c r="B786" s="463"/>
      <c r="C786" s="463"/>
      <c r="D786" s="463"/>
      <c r="E786" s="463"/>
      <c r="F786" s="463"/>
      <c r="G786" s="463"/>
      <c r="H786" s="463"/>
      <c r="I786" s="463"/>
      <c r="J786" s="463"/>
      <c r="K786" s="463"/>
      <c r="L786" s="463"/>
      <c r="M786" s="463"/>
      <c r="N786" s="463"/>
      <c r="O786" s="463"/>
      <c r="P786" s="463"/>
      <c r="Q786" s="463"/>
      <c r="R786" s="463"/>
      <c r="S786" s="463"/>
      <c r="T786" s="463"/>
      <c r="U786" s="463"/>
      <c r="V786" s="463"/>
      <c r="W786" s="463"/>
      <c r="X786" s="463"/>
      <c r="Y786" s="463"/>
      <c r="Z786" s="463"/>
    </row>
    <row r="787" spans="1:26" ht="15.75" customHeight="1" x14ac:dyDescent="0.3">
      <c r="A787" s="463"/>
      <c r="B787" s="463"/>
      <c r="C787" s="463"/>
      <c r="D787" s="463"/>
      <c r="E787" s="463"/>
      <c r="F787" s="463"/>
      <c r="G787" s="463"/>
      <c r="H787" s="463"/>
      <c r="I787" s="463"/>
      <c r="J787" s="463"/>
      <c r="K787" s="463"/>
      <c r="L787" s="463"/>
      <c r="M787" s="463"/>
      <c r="N787" s="463"/>
      <c r="O787" s="463"/>
      <c r="P787" s="463"/>
      <c r="Q787" s="463"/>
      <c r="R787" s="463"/>
      <c r="S787" s="463"/>
      <c r="T787" s="463"/>
      <c r="U787" s="463"/>
      <c r="V787" s="463"/>
      <c r="W787" s="463"/>
      <c r="X787" s="463"/>
      <c r="Y787" s="463"/>
      <c r="Z787" s="463"/>
    </row>
    <row r="788" spans="1:26" ht="15.75" customHeight="1" x14ac:dyDescent="0.3">
      <c r="A788" s="463"/>
      <c r="B788" s="463"/>
      <c r="C788" s="463"/>
      <c r="D788" s="463"/>
      <c r="E788" s="463"/>
      <c r="F788" s="463"/>
      <c r="G788" s="463"/>
      <c r="H788" s="463"/>
      <c r="I788" s="463"/>
      <c r="J788" s="463"/>
      <c r="K788" s="463"/>
      <c r="L788" s="463"/>
      <c r="M788" s="463"/>
      <c r="N788" s="463"/>
      <c r="O788" s="463"/>
      <c r="P788" s="463"/>
      <c r="Q788" s="463"/>
      <c r="R788" s="463"/>
      <c r="S788" s="463"/>
      <c r="T788" s="463"/>
      <c r="U788" s="463"/>
      <c r="V788" s="463"/>
      <c r="W788" s="463"/>
      <c r="X788" s="463"/>
      <c r="Y788" s="463"/>
      <c r="Z788" s="463"/>
    </row>
    <row r="789" spans="1:26" ht="15.75" customHeight="1" x14ac:dyDescent="0.3">
      <c r="A789" s="463"/>
      <c r="B789" s="463"/>
      <c r="C789" s="463"/>
      <c r="D789" s="463"/>
      <c r="E789" s="463"/>
      <c r="F789" s="463"/>
      <c r="G789" s="463"/>
      <c r="H789" s="463"/>
      <c r="I789" s="463"/>
      <c r="J789" s="463"/>
      <c r="K789" s="463"/>
      <c r="L789" s="463"/>
      <c r="M789" s="463"/>
      <c r="N789" s="463"/>
      <c r="O789" s="463"/>
      <c r="P789" s="463"/>
      <c r="Q789" s="463"/>
      <c r="R789" s="463"/>
      <c r="S789" s="463"/>
      <c r="T789" s="463"/>
      <c r="U789" s="463"/>
      <c r="V789" s="463"/>
      <c r="W789" s="463"/>
      <c r="X789" s="463"/>
      <c r="Y789" s="463"/>
      <c r="Z789" s="463"/>
    </row>
    <row r="790" spans="1:26" ht="15.75" customHeight="1" x14ac:dyDescent="0.3">
      <c r="A790" s="463"/>
      <c r="B790" s="463"/>
      <c r="C790" s="463"/>
      <c r="D790" s="463"/>
      <c r="E790" s="463"/>
      <c r="F790" s="463"/>
      <c r="G790" s="463"/>
      <c r="H790" s="463"/>
      <c r="I790" s="463"/>
      <c r="J790" s="463"/>
      <c r="K790" s="463"/>
      <c r="L790" s="463"/>
      <c r="M790" s="463"/>
      <c r="N790" s="463"/>
      <c r="O790" s="463"/>
      <c r="P790" s="463"/>
      <c r="Q790" s="463"/>
      <c r="R790" s="463"/>
      <c r="S790" s="463"/>
      <c r="T790" s="463"/>
      <c r="U790" s="463"/>
      <c r="V790" s="463"/>
      <c r="W790" s="463"/>
      <c r="X790" s="463"/>
      <c r="Y790" s="463"/>
      <c r="Z790" s="463"/>
    </row>
    <row r="791" spans="1:26" ht="15.75" customHeight="1" x14ac:dyDescent="0.3">
      <c r="A791" s="463"/>
      <c r="B791" s="463"/>
      <c r="C791" s="463"/>
      <c r="D791" s="463"/>
      <c r="E791" s="463"/>
      <c r="F791" s="463"/>
      <c r="G791" s="463"/>
      <c r="H791" s="463"/>
      <c r="I791" s="463"/>
      <c r="J791" s="463"/>
      <c r="K791" s="463"/>
      <c r="L791" s="463"/>
      <c r="M791" s="463"/>
      <c r="N791" s="463"/>
      <c r="O791" s="463"/>
      <c r="P791" s="463"/>
      <c r="Q791" s="463"/>
      <c r="R791" s="463"/>
      <c r="S791" s="463"/>
      <c r="T791" s="463"/>
      <c r="U791" s="463"/>
      <c r="V791" s="463"/>
      <c r="W791" s="463"/>
      <c r="X791" s="463"/>
      <c r="Y791" s="463"/>
      <c r="Z791" s="463"/>
    </row>
    <row r="792" spans="1:26" ht="15.75" customHeight="1" x14ac:dyDescent="0.3">
      <c r="A792" s="463"/>
      <c r="B792" s="463"/>
      <c r="C792" s="463"/>
      <c r="D792" s="463"/>
      <c r="E792" s="463"/>
      <c r="F792" s="463"/>
      <c r="G792" s="463"/>
      <c r="H792" s="463"/>
      <c r="I792" s="463"/>
      <c r="J792" s="463"/>
      <c r="K792" s="463"/>
      <c r="L792" s="463"/>
      <c r="M792" s="463"/>
      <c r="N792" s="463"/>
      <c r="O792" s="463"/>
      <c r="P792" s="463"/>
      <c r="Q792" s="463"/>
      <c r="R792" s="463"/>
      <c r="S792" s="463"/>
      <c r="T792" s="463"/>
      <c r="U792" s="463"/>
      <c r="V792" s="463"/>
      <c r="W792" s="463"/>
      <c r="X792" s="463"/>
      <c r="Y792" s="463"/>
      <c r="Z792" s="463"/>
    </row>
    <row r="793" spans="1:26" ht="15.75" customHeight="1" x14ac:dyDescent="0.3">
      <c r="A793" s="463"/>
      <c r="B793" s="463"/>
      <c r="C793" s="463"/>
      <c r="D793" s="463"/>
      <c r="E793" s="463"/>
      <c r="F793" s="463"/>
      <c r="G793" s="463"/>
      <c r="H793" s="463"/>
      <c r="I793" s="463"/>
      <c r="J793" s="463"/>
      <c r="K793" s="463"/>
      <c r="L793" s="463"/>
      <c r="M793" s="463"/>
      <c r="N793" s="463"/>
      <c r="O793" s="463"/>
      <c r="P793" s="463"/>
      <c r="Q793" s="463"/>
      <c r="R793" s="463"/>
      <c r="S793" s="463"/>
      <c r="T793" s="463"/>
      <c r="U793" s="463"/>
      <c r="V793" s="463"/>
      <c r="W793" s="463"/>
      <c r="X793" s="463"/>
      <c r="Y793" s="463"/>
      <c r="Z793" s="463"/>
    </row>
    <row r="794" spans="1:26" ht="15.75" customHeight="1" x14ac:dyDescent="0.3">
      <c r="A794" s="463"/>
      <c r="B794" s="463"/>
      <c r="C794" s="463"/>
      <c r="D794" s="463"/>
      <c r="E794" s="463"/>
      <c r="F794" s="463"/>
      <c r="G794" s="463"/>
      <c r="H794" s="463"/>
      <c r="I794" s="463"/>
      <c r="J794" s="463"/>
      <c r="K794" s="463"/>
      <c r="L794" s="463"/>
      <c r="M794" s="463"/>
      <c r="N794" s="463"/>
      <c r="O794" s="463"/>
      <c r="P794" s="463"/>
      <c r="Q794" s="463"/>
      <c r="R794" s="463"/>
      <c r="S794" s="463"/>
      <c r="T794" s="463"/>
      <c r="U794" s="463"/>
      <c r="V794" s="463"/>
      <c r="W794" s="463"/>
      <c r="X794" s="463"/>
      <c r="Y794" s="463"/>
      <c r="Z794" s="463"/>
    </row>
    <row r="795" spans="1:26" ht="15.75" customHeight="1" x14ac:dyDescent="0.3">
      <c r="A795" s="463"/>
      <c r="B795" s="463"/>
      <c r="C795" s="463"/>
      <c r="D795" s="463"/>
      <c r="E795" s="463"/>
      <c r="F795" s="463"/>
      <c r="G795" s="463"/>
      <c r="H795" s="463"/>
      <c r="I795" s="463"/>
      <c r="J795" s="463"/>
      <c r="K795" s="463"/>
      <c r="L795" s="463"/>
      <c r="M795" s="463"/>
      <c r="N795" s="463"/>
      <c r="O795" s="463"/>
      <c r="P795" s="463"/>
      <c r="Q795" s="463"/>
      <c r="R795" s="463"/>
      <c r="S795" s="463"/>
      <c r="T795" s="463"/>
      <c r="U795" s="463"/>
      <c r="V795" s="463"/>
      <c r="W795" s="463"/>
      <c r="X795" s="463"/>
      <c r="Y795" s="463"/>
      <c r="Z795" s="463"/>
    </row>
    <row r="796" spans="1:26" ht="15.75" customHeight="1" x14ac:dyDescent="0.3">
      <c r="A796" s="463"/>
      <c r="B796" s="463"/>
      <c r="C796" s="463"/>
      <c r="D796" s="463"/>
      <c r="E796" s="463"/>
      <c r="F796" s="463"/>
      <c r="G796" s="463"/>
      <c r="H796" s="463"/>
      <c r="I796" s="463"/>
      <c r="J796" s="463"/>
      <c r="K796" s="463"/>
      <c r="L796" s="463"/>
      <c r="M796" s="463"/>
      <c r="N796" s="463"/>
      <c r="O796" s="463"/>
      <c r="P796" s="463"/>
      <c r="Q796" s="463"/>
      <c r="R796" s="463"/>
      <c r="S796" s="463"/>
      <c r="T796" s="463"/>
      <c r="U796" s="463"/>
      <c r="V796" s="463"/>
      <c r="W796" s="463"/>
      <c r="X796" s="463"/>
      <c r="Y796" s="463"/>
      <c r="Z796" s="463"/>
    </row>
    <row r="797" spans="1:26" ht="15.75" customHeight="1" x14ac:dyDescent="0.3">
      <c r="A797" s="463"/>
      <c r="B797" s="463"/>
      <c r="C797" s="463"/>
      <c r="D797" s="463"/>
      <c r="E797" s="463"/>
      <c r="F797" s="463"/>
      <c r="G797" s="463"/>
      <c r="H797" s="463"/>
      <c r="I797" s="463"/>
      <c r="J797" s="463"/>
      <c r="K797" s="463"/>
      <c r="L797" s="463"/>
      <c r="M797" s="463"/>
      <c r="N797" s="463"/>
      <c r="O797" s="463"/>
      <c r="P797" s="463"/>
      <c r="Q797" s="463"/>
      <c r="R797" s="463"/>
      <c r="S797" s="463"/>
      <c r="T797" s="463"/>
      <c r="U797" s="463"/>
      <c r="V797" s="463"/>
      <c r="W797" s="463"/>
      <c r="X797" s="463"/>
      <c r="Y797" s="463"/>
      <c r="Z797" s="463"/>
    </row>
    <row r="798" spans="1:26" ht="15.75" customHeight="1" x14ac:dyDescent="0.3">
      <c r="A798" s="463"/>
      <c r="B798" s="463"/>
      <c r="C798" s="463"/>
      <c r="D798" s="463"/>
      <c r="E798" s="463"/>
      <c r="F798" s="463"/>
      <c r="G798" s="463"/>
      <c r="H798" s="463"/>
      <c r="I798" s="463"/>
      <c r="J798" s="463"/>
      <c r="K798" s="463"/>
      <c r="L798" s="463"/>
      <c r="M798" s="463"/>
      <c r="N798" s="463"/>
      <c r="O798" s="463"/>
      <c r="P798" s="463"/>
      <c r="Q798" s="463"/>
      <c r="R798" s="463"/>
      <c r="S798" s="463"/>
      <c r="T798" s="463"/>
      <c r="U798" s="463"/>
      <c r="V798" s="463"/>
      <c r="W798" s="463"/>
      <c r="X798" s="463"/>
      <c r="Y798" s="463"/>
      <c r="Z798" s="463"/>
    </row>
    <row r="799" spans="1:26" ht="15.75" customHeight="1" x14ac:dyDescent="0.3">
      <c r="A799" s="463"/>
      <c r="B799" s="463"/>
      <c r="C799" s="463"/>
      <c r="D799" s="463"/>
      <c r="E799" s="463"/>
      <c r="F799" s="463"/>
      <c r="G799" s="463"/>
      <c r="H799" s="463"/>
      <c r="I799" s="463"/>
      <c r="J799" s="463"/>
      <c r="K799" s="463"/>
      <c r="L799" s="463"/>
      <c r="M799" s="463"/>
      <c r="N799" s="463"/>
      <c r="O799" s="463"/>
      <c r="P799" s="463"/>
      <c r="Q799" s="463"/>
      <c r="R799" s="463"/>
      <c r="S799" s="463"/>
      <c r="T799" s="463"/>
      <c r="U799" s="463"/>
      <c r="V799" s="463"/>
      <c r="W799" s="463"/>
      <c r="X799" s="463"/>
      <c r="Y799" s="463"/>
      <c r="Z799" s="463"/>
    </row>
    <row r="800" spans="1:26" ht="15.75" customHeight="1" x14ac:dyDescent="0.3">
      <c r="A800" s="463"/>
      <c r="B800" s="463"/>
      <c r="C800" s="463"/>
      <c r="D800" s="463"/>
      <c r="E800" s="463"/>
      <c r="F800" s="463"/>
      <c r="G800" s="463"/>
      <c r="H800" s="463"/>
      <c r="I800" s="463"/>
      <c r="J800" s="463"/>
      <c r="K800" s="463"/>
      <c r="L800" s="463"/>
      <c r="M800" s="463"/>
      <c r="N800" s="463"/>
      <c r="O800" s="463"/>
      <c r="P800" s="463"/>
      <c r="Q800" s="463"/>
      <c r="R800" s="463"/>
      <c r="S800" s="463"/>
      <c r="T800" s="463"/>
      <c r="U800" s="463"/>
      <c r="V800" s="463"/>
      <c r="W800" s="463"/>
      <c r="X800" s="463"/>
      <c r="Y800" s="463"/>
      <c r="Z800" s="463"/>
    </row>
    <row r="801" spans="1:26" ht="15.75" customHeight="1" x14ac:dyDescent="0.3">
      <c r="A801" s="463"/>
      <c r="B801" s="463"/>
      <c r="C801" s="463"/>
      <c r="D801" s="463"/>
      <c r="E801" s="463"/>
      <c r="F801" s="463"/>
      <c r="G801" s="463"/>
      <c r="H801" s="463"/>
      <c r="I801" s="463"/>
      <c r="J801" s="463"/>
      <c r="K801" s="463"/>
      <c r="L801" s="463"/>
      <c r="M801" s="463"/>
      <c r="N801" s="463"/>
      <c r="O801" s="463"/>
      <c r="P801" s="463"/>
      <c r="Q801" s="463"/>
      <c r="R801" s="463"/>
      <c r="S801" s="463"/>
      <c r="T801" s="463"/>
      <c r="U801" s="463"/>
      <c r="V801" s="463"/>
      <c r="W801" s="463"/>
      <c r="X801" s="463"/>
      <c r="Y801" s="463"/>
      <c r="Z801" s="463"/>
    </row>
    <row r="802" spans="1:26" ht="15.75" customHeight="1" x14ac:dyDescent="0.3">
      <c r="A802" s="463"/>
      <c r="B802" s="463"/>
      <c r="C802" s="463"/>
      <c r="D802" s="463"/>
      <c r="E802" s="463"/>
      <c r="F802" s="463"/>
      <c r="G802" s="463"/>
      <c r="H802" s="463"/>
      <c r="I802" s="463"/>
      <c r="J802" s="463"/>
      <c r="K802" s="463"/>
      <c r="L802" s="463"/>
      <c r="M802" s="463"/>
      <c r="N802" s="463"/>
      <c r="O802" s="463"/>
      <c r="P802" s="463"/>
      <c r="Q802" s="463"/>
      <c r="R802" s="463"/>
      <c r="S802" s="463"/>
      <c r="T802" s="463"/>
      <c r="U802" s="463"/>
      <c r="V802" s="463"/>
      <c r="W802" s="463"/>
      <c r="X802" s="463"/>
      <c r="Y802" s="463"/>
      <c r="Z802" s="463"/>
    </row>
    <row r="803" spans="1:26" ht="15.75" customHeight="1" x14ac:dyDescent="0.3">
      <c r="A803" s="463"/>
      <c r="B803" s="463"/>
      <c r="C803" s="463"/>
      <c r="D803" s="463"/>
      <c r="E803" s="463"/>
      <c r="F803" s="463"/>
      <c r="G803" s="463"/>
      <c r="H803" s="463"/>
      <c r="I803" s="463"/>
      <c r="J803" s="463"/>
      <c r="K803" s="463"/>
      <c r="L803" s="463"/>
      <c r="M803" s="463"/>
      <c r="N803" s="463"/>
      <c r="O803" s="463"/>
      <c r="P803" s="463"/>
      <c r="Q803" s="463"/>
      <c r="R803" s="463"/>
      <c r="S803" s="463"/>
      <c r="T803" s="463"/>
      <c r="U803" s="463"/>
      <c r="V803" s="463"/>
      <c r="W803" s="463"/>
      <c r="X803" s="463"/>
      <c r="Y803" s="463"/>
      <c r="Z803" s="463"/>
    </row>
    <row r="804" spans="1:26" ht="15.75" customHeight="1" x14ac:dyDescent="0.3">
      <c r="A804" s="463"/>
      <c r="B804" s="463"/>
      <c r="C804" s="463"/>
      <c r="D804" s="463"/>
      <c r="E804" s="463"/>
      <c r="F804" s="463"/>
      <c r="G804" s="463"/>
      <c r="H804" s="463"/>
      <c r="I804" s="463"/>
      <c r="J804" s="463"/>
      <c r="K804" s="463"/>
      <c r="L804" s="463"/>
      <c r="M804" s="463"/>
      <c r="N804" s="463"/>
      <c r="O804" s="463"/>
      <c r="P804" s="463"/>
      <c r="Q804" s="463"/>
      <c r="R804" s="463"/>
      <c r="S804" s="463"/>
      <c r="T804" s="463"/>
      <c r="U804" s="463"/>
      <c r="V804" s="463"/>
      <c r="W804" s="463"/>
      <c r="X804" s="463"/>
      <c r="Y804" s="463"/>
      <c r="Z804" s="463"/>
    </row>
    <row r="805" spans="1:26" ht="15.75" customHeight="1" x14ac:dyDescent="0.3">
      <c r="A805" s="463"/>
      <c r="B805" s="463"/>
      <c r="C805" s="463"/>
      <c r="D805" s="463"/>
      <c r="E805" s="463"/>
      <c r="F805" s="463"/>
      <c r="G805" s="463"/>
      <c r="H805" s="463"/>
      <c r="I805" s="463"/>
      <c r="J805" s="463"/>
      <c r="K805" s="463"/>
      <c r="L805" s="463"/>
      <c r="M805" s="463"/>
      <c r="N805" s="463"/>
      <c r="O805" s="463"/>
      <c r="P805" s="463"/>
      <c r="Q805" s="463"/>
      <c r="R805" s="463"/>
      <c r="S805" s="463"/>
      <c r="T805" s="463"/>
      <c r="U805" s="463"/>
      <c r="V805" s="463"/>
      <c r="W805" s="463"/>
      <c r="X805" s="463"/>
      <c r="Y805" s="463"/>
      <c r="Z805" s="463"/>
    </row>
    <row r="806" spans="1:26" ht="15.75" customHeight="1" x14ac:dyDescent="0.3">
      <c r="A806" s="463"/>
      <c r="B806" s="463"/>
      <c r="C806" s="463"/>
      <c r="D806" s="463"/>
      <c r="E806" s="463"/>
      <c r="F806" s="463"/>
      <c r="G806" s="463"/>
      <c r="H806" s="463"/>
      <c r="I806" s="463"/>
      <c r="J806" s="463"/>
      <c r="K806" s="463"/>
      <c r="L806" s="463"/>
      <c r="M806" s="463"/>
      <c r="N806" s="463"/>
      <c r="O806" s="463"/>
      <c r="P806" s="463"/>
      <c r="Q806" s="463"/>
      <c r="R806" s="463"/>
      <c r="S806" s="463"/>
      <c r="T806" s="463"/>
      <c r="U806" s="463"/>
      <c r="V806" s="463"/>
      <c r="W806" s="463"/>
      <c r="X806" s="463"/>
      <c r="Y806" s="463"/>
      <c r="Z806" s="463"/>
    </row>
    <row r="807" spans="1:26" ht="15.75" customHeight="1" x14ac:dyDescent="0.3">
      <c r="A807" s="463"/>
      <c r="B807" s="463"/>
      <c r="C807" s="463"/>
      <c r="D807" s="463"/>
      <c r="E807" s="463"/>
      <c r="F807" s="463"/>
      <c r="G807" s="463"/>
      <c r="H807" s="463"/>
      <c r="I807" s="463"/>
      <c r="J807" s="463"/>
      <c r="K807" s="463"/>
      <c r="L807" s="463"/>
      <c r="M807" s="463"/>
      <c r="N807" s="463"/>
      <c r="O807" s="463"/>
      <c r="P807" s="463"/>
      <c r="Q807" s="463"/>
      <c r="R807" s="463"/>
      <c r="S807" s="463"/>
      <c r="T807" s="463"/>
      <c r="U807" s="463"/>
      <c r="V807" s="463"/>
      <c r="W807" s="463"/>
      <c r="X807" s="463"/>
      <c r="Y807" s="463"/>
      <c r="Z807" s="463"/>
    </row>
    <row r="808" spans="1:26" ht="15.75" customHeight="1" x14ac:dyDescent="0.3">
      <c r="A808" s="463"/>
      <c r="B808" s="463"/>
      <c r="C808" s="463"/>
      <c r="D808" s="463"/>
      <c r="E808" s="463"/>
      <c r="F808" s="463"/>
      <c r="G808" s="463"/>
      <c r="H808" s="463"/>
      <c r="I808" s="463"/>
      <c r="J808" s="463"/>
      <c r="K808" s="463"/>
      <c r="L808" s="463"/>
      <c r="M808" s="463"/>
      <c r="N808" s="463"/>
      <c r="O808" s="463"/>
      <c r="P808" s="463"/>
      <c r="Q808" s="463"/>
      <c r="R808" s="463"/>
      <c r="S808" s="463"/>
      <c r="T808" s="463"/>
      <c r="U808" s="463"/>
      <c r="V808" s="463"/>
      <c r="W808" s="463"/>
      <c r="X808" s="463"/>
      <c r="Y808" s="463"/>
      <c r="Z808" s="463"/>
    </row>
    <row r="809" spans="1:26" ht="15.75" customHeight="1" x14ac:dyDescent="0.3">
      <c r="A809" s="463"/>
      <c r="B809" s="463"/>
      <c r="C809" s="463"/>
      <c r="D809" s="463"/>
      <c r="E809" s="463"/>
      <c r="F809" s="463"/>
      <c r="G809" s="463"/>
      <c r="H809" s="463"/>
      <c r="I809" s="463"/>
      <c r="J809" s="463"/>
      <c r="K809" s="463"/>
      <c r="L809" s="463"/>
      <c r="M809" s="463"/>
      <c r="N809" s="463"/>
      <c r="O809" s="463"/>
      <c r="P809" s="463"/>
      <c r="Q809" s="463"/>
      <c r="R809" s="463"/>
      <c r="S809" s="463"/>
      <c r="T809" s="463"/>
      <c r="U809" s="463"/>
      <c r="V809" s="463"/>
      <c r="W809" s="463"/>
      <c r="X809" s="463"/>
      <c r="Y809" s="463"/>
      <c r="Z809" s="463"/>
    </row>
    <row r="810" spans="1:26" ht="15.75" customHeight="1" x14ac:dyDescent="0.3">
      <c r="A810" s="463"/>
      <c r="B810" s="463"/>
      <c r="C810" s="463"/>
      <c r="D810" s="463"/>
      <c r="E810" s="463"/>
      <c r="F810" s="463"/>
      <c r="G810" s="463"/>
      <c r="H810" s="463"/>
      <c r="I810" s="463"/>
      <c r="J810" s="463"/>
      <c r="K810" s="463"/>
      <c r="L810" s="463"/>
      <c r="M810" s="463"/>
      <c r="N810" s="463"/>
      <c r="O810" s="463"/>
      <c r="P810" s="463"/>
      <c r="Q810" s="463"/>
      <c r="R810" s="463"/>
      <c r="S810" s="463"/>
      <c r="T810" s="463"/>
      <c r="U810" s="463"/>
      <c r="V810" s="463"/>
      <c r="W810" s="463"/>
      <c r="X810" s="463"/>
      <c r="Y810" s="463"/>
      <c r="Z810" s="463"/>
    </row>
    <row r="811" spans="1:26" ht="15.75" customHeight="1" x14ac:dyDescent="0.3">
      <c r="A811" s="463"/>
      <c r="B811" s="463"/>
      <c r="C811" s="463"/>
      <c r="D811" s="463"/>
      <c r="E811" s="463"/>
      <c r="F811" s="463"/>
      <c r="G811" s="463"/>
      <c r="H811" s="463"/>
      <c r="I811" s="463"/>
      <c r="J811" s="463"/>
      <c r="K811" s="463"/>
      <c r="L811" s="463"/>
      <c r="M811" s="463"/>
      <c r="N811" s="463"/>
      <c r="O811" s="463"/>
      <c r="P811" s="463"/>
      <c r="Q811" s="463"/>
      <c r="R811" s="463"/>
      <c r="S811" s="463"/>
      <c r="T811" s="463"/>
      <c r="U811" s="463"/>
      <c r="V811" s="463"/>
      <c r="W811" s="463"/>
      <c r="X811" s="463"/>
      <c r="Y811" s="463"/>
      <c r="Z811" s="463"/>
    </row>
    <row r="812" spans="1:26" ht="15.75" customHeight="1" x14ac:dyDescent="0.3">
      <c r="A812" s="463"/>
      <c r="B812" s="463"/>
      <c r="C812" s="463"/>
      <c r="D812" s="463"/>
      <c r="E812" s="463"/>
      <c r="F812" s="463"/>
      <c r="G812" s="463"/>
      <c r="H812" s="463"/>
      <c r="I812" s="463"/>
      <c r="J812" s="463"/>
      <c r="K812" s="463"/>
      <c r="L812" s="463"/>
      <c r="M812" s="463"/>
      <c r="N812" s="463"/>
      <c r="O812" s="463"/>
      <c r="P812" s="463"/>
      <c r="Q812" s="463"/>
      <c r="R812" s="463"/>
      <c r="S812" s="463"/>
      <c r="T812" s="463"/>
      <c r="U812" s="463"/>
      <c r="V812" s="463"/>
      <c r="W812" s="463"/>
      <c r="X812" s="463"/>
      <c r="Y812" s="463"/>
      <c r="Z812" s="463"/>
    </row>
    <row r="813" spans="1:26" ht="15.75" customHeight="1" x14ac:dyDescent="0.3">
      <c r="A813" s="463"/>
      <c r="B813" s="463"/>
      <c r="C813" s="463"/>
      <c r="D813" s="463"/>
      <c r="E813" s="463"/>
      <c r="F813" s="463"/>
      <c r="G813" s="463"/>
      <c r="H813" s="463"/>
      <c r="I813" s="463"/>
      <c r="J813" s="463"/>
      <c r="K813" s="463"/>
      <c r="L813" s="463"/>
      <c r="M813" s="463"/>
      <c r="N813" s="463"/>
      <c r="O813" s="463"/>
      <c r="P813" s="463"/>
      <c r="Q813" s="463"/>
      <c r="R813" s="463"/>
      <c r="S813" s="463"/>
      <c r="T813" s="463"/>
      <c r="U813" s="463"/>
      <c r="V813" s="463"/>
      <c r="W813" s="463"/>
      <c r="X813" s="463"/>
      <c r="Y813" s="463"/>
      <c r="Z813" s="463"/>
    </row>
    <row r="814" spans="1:26" ht="15.75" customHeight="1" x14ac:dyDescent="0.3">
      <c r="A814" s="463"/>
      <c r="B814" s="463"/>
      <c r="C814" s="463"/>
      <c r="D814" s="463"/>
      <c r="E814" s="463"/>
      <c r="F814" s="463"/>
      <c r="G814" s="463"/>
      <c r="H814" s="463"/>
      <c r="I814" s="463"/>
      <c r="J814" s="463"/>
      <c r="K814" s="463"/>
      <c r="L814" s="463"/>
      <c r="M814" s="463"/>
      <c r="N814" s="463"/>
      <c r="O814" s="463"/>
      <c r="P814" s="463"/>
      <c r="Q814" s="463"/>
      <c r="R814" s="463"/>
      <c r="S814" s="463"/>
      <c r="T814" s="463"/>
      <c r="U814" s="463"/>
      <c r="V814" s="463"/>
      <c r="W814" s="463"/>
      <c r="X814" s="463"/>
      <c r="Y814" s="463"/>
      <c r="Z814" s="463"/>
    </row>
    <row r="815" spans="1:26" ht="15.75" customHeight="1" x14ac:dyDescent="0.3">
      <c r="A815" s="463"/>
      <c r="B815" s="463"/>
      <c r="C815" s="463"/>
      <c r="D815" s="463"/>
      <c r="E815" s="463"/>
      <c r="F815" s="463"/>
      <c r="G815" s="463"/>
      <c r="H815" s="463"/>
      <c r="I815" s="463"/>
      <c r="J815" s="463"/>
      <c r="K815" s="463"/>
      <c r="L815" s="463"/>
      <c r="M815" s="463"/>
      <c r="N815" s="463"/>
      <c r="O815" s="463"/>
      <c r="P815" s="463"/>
      <c r="Q815" s="463"/>
      <c r="R815" s="463"/>
      <c r="S815" s="463"/>
      <c r="T815" s="463"/>
      <c r="U815" s="463"/>
      <c r="V815" s="463"/>
      <c r="W815" s="463"/>
      <c r="X815" s="463"/>
      <c r="Y815" s="463"/>
      <c r="Z815" s="463"/>
    </row>
    <row r="816" spans="1:26" ht="15.75" customHeight="1" x14ac:dyDescent="0.3">
      <c r="A816" s="463"/>
      <c r="B816" s="463"/>
      <c r="C816" s="463"/>
      <c r="D816" s="463"/>
      <c r="E816" s="463"/>
      <c r="F816" s="463"/>
      <c r="G816" s="463"/>
      <c r="H816" s="463"/>
      <c r="I816" s="463"/>
      <c r="J816" s="463"/>
      <c r="K816" s="463"/>
      <c r="L816" s="463"/>
      <c r="M816" s="463"/>
      <c r="N816" s="463"/>
      <c r="O816" s="463"/>
      <c r="P816" s="463"/>
      <c r="Q816" s="463"/>
      <c r="R816" s="463"/>
      <c r="S816" s="463"/>
      <c r="T816" s="463"/>
      <c r="U816" s="463"/>
      <c r="V816" s="463"/>
      <c r="W816" s="463"/>
      <c r="X816" s="463"/>
      <c r="Y816" s="463"/>
      <c r="Z816" s="463"/>
    </row>
    <row r="817" spans="1:26" ht="15.75" customHeight="1" x14ac:dyDescent="0.3">
      <c r="A817" s="463"/>
      <c r="B817" s="463"/>
      <c r="C817" s="463"/>
      <c r="D817" s="463"/>
      <c r="E817" s="463"/>
      <c r="F817" s="463"/>
      <c r="G817" s="463"/>
      <c r="H817" s="463"/>
      <c r="I817" s="463"/>
      <c r="J817" s="463"/>
      <c r="K817" s="463"/>
      <c r="L817" s="463"/>
      <c r="M817" s="463"/>
      <c r="N817" s="463"/>
      <c r="O817" s="463"/>
      <c r="P817" s="463"/>
      <c r="Q817" s="463"/>
      <c r="R817" s="463"/>
      <c r="S817" s="463"/>
      <c r="T817" s="463"/>
      <c r="U817" s="463"/>
      <c r="V817" s="463"/>
      <c r="W817" s="463"/>
      <c r="X817" s="463"/>
      <c r="Y817" s="463"/>
      <c r="Z817" s="463"/>
    </row>
    <row r="818" spans="1:26" ht="15.75" customHeight="1" x14ac:dyDescent="0.3">
      <c r="A818" s="463"/>
      <c r="B818" s="463"/>
      <c r="C818" s="463"/>
      <c r="D818" s="463"/>
      <c r="E818" s="463"/>
      <c r="F818" s="463"/>
      <c r="G818" s="463"/>
      <c r="H818" s="463"/>
      <c r="I818" s="463"/>
      <c r="J818" s="463"/>
      <c r="K818" s="463"/>
      <c r="L818" s="463"/>
      <c r="M818" s="463"/>
      <c r="N818" s="463"/>
      <c r="O818" s="463"/>
      <c r="P818" s="463"/>
      <c r="Q818" s="463"/>
      <c r="R818" s="463"/>
      <c r="S818" s="463"/>
      <c r="T818" s="463"/>
      <c r="U818" s="463"/>
      <c r="V818" s="463"/>
      <c r="W818" s="463"/>
      <c r="X818" s="463"/>
      <c r="Y818" s="463"/>
      <c r="Z818" s="463"/>
    </row>
    <row r="819" spans="1:26" ht="15.75" customHeight="1" x14ac:dyDescent="0.3">
      <c r="A819" s="463"/>
      <c r="B819" s="463"/>
      <c r="C819" s="463"/>
      <c r="D819" s="463"/>
      <c r="E819" s="463"/>
      <c r="F819" s="463"/>
      <c r="G819" s="463"/>
      <c r="H819" s="463"/>
      <c r="I819" s="463"/>
      <c r="J819" s="463"/>
      <c r="K819" s="463"/>
      <c r="L819" s="463"/>
      <c r="M819" s="463"/>
      <c r="N819" s="463"/>
      <c r="O819" s="463"/>
      <c r="P819" s="463"/>
      <c r="Q819" s="463"/>
      <c r="R819" s="463"/>
      <c r="S819" s="463"/>
      <c r="T819" s="463"/>
      <c r="U819" s="463"/>
      <c r="V819" s="463"/>
      <c r="W819" s="463"/>
      <c r="X819" s="463"/>
      <c r="Y819" s="463"/>
      <c r="Z819" s="463"/>
    </row>
    <row r="820" spans="1:26" ht="15.75" customHeight="1" x14ac:dyDescent="0.3">
      <c r="A820" s="463"/>
      <c r="B820" s="463"/>
      <c r="C820" s="463"/>
      <c r="D820" s="463"/>
      <c r="E820" s="463"/>
      <c r="F820" s="463"/>
      <c r="G820" s="463"/>
      <c r="H820" s="463"/>
      <c r="I820" s="463"/>
      <c r="J820" s="463"/>
      <c r="K820" s="463"/>
      <c r="L820" s="463"/>
      <c r="M820" s="463"/>
      <c r="N820" s="463"/>
      <c r="O820" s="463"/>
      <c r="P820" s="463"/>
      <c r="Q820" s="463"/>
      <c r="R820" s="463"/>
      <c r="S820" s="463"/>
      <c r="T820" s="463"/>
      <c r="U820" s="463"/>
      <c r="V820" s="463"/>
      <c r="W820" s="463"/>
      <c r="X820" s="463"/>
      <c r="Y820" s="463"/>
      <c r="Z820" s="463"/>
    </row>
    <row r="821" spans="1:26" ht="15.75" customHeight="1" x14ac:dyDescent="0.3">
      <c r="A821" s="463"/>
      <c r="B821" s="463"/>
      <c r="C821" s="463"/>
      <c r="D821" s="463"/>
      <c r="E821" s="463"/>
      <c r="F821" s="463"/>
      <c r="G821" s="463"/>
      <c r="H821" s="463"/>
      <c r="I821" s="463"/>
      <c r="J821" s="463"/>
      <c r="K821" s="463"/>
      <c r="L821" s="463"/>
      <c r="M821" s="463"/>
      <c r="N821" s="463"/>
      <c r="O821" s="463"/>
      <c r="P821" s="463"/>
      <c r="Q821" s="463"/>
      <c r="R821" s="463"/>
      <c r="S821" s="463"/>
      <c r="T821" s="463"/>
      <c r="U821" s="463"/>
      <c r="V821" s="463"/>
      <c r="W821" s="463"/>
      <c r="X821" s="463"/>
      <c r="Y821" s="463"/>
      <c r="Z821" s="463"/>
    </row>
    <row r="822" spans="1:26" ht="15.75" customHeight="1" x14ac:dyDescent="0.3">
      <c r="A822" s="463"/>
      <c r="B822" s="463"/>
      <c r="C822" s="463"/>
      <c r="D822" s="463"/>
      <c r="E822" s="463"/>
      <c r="F822" s="463"/>
      <c r="G822" s="463"/>
      <c r="H822" s="463"/>
      <c r="I822" s="463"/>
      <c r="J822" s="463"/>
      <c r="K822" s="463"/>
      <c r="L822" s="463"/>
      <c r="M822" s="463"/>
      <c r="N822" s="463"/>
      <c r="O822" s="463"/>
      <c r="P822" s="463"/>
      <c r="Q822" s="463"/>
      <c r="R822" s="463"/>
      <c r="S822" s="463"/>
      <c r="T822" s="463"/>
      <c r="U822" s="463"/>
      <c r="V822" s="463"/>
      <c r="W822" s="463"/>
      <c r="X822" s="463"/>
      <c r="Y822" s="463"/>
      <c r="Z822" s="463"/>
    </row>
    <row r="823" spans="1:26" ht="15.75" customHeight="1" x14ac:dyDescent="0.3">
      <c r="A823" s="463"/>
      <c r="B823" s="463"/>
      <c r="C823" s="463"/>
      <c r="D823" s="463"/>
      <c r="E823" s="463"/>
      <c r="F823" s="463"/>
      <c r="G823" s="463"/>
      <c r="H823" s="463"/>
      <c r="I823" s="463"/>
      <c r="J823" s="463"/>
      <c r="K823" s="463"/>
      <c r="L823" s="463"/>
      <c r="M823" s="463"/>
      <c r="N823" s="463"/>
      <c r="O823" s="463"/>
      <c r="P823" s="463"/>
      <c r="Q823" s="463"/>
      <c r="R823" s="463"/>
      <c r="S823" s="463"/>
      <c r="T823" s="463"/>
      <c r="U823" s="463"/>
      <c r="V823" s="463"/>
      <c r="W823" s="463"/>
      <c r="X823" s="463"/>
      <c r="Y823" s="463"/>
      <c r="Z823" s="463"/>
    </row>
    <row r="824" spans="1:26" ht="15.75" customHeight="1" x14ac:dyDescent="0.3">
      <c r="A824" s="463"/>
      <c r="B824" s="463"/>
      <c r="C824" s="463"/>
      <c r="D824" s="463"/>
      <c r="E824" s="463"/>
      <c r="F824" s="463"/>
      <c r="G824" s="463"/>
      <c r="H824" s="463"/>
      <c r="I824" s="463"/>
      <c r="J824" s="463"/>
      <c r="K824" s="463"/>
      <c r="L824" s="463"/>
      <c r="M824" s="463"/>
      <c r="N824" s="463"/>
      <c r="O824" s="463"/>
      <c r="P824" s="463"/>
      <c r="Q824" s="463"/>
      <c r="R824" s="463"/>
      <c r="S824" s="463"/>
      <c r="T824" s="463"/>
      <c r="U824" s="463"/>
      <c r="V824" s="463"/>
      <c r="W824" s="463"/>
      <c r="X824" s="463"/>
      <c r="Y824" s="463"/>
      <c r="Z824" s="463"/>
    </row>
    <row r="825" spans="1:26" ht="15.75" customHeight="1" x14ac:dyDescent="0.3">
      <c r="A825" s="463"/>
      <c r="B825" s="463"/>
      <c r="C825" s="463"/>
      <c r="D825" s="463"/>
      <c r="E825" s="463"/>
      <c r="F825" s="463"/>
      <c r="G825" s="463"/>
      <c r="H825" s="463"/>
      <c r="I825" s="463"/>
      <c r="J825" s="463"/>
      <c r="K825" s="463"/>
      <c r="L825" s="463"/>
      <c r="M825" s="463"/>
      <c r="N825" s="463"/>
      <c r="O825" s="463"/>
      <c r="P825" s="463"/>
      <c r="Q825" s="463"/>
      <c r="R825" s="463"/>
      <c r="S825" s="463"/>
      <c r="T825" s="463"/>
      <c r="U825" s="463"/>
      <c r="V825" s="463"/>
      <c r="W825" s="463"/>
      <c r="X825" s="463"/>
      <c r="Y825" s="463"/>
      <c r="Z825" s="463"/>
    </row>
    <row r="826" spans="1:26" ht="15.75" customHeight="1" x14ac:dyDescent="0.3">
      <c r="A826" s="463"/>
      <c r="B826" s="463"/>
      <c r="C826" s="463"/>
      <c r="D826" s="463"/>
      <c r="E826" s="463"/>
      <c r="F826" s="463"/>
      <c r="G826" s="463"/>
      <c r="H826" s="463"/>
      <c r="I826" s="463"/>
      <c r="J826" s="463"/>
      <c r="K826" s="463"/>
      <c r="L826" s="463"/>
      <c r="M826" s="463"/>
      <c r="N826" s="463"/>
      <c r="O826" s="463"/>
      <c r="P826" s="463"/>
      <c r="Q826" s="463"/>
      <c r="R826" s="463"/>
      <c r="S826" s="463"/>
      <c r="T826" s="463"/>
      <c r="U826" s="463"/>
      <c r="V826" s="463"/>
      <c r="W826" s="463"/>
      <c r="X826" s="463"/>
      <c r="Y826" s="463"/>
      <c r="Z826" s="463"/>
    </row>
    <row r="827" spans="1:26" ht="15.75" customHeight="1" x14ac:dyDescent="0.3">
      <c r="A827" s="463"/>
      <c r="B827" s="463"/>
      <c r="C827" s="463"/>
      <c r="D827" s="463"/>
      <c r="E827" s="463"/>
      <c r="F827" s="463"/>
      <c r="G827" s="463"/>
      <c r="H827" s="463"/>
      <c r="I827" s="463"/>
      <c r="J827" s="463"/>
      <c r="K827" s="463"/>
      <c r="L827" s="463"/>
      <c r="M827" s="463"/>
      <c r="N827" s="463"/>
      <c r="O827" s="463"/>
      <c r="P827" s="463"/>
      <c r="Q827" s="463"/>
      <c r="R827" s="463"/>
      <c r="S827" s="463"/>
      <c r="T827" s="463"/>
      <c r="U827" s="463"/>
      <c r="V827" s="463"/>
      <c r="W827" s="463"/>
      <c r="X827" s="463"/>
      <c r="Y827" s="463"/>
      <c r="Z827" s="463"/>
    </row>
    <row r="828" spans="1:26" ht="15.75" customHeight="1" x14ac:dyDescent="0.3">
      <c r="A828" s="463"/>
      <c r="B828" s="463"/>
      <c r="C828" s="463"/>
      <c r="D828" s="463"/>
      <c r="E828" s="463"/>
      <c r="F828" s="463"/>
      <c r="G828" s="463"/>
      <c r="H828" s="463"/>
      <c r="I828" s="463"/>
      <c r="J828" s="463"/>
      <c r="K828" s="463"/>
      <c r="L828" s="463"/>
      <c r="M828" s="463"/>
      <c r="N828" s="463"/>
      <c r="O828" s="463"/>
      <c r="P828" s="463"/>
      <c r="Q828" s="463"/>
      <c r="R828" s="463"/>
      <c r="S828" s="463"/>
      <c r="T828" s="463"/>
      <c r="U828" s="463"/>
      <c r="V828" s="463"/>
      <c r="W828" s="463"/>
      <c r="X828" s="463"/>
      <c r="Y828" s="463"/>
      <c r="Z828" s="463"/>
    </row>
    <row r="829" spans="1:26" ht="15.75" customHeight="1" x14ac:dyDescent="0.3">
      <c r="A829" s="463"/>
      <c r="B829" s="463"/>
      <c r="C829" s="463"/>
      <c r="D829" s="463"/>
      <c r="E829" s="463"/>
      <c r="F829" s="463"/>
      <c r="G829" s="463"/>
      <c r="H829" s="463"/>
      <c r="I829" s="463"/>
      <c r="J829" s="463"/>
      <c r="K829" s="463"/>
      <c r="L829" s="463"/>
      <c r="M829" s="463"/>
      <c r="N829" s="463"/>
      <c r="O829" s="463"/>
      <c r="P829" s="463"/>
      <c r="Q829" s="463"/>
      <c r="R829" s="463"/>
      <c r="S829" s="463"/>
      <c r="T829" s="463"/>
      <c r="U829" s="463"/>
      <c r="V829" s="463"/>
      <c r="W829" s="463"/>
      <c r="X829" s="463"/>
      <c r="Y829" s="463"/>
      <c r="Z829" s="463"/>
    </row>
    <row r="830" spans="1:26" ht="15.75" customHeight="1" x14ac:dyDescent="0.3">
      <c r="A830" s="463"/>
      <c r="B830" s="463"/>
      <c r="C830" s="463"/>
      <c r="D830" s="463"/>
      <c r="E830" s="463"/>
      <c r="F830" s="463"/>
      <c r="G830" s="463"/>
      <c r="H830" s="463"/>
      <c r="I830" s="463"/>
      <c r="J830" s="463"/>
      <c r="K830" s="463"/>
      <c r="L830" s="463"/>
      <c r="M830" s="463"/>
      <c r="N830" s="463"/>
      <c r="O830" s="463"/>
      <c r="P830" s="463"/>
      <c r="Q830" s="463"/>
      <c r="R830" s="463"/>
      <c r="S830" s="463"/>
      <c r="T830" s="463"/>
      <c r="U830" s="463"/>
      <c r="V830" s="463"/>
      <c r="W830" s="463"/>
      <c r="X830" s="463"/>
      <c r="Y830" s="463"/>
      <c r="Z830" s="463"/>
    </row>
    <row r="831" spans="1:26" ht="15.75" customHeight="1" x14ac:dyDescent="0.3">
      <c r="A831" s="463"/>
      <c r="B831" s="463"/>
      <c r="C831" s="463"/>
      <c r="D831" s="463"/>
      <c r="E831" s="463"/>
      <c r="F831" s="463"/>
      <c r="G831" s="463"/>
      <c r="H831" s="463"/>
      <c r="I831" s="463"/>
      <c r="J831" s="463"/>
      <c r="K831" s="463"/>
      <c r="L831" s="463"/>
      <c r="M831" s="463"/>
      <c r="N831" s="463"/>
      <c r="O831" s="463"/>
      <c r="P831" s="463"/>
      <c r="Q831" s="463"/>
      <c r="R831" s="463"/>
      <c r="S831" s="463"/>
      <c r="T831" s="463"/>
      <c r="U831" s="463"/>
      <c r="V831" s="463"/>
      <c r="W831" s="463"/>
      <c r="X831" s="463"/>
      <c r="Y831" s="463"/>
      <c r="Z831" s="463"/>
    </row>
    <row r="832" spans="1:26" ht="15.75" customHeight="1" x14ac:dyDescent="0.3">
      <c r="A832" s="463"/>
      <c r="B832" s="463"/>
      <c r="C832" s="463"/>
      <c r="D832" s="463"/>
      <c r="E832" s="463"/>
      <c r="F832" s="463"/>
      <c r="G832" s="463"/>
      <c r="H832" s="463"/>
      <c r="I832" s="463"/>
      <c r="J832" s="463"/>
      <c r="K832" s="463"/>
      <c r="L832" s="463"/>
      <c r="M832" s="463"/>
      <c r="N832" s="463"/>
      <c r="O832" s="463"/>
      <c r="P832" s="463"/>
      <c r="Q832" s="463"/>
      <c r="R832" s="463"/>
      <c r="S832" s="463"/>
      <c r="T832" s="463"/>
      <c r="U832" s="463"/>
      <c r="V832" s="463"/>
      <c r="W832" s="463"/>
      <c r="X832" s="463"/>
      <c r="Y832" s="463"/>
      <c r="Z832" s="463"/>
    </row>
    <row r="833" spans="1:26" ht="15.75" customHeight="1" x14ac:dyDescent="0.3">
      <c r="A833" s="463"/>
      <c r="B833" s="463"/>
      <c r="C833" s="463"/>
      <c r="D833" s="463"/>
      <c r="E833" s="463"/>
      <c r="F833" s="463"/>
      <c r="G833" s="463"/>
      <c r="H833" s="463"/>
      <c r="I833" s="463"/>
      <c r="J833" s="463"/>
      <c r="K833" s="463"/>
      <c r="L833" s="463"/>
      <c r="M833" s="463"/>
      <c r="N833" s="463"/>
      <c r="O833" s="463"/>
      <c r="P833" s="463"/>
      <c r="Q833" s="463"/>
      <c r="R833" s="463"/>
      <c r="S833" s="463"/>
      <c r="T833" s="463"/>
      <c r="U833" s="463"/>
      <c r="V833" s="463"/>
      <c r="W833" s="463"/>
      <c r="X833" s="463"/>
      <c r="Y833" s="463"/>
      <c r="Z833" s="463"/>
    </row>
    <row r="834" spans="1:26" ht="15.75" customHeight="1" x14ac:dyDescent="0.3">
      <c r="A834" s="463"/>
      <c r="B834" s="463"/>
      <c r="C834" s="463"/>
      <c r="D834" s="463"/>
      <c r="E834" s="463"/>
      <c r="F834" s="463"/>
      <c r="G834" s="463"/>
      <c r="H834" s="463"/>
      <c r="I834" s="463"/>
      <c r="J834" s="463"/>
      <c r="K834" s="463"/>
      <c r="L834" s="463"/>
      <c r="M834" s="463"/>
      <c r="N834" s="463"/>
      <c r="O834" s="463"/>
      <c r="P834" s="463"/>
      <c r="Q834" s="463"/>
      <c r="R834" s="463"/>
      <c r="S834" s="463"/>
      <c r="T834" s="463"/>
      <c r="U834" s="463"/>
      <c r="V834" s="463"/>
      <c r="W834" s="463"/>
      <c r="X834" s="463"/>
      <c r="Y834" s="463"/>
      <c r="Z834" s="463"/>
    </row>
    <row r="835" spans="1:26" ht="15.75" customHeight="1" x14ac:dyDescent="0.3">
      <c r="A835" s="463"/>
      <c r="B835" s="463"/>
      <c r="C835" s="463"/>
      <c r="D835" s="463"/>
      <c r="E835" s="463"/>
      <c r="F835" s="463"/>
      <c r="G835" s="463"/>
      <c r="H835" s="463"/>
      <c r="I835" s="463"/>
      <c r="J835" s="463"/>
      <c r="K835" s="463"/>
      <c r="L835" s="463"/>
      <c r="M835" s="463"/>
      <c r="N835" s="463"/>
      <c r="O835" s="463"/>
      <c r="P835" s="463"/>
      <c r="Q835" s="463"/>
      <c r="R835" s="463"/>
      <c r="S835" s="463"/>
      <c r="T835" s="463"/>
      <c r="U835" s="463"/>
      <c r="V835" s="463"/>
      <c r="W835" s="463"/>
      <c r="X835" s="463"/>
      <c r="Y835" s="463"/>
      <c r="Z835" s="463"/>
    </row>
    <row r="836" spans="1:26" ht="15.75" customHeight="1" x14ac:dyDescent="0.3">
      <c r="A836" s="463"/>
      <c r="B836" s="463"/>
      <c r="C836" s="463"/>
      <c r="D836" s="463"/>
      <c r="E836" s="463"/>
      <c r="F836" s="463"/>
      <c r="G836" s="463"/>
      <c r="H836" s="463"/>
      <c r="I836" s="463"/>
      <c r="J836" s="463"/>
      <c r="K836" s="463"/>
      <c r="L836" s="463"/>
      <c r="M836" s="463"/>
      <c r="N836" s="463"/>
      <c r="O836" s="463"/>
      <c r="P836" s="463"/>
      <c r="Q836" s="463"/>
      <c r="R836" s="463"/>
      <c r="S836" s="463"/>
      <c r="T836" s="463"/>
      <c r="U836" s="463"/>
      <c r="V836" s="463"/>
      <c r="W836" s="463"/>
      <c r="X836" s="463"/>
      <c r="Y836" s="463"/>
      <c r="Z836" s="463"/>
    </row>
    <row r="837" spans="1:26" ht="15.75" customHeight="1" x14ac:dyDescent="0.3">
      <c r="A837" s="463"/>
      <c r="B837" s="463"/>
      <c r="C837" s="463"/>
      <c r="D837" s="463"/>
      <c r="E837" s="463"/>
      <c r="F837" s="463"/>
      <c r="G837" s="463"/>
      <c r="H837" s="463"/>
      <c r="I837" s="463"/>
      <c r="J837" s="463"/>
      <c r="K837" s="463"/>
      <c r="L837" s="463"/>
      <c r="M837" s="463"/>
      <c r="N837" s="463"/>
      <c r="O837" s="463"/>
      <c r="P837" s="463"/>
      <c r="Q837" s="463"/>
      <c r="R837" s="463"/>
      <c r="S837" s="463"/>
      <c r="T837" s="463"/>
      <c r="U837" s="463"/>
      <c r="V837" s="463"/>
      <c r="W837" s="463"/>
      <c r="X837" s="463"/>
      <c r="Y837" s="463"/>
      <c r="Z837" s="463"/>
    </row>
    <row r="838" spans="1:26" ht="15.75" customHeight="1" x14ac:dyDescent="0.3">
      <c r="A838" s="463"/>
      <c r="B838" s="463"/>
      <c r="C838" s="463"/>
      <c r="D838" s="463"/>
      <c r="E838" s="463"/>
      <c r="F838" s="463"/>
      <c r="G838" s="463"/>
      <c r="H838" s="463"/>
      <c r="I838" s="463"/>
      <c r="J838" s="463"/>
      <c r="K838" s="463"/>
      <c r="L838" s="463"/>
      <c r="M838" s="463"/>
      <c r="N838" s="463"/>
      <c r="O838" s="463"/>
      <c r="P838" s="463"/>
      <c r="Q838" s="463"/>
      <c r="R838" s="463"/>
      <c r="S838" s="463"/>
      <c r="T838" s="463"/>
      <c r="U838" s="463"/>
      <c r="V838" s="463"/>
      <c r="W838" s="463"/>
      <c r="X838" s="463"/>
      <c r="Y838" s="463"/>
      <c r="Z838" s="463"/>
    </row>
    <row r="839" spans="1:26" ht="15.75" customHeight="1" x14ac:dyDescent="0.3">
      <c r="A839" s="463"/>
      <c r="B839" s="463"/>
      <c r="C839" s="463"/>
      <c r="D839" s="463"/>
      <c r="E839" s="463"/>
      <c r="F839" s="463"/>
      <c r="G839" s="463"/>
      <c r="H839" s="463"/>
      <c r="I839" s="463"/>
      <c r="J839" s="463"/>
      <c r="K839" s="463"/>
      <c r="L839" s="463"/>
      <c r="M839" s="463"/>
      <c r="N839" s="463"/>
      <c r="O839" s="463"/>
      <c r="P839" s="463"/>
      <c r="Q839" s="463"/>
      <c r="R839" s="463"/>
      <c r="S839" s="463"/>
      <c r="T839" s="463"/>
      <c r="U839" s="463"/>
      <c r="V839" s="463"/>
      <c r="W839" s="463"/>
      <c r="X839" s="463"/>
      <c r="Y839" s="463"/>
      <c r="Z839" s="463"/>
    </row>
    <row r="840" spans="1:26" ht="15.75" customHeight="1" x14ac:dyDescent="0.3">
      <c r="A840" s="463"/>
      <c r="B840" s="463"/>
      <c r="C840" s="463"/>
      <c r="D840" s="463"/>
      <c r="E840" s="463"/>
      <c r="F840" s="463"/>
      <c r="G840" s="463"/>
      <c r="H840" s="463"/>
      <c r="I840" s="463"/>
      <c r="J840" s="463"/>
      <c r="K840" s="463"/>
      <c r="L840" s="463"/>
      <c r="M840" s="463"/>
      <c r="N840" s="463"/>
      <c r="O840" s="463"/>
      <c r="P840" s="463"/>
      <c r="Q840" s="463"/>
      <c r="R840" s="463"/>
      <c r="S840" s="463"/>
      <c r="T840" s="463"/>
      <c r="U840" s="463"/>
      <c r="V840" s="463"/>
      <c r="W840" s="463"/>
      <c r="X840" s="463"/>
      <c r="Y840" s="463"/>
      <c r="Z840" s="463"/>
    </row>
    <row r="841" spans="1:26" ht="15.75" customHeight="1" x14ac:dyDescent="0.3">
      <c r="A841" s="463"/>
      <c r="B841" s="463"/>
      <c r="C841" s="463"/>
      <c r="D841" s="463"/>
      <c r="E841" s="463"/>
      <c r="F841" s="463"/>
      <c r="G841" s="463"/>
      <c r="H841" s="463"/>
      <c r="I841" s="463"/>
      <c r="J841" s="463"/>
      <c r="K841" s="463"/>
      <c r="L841" s="463"/>
      <c r="M841" s="463"/>
      <c r="N841" s="463"/>
      <c r="O841" s="463"/>
      <c r="P841" s="463"/>
      <c r="Q841" s="463"/>
      <c r="R841" s="463"/>
      <c r="S841" s="463"/>
      <c r="T841" s="463"/>
      <c r="U841" s="463"/>
      <c r="V841" s="463"/>
      <c r="W841" s="463"/>
      <c r="X841" s="463"/>
      <c r="Y841" s="463"/>
      <c r="Z841" s="463"/>
    </row>
    <row r="842" spans="1:26" ht="15.75" customHeight="1" x14ac:dyDescent="0.3">
      <c r="A842" s="463"/>
      <c r="B842" s="463"/>
      <c r="C842" s="463"/>
      <c r="D842" s="463"/>
      <c r="E842" s="463"/>
      <c r="F842" s="463"/>
      <c r="G842" s="463"/>
      <c r="H842" s="463"/>
      <c r="I842" s="463"/>
      <c r="J842" s="463"/>
      <c r="K842" s="463"/>
      <c r="L842" s="463"/>
      <c r="M842" s="463"/>
      <c r="N842" s="463"/>
      <c r="O842" s="463"/>
      <c r="P842" s="463"/>
      <c r="Q842" s="463"/>
      <c r="R842" s="463"/>
      <c r="S842" s="463"/>
      <c r="T842" s="463"/>
      <c r="U842" s="463"/>
      <c r="V842" s="463"/>
      <c r="W842" s="463"/>
      <c r="X842" s="463"/>
      <c r="Y842" s="463"/>
      <c r="Z842" s="463"/>
    </row>
    <row r="843" spans="1:26" ht="15.75" customHeight="1" x14ac:dyDescent="0.3">
      <c r="A843" s="463"/>
      <c r="B843" s="463"/>
      <c r="C843" s="463"/>
      <c r="D843" s="463"/>
      <c r="E843" s="463"/>
      <c r="F843" s="463"/>
      <c r="G843" s="463"/>
      <c r="H843" s="463"/>
      <c r="I843" s="463"/>
      <c r="J843" s="463"/>
      <c r="K843" s="463"/>
      <c r="L843" s="463"/>
      <c r="M843" s="463"/>
      <c r="N843" s="463"/>
      <c r="O843" s="463"/>
      <c r="P843" s="463"/>
      <c r="Q843" s="463"/>
      <c r="R843" s="463"/>
      <c r="S843" s="463"/>
      <c r="T843" s="463"/>
      <c r="U843" s="463"/>
      <c r="V843" s="463"/>
      <c r="W843" s="463"/>
      <c r="X843" s="463"/>
      <c r="Y843" s="463"/>
      <c r="Z843" s="463"/>
    </row>
    <row r="844" spans="1:26" ht="15.75" customHeight="1" x14ac:dyDescent="0.3">
      <c r="A844" s="463"/>
      <c r="B844" s="463"/>
      <c r="C844" s="463"/>
      <c r="D844" s="463"/>
      <c r="E844" s="463"/>
      <c r="F844" s="463"/>
      <c r="G844" s="463"/>
      <c r="H844" s="463"/>
      <c r="I844" s="463"/>
      <c r="J844" s="463"/>
      <c r="K844" s="463"/>
      <c r="L844" s="463"/>
      <c r="M844" s="463"/>
      <c r="N844" s="463"/>
      <c r="O844" s="463"/>
      <c r="P844" s="463"/>
      <c r="Q844" s="463"/>
      <c r="R844" s="463"/>
      <c r="S844" s="463"/>
      <c r="T844" s="463"/>
      <c r="U844" s="463"/>
      <c r="V844" s="463"/>
      <c r="W844" s="463"/>
      <c r="X844" s="463"/>
      <c r="Y844" s="463"/>
      <c r="Z844" s="463"/>
    </row>
    <row r="845" spans="1:26" ht="15.75" customHeight="1" x14ac:dyDescent="0.3">
      <c r="A845" s="463"/>
      <c r="B845" s="463"/>
      <c r="C845" s="463"/>
      <c r="D845" s="463"/>
      <c r="E845" s="463"/>
      <c r="F845" s="463"/>
      <c r="G845" s="463"/>
      <c r="H845" s="463"/>
      <c r="I845" s="463"/>
      <c r="J845" s="463"/>
      <c r="K845" s="463"/>
      <c r="L845" s="463"/>
      <c r="M845" s="463"/>
      <c r="N845" s="463"/>
      <c r="O845" s="463"/>
      <c r="P845" s="463"/>
      <c r="Q845" s="463"/>
      <c r="R845" s="463"/>
      <c r="S845" s="463"/>
      <c r="T845" s="463"/>
      <c r="U845" s="463"/>
      <c r="V845" s="463"/>
      <c r="W845" s="463"/>
      <c r="X845" s="463"/>
      <c r="Y845" s="463"/>
      <c r="Z845" s="463"/>
    </row>
    <row r="846" spans="1:26" ht="15.75" customHeight="1" x14ac:dyDescent="0.3">
      <c r="A846" s="463"/>
      <c r="B846" s="463"/>
      <c r="C846" s="463"/>
      <c r="D846" s="463"/>
      <c r="E846" s="463"/>
      <c r="F846" s="463"/>
      <c r="G846" s="463"/>
      <c r="H846" s="463"/>
      <c r="I846" s="463"/>
      <c r="J846" s="463"/>
      <c r="K846" s="463"/>
      <c r="L846" s="463"/>
      <c r="M846" s="463"/>
      <c r="N846" s="463"/>
      <c r="O846" s="463"/>
      <c r="P846" s="463"/>
      <c r="Q846" s="463"/>
      <c r="R846" s="463"/>
      <c r="S846" s="463"/>
      <c r="T846" s="463"/>
      <c r="U846" s="463"/>
      <c r="V846" s="463"/>
      <c r="W846" s="463"/>
      <c r="X846" s="463"/>
      <c r="Y846" s="463"/>
      <c r="Z846" s="463"/>
    </row>
    <row r="847" spans="1:26" ht="15.75" customHeight="1" x14ac:dyDescent="0.3">
      <c r="A847" s="463"/>
      <c r="B847" s="463"/>
      <c r="C847" s="463"/>
      <c r="D847" s="463"/>
      <c r="E847" s="463"/>
      <c r="F847" s="463"/>
      <c r="G847" s="463"/>
      <c r="H847" s="463"/>
      <c r="I847" s="463"/>
      <c r="J847" s="463"/>
      <c r="K847" s="463"/>
      <c r="L847" s="463"/>
      <c r="M847" s="463"/>
      <c r="N847" s="463"/>
      <c r="O847" s="463"/>
      <c r="P847" s="463"/>
      <c r="Q847" s="463"/>
      <c r="R847" s="463"/>
      <c r="S847" s="463"/>
      <c r="T847" s="463"/>
      <c r="U847" s="463"/>
      <c r="V847" s="463"/>
      <c r="W847" s="463"/>
      <c r="X847" s="463"/>
      <c r="Y847" s="463"/>
      <c r="Z847" s="463"/>
    </row>
    <row r="848" spans="1:26" ht="15.75" customHeight="1" x14ac:dyDescent="0.3">
      <c r="A848" s="463"/>
      <c r="B848" s="463"/>
      <c r="C848" s="463"/>
      <c r="D848" s="463"/>
      <c r="E848" s="463"/>
      <c r="F848" s="463"/>
      <c r="G848" s="463"/>
      <c r="H848" s="463"/>
      <c r="I848" s="463"/>
      <c r="J848" s="463"/>
      <c r="K848" s="463"/>
      <c r="L848" s="463"/>
      <c r="M848" s="463"/>
      <c r="N848" s="463"/>
      <c r="O848" s="463"/>
      <c r="P848" s="463"/>
      <c r="Q848" s="463"/>
      <c r="R848" s="463"/>
      <c r="S848" s="463"/>
      <c r="T848" s="463"/>
      <c r="U848" s="463"/>
      <c r="V848" s="463"/>
      <c r="W848" s="463"/>
      <c r="X848" s="463"/>
      <c r="Y848" s="463"/>
      <c r="Z848" s="463"/>
    </row>
    <row r="849" spans="1:26" ht="15.75" customHeight="1" x14ac:dyDescent="0.3">
      <c r="A849" s="463"/>
      <c r="B849" s="463"/>
      <c r="C849" s="463"/>
      <c r="D849" s="463"/>
      <c r="E849" s="463"/>
      <c r="F849" s="463"/>
      <c r="G849" s="463"/>
      <c r="H849" s="463"/>
      <c r="I849" s="463"/>
      <c r="J849" s="463"/>
      <c r="K849" s="463"/>
      <c r="L849" s="463"/>
      <c r="M849" s="463"/>
      <c r="N849" s="463"/>
      <c r="O849" s="463"/>
      <c r="P849" s="463"/>
      <c r="Q849" s="463"/>
      <c r="R849" s="463"/>
      <c r="S849" s="463"/>
      <c r="T849" s="463"/>
      <c r="U849" s="463"/>
      <c r="V849" s="463"/>
      <c r="W849" s="463"/>
      <c r="X849" s="463"/>
      <c r="Y849" s="463"/>
      <c r="Z849" s="463"/>
    </row>
    <row r="850" spans="1:26" ht="15.75" customHeight="1" x14ac:dyDescent="0.3">
      <c r="A850" s="463"/>
      <c r="B850" s="463"/>
      <c r="C850" s="463"/>
      <c r="D850" s="463"/>
      <c r="E850" s="463"/>
      <c r="F850" s="463"/>
      <c r="G850" s="463"/>
      <c r="H850" s="463"/>
      <c r="I850" s="463"/>
      <c r="J850" s="463"/>
      <c r="K850" s="463"/>
      <c r="L850" s="463"/>
      <c r="M850" s="463"/>
      <c r="N850" s="463"/>
      <c r="O850" s="463"/>
      <c r="P850" s="463"/>
      <c r="Q850" s="463"/>
      <c r="R850" s="463"/>
      <c r="S850" s="463"/>
      <c r="T850" s="463"/>
      <c r="U850" s="463"/>
      <c r="V850" s="463"/>
      <c r="W850" s="463"/>
      <c r="X850" s="463"/>
      <c r="Y850" s="463"/>
      <c r="Z850" s="463"/>
    </row>
    <row r="851" spans="1:26" ht="15.75" customHeight="1" x14ac:dyDescent="0.3">
      <c r="A851" s="463"/>
      <c r="B851" s="463"/>
      <c r="C851" s="463"/>
      <c r="D851" s="463"/>
      <c r="E851" s="463"/>
      <c r="F851" s="463"/>
      <c r="G851" s="463"/>
      <c r="H851" s="463"/>
      <c r="I851" s="463"/>
      <c r="J851" s="463"/>
      <c r="K851" s="463"/>
      <c r="L851" s="463"/>
      <c r="M851" s="463"/>
      <c r="N851" s="463"/>
      <c r="O851" s="463"/>
      <c r="P851" s="463"/>
      <c r="Q851" s="463"/>
      <c r="R851" s="463"/>
      <c r="S851" s="463"/>
      <c r="T851" s="463"/>
      <c r="U851" s="463"/>
      <c r="V851" s="463"/>
      <c r="W851" s="463"/>
      <c r="X851" s="463"/>
      <c r="Y851" s="463"/>
      <c r="Z851" s="463"/>
    </row>
    <row r="852" spans="1:26" ht="15.75" customHeight="1" x14ac:dyDescent="0.3">
      <c r="A852" s="463"/>
      <c r="B852" s="463"/>
      <c r="C852" s="463"/>
      <c r="D852" s="463"/>
      <c r="E852" s="463"/>
      <c r="F852" s="463"/>
      <c r="G852" s="463"/>
      <c r="H852" s="463"/>
      <c r="I852" s="463"/>
      <c r="J852" s="463"/>
      <c r="K852" s="463"/>
      <c r="L852" s="463"/>
      <c r="M852" s="463"/>
      <c r="N852" s="463"/>
      <c r="O852" s="463"/>
      <c r="P852" s="463"/>
      <c r="Q852" s="463"/>
      <c r="R852" s="463"/>
      <c r="S852" s="463"/>
      <c r="T852" s="463"/>
      <c r="U852" s="463"/>
      <c r="V852" s="463"/>
      <c r="W852" s="463"/>
      <c r="X852" s="463"/>
      <c r="Y852" s="463"/>
      <c r="Z852" s="463"/>
    </row>
    <row r="853" spans="1:26" ht="15.75" customHeight="1" x14ac:dyDescent="0.3">
      <c r="A853" s="463"/>
      <c r="B853" s="463"/>
      <c r="C853" s="463"/>
      <c r="D853" s="463"/>
      <c r="E853" s="463"/>
      <c r="F853" s="463"/>
      <c r="G853" s="463"/>
      <c r="H853" s="463"/>
      <c r="I853" s="463"/>
      <c r="J853" s="463"/>
      <c r="K853" s="463"/>
      <c r="L853" s="463"/>
      <c r="M853" s="463"/>
      <c r="N853" s="463"/>
      <c r="O853" s="463"/>
      <c r="P853" s="463"/>
      <c r="Q853" s="463"/>
      <c r="R853" s="463"/>
      <c r="S853" s="463"/>
      <c r="T853" s="463"/>
      <c r="U853" s="463"/>
      <c r="V853" s="463"/>
      <c r="W853" s="463"/>
      <c r="X853" s="463"/>
      <c r="Y853" s="463"/>
      <c r="Z853" s="463"/>
    </row>
    <row r="854" spans="1:26" ht="15.75" customHeight="1" x14ac:dyDescent="0.3">
      <c r="A854" s="463"/>
      <c r="B854" s="463"/>
      <c r="C854" s="463"/>
      <c r="D854" s="463"/>
      <c r="E854" s="463"/>
      <c r="F854" s="463"/>
      <c r="G854" s="463"/>
      <c r="H854" s="463"/>
      <c r="I854" s="463"/>
      <c r="J854" s="463"/>
      <c r="K854" s="463"/>
      <c r="L854" s="463"/>
      <c r="M854" s="463"/>
      <c r="N854" s="463"/>
      <c r="O854" s="463"/>
      <c r="P854" s="463"/>
      <c r="Q854" s="463"/>
      <c r="R854" s="463"/>
      <c r="S854" s="463"/>
      <c r="T854" s="463"/>
      <c r="U854" s="463"/>
      <c r="V854" s="463"/>
      <c r="W854" s="463"/>
      <c r="X854" s="463"/>
      <c r="Y854" s="463"/>
      <c r="Z854" s="463"/>
    </row>
    <row r="855" spans="1:26" ht="15.75" customHeight="1" x14ac:dyDescent="0.3">
      <c r="A855" s="463"/>
      <c r="B855" s="463"/>
      <c r="C855" s="463"/>
      <c r="D855" s="463"/>
      <c r="E855" s="463"/>
      <c r="F855" s="463"/>
      <c r="G855" s="463"/>
      <c r="H855" s="463"/>
      <c r="I855" s="463"/>
      <c r="J855" s="463"/>
      <c r="K855" s="463"/>
      <c r="L855" s="463"/>
      <c r="M855" s="463"/>
      <c r="N855" s="463"/>
      <c r="O855" s="463"/>
      <c r="P855" s="463"/>
      <c r="Q855" s="463"/>
      <c r="R855" s="463"/>
      <c r="S855" s="463"/>
      <c r="T855" s="463"/>
      <c r="U855" s="463"/>
      <c r="V855" s="463"/>
      <c r="W855" s="463"/>
      <c r="X855" s="463"/>
      <c r="Y855" s="463"/>
      <c r="Z855" s="463"/>
    </row>
    <row r="856" spans="1:26" ht="15.75" customHeight="1" x14ac:dyDescent="0.3">
      <c r="A856" s="463"/>
      <c r="B856" s="463"/>
      <c r="C856" s="463"/>
      <c r="D856" s="463"/>
      <c r="E856" s="463"/>
      <c r="F856" s="463"/>
      <c r="G856" s="463"/>
      <c r="H856" s="463"/>
      <c r="I856" s="463"/>
      <c r="J856" s="463"/>
      <c r="K856" s="463"/>
      <c r="L856" s="463"/>
      <c r="M856" s="463"/>
      <c r="N856" s="463"/>
      <c r="O856" s="463"/>
      <c r="P856" s="463"/>
      <c r="Q856" s="463"/>
      <c r="R856" s="463"/>
      <c r="S856" s="463"/>
      <c r="T856" s="463"/>
      <c r="U856" s="463"/>
      <c r="V856" s="463"/>
      <c r="W856" s="463"/>
      <c r="X856" s="463"/>
      <c r="Y856" s="463"/>
      <c r="Z856" s="463"/>
    </row>
    <row r="857" spans="1:26" ht="15.75" customHeight="1" x14ac:dyDescent="0.3">
      <c r="A857" s="463"/>
      <c r="B857" s="463"/>
      <c r="C857" s="463"/>
      <c r="D857" s="463"/>
      <c r="E857" s="463"/>
      <c r="F857" s="463"/>
      <c r="G857" s="463"/>
      <c r="H857" s="463"/>
      <c r="I857" s="463"/>
      <c r="J857" s="463"/>
      <c r="K857" s="463"/>
      <c r="L857" s="463"/>
      <c r="M857" s="463"/>
      <c r="N857" s="463"/>
      <c r="O857" s="463"/>
      <c r="P857" s="463"/>
      <c r="Q857" s="463"/>
      <c r="R857" s="463"/>
      <c r="S857" s="463"/>
      <c r="T857" s="463"/>
      <c r="U857" s="463"/>
      <c r="V857" s="463"/>
      <c r="W857" s="463"/>
      <c r="X857" s="463"/>
      <c r="Y857" s="463"/>
      <c r="Z857" s="463"/>
    </row>
    <row r="858" spans="1:26" ht="15.75" customHeight="1" x14ac:dyDescent="0.3">
      <c r="A858" s="463"/>
      <c r="B858" s="463"/>
      <c r="C858" s="463"/>
      <c r="D858" s="463"/>
      <c r="E858" s="463"/>
      <c r="F858" s="463"/>
      <c r="G858" s="463"/>
      <c r="H858" s="463"/>
      <c r="I858" s="463"/>
      <c r="J858" s="463"/>
      <c r="K858" s="463"/>
      <c r="L858" s="463"/>
      <c r="M858" s="463"/>
      <c r="N858" s="463"/>
      <c r="O858" s="463"/>
      <c r="P858" s="463"/>
      <c r="Q858" s="463"/>
      <c r="R858" s="463"/>
      <c r="S858" s="463"/>
      <c r="T858" s="463"/>
      <c r="U858" s="463"/>
      <c r="V858" s="463"/>
      <c r="W858" s="463"/>
      <c r="X858" s="463"/>
      <c r="Y858" s="463"/>
      <c r="Z858" s="463"/>
    </row>
    <row r="859" spans="1:26" ht="15.75" customHeight="1" x14ac:dyDescent="0.3">
      <c r="A859" s="463"/>
      <c r="B859" s="463"/>
      <c r="C859" s="463"/>
      <c r="D859" s="463"/>
      <c r="E859" s="463"/>
      <c r="F859" s="463"/>
      <c r="G859" s="463"/>
      <c r="H859" s="463"/>
      <c r="I859" s="463"/>
      <c r="J859" s="463"/>
      <c r="K859" s="463"/>
      <c r="L859" s="463"/>
      <c r="M859" s="463"/>
      <c r="N859" s="463"/>
      <c r="O859" s="463"/>
      <c r="P859" s="463"/>
      <c r="Q859" s="463"/>
      <c r="R859" s="463"/>
      <c r="S859" s="463"/>
      <c r="T859" s="463"/>
      <c r="U859" s="463"/>
      <c r="V859" s="463"/>
      <c r="W859" s="463"/>
      <c r="X859" s="463"/>
      <c r="Y859" s="463"/>
      <c r="Z859" s="463"/>
    </row>
    <row r="860" spans="1:26" ht="15.75" customHeight="1" x14ac:dyDescent="0.3">
      <c r="A860" s="463"/>
      <c r="B860" s="463"/>
      <c r="C860" s="463"/>
      <c r="D860" s="463"/>
      <c r="E860" s="463"/>
      <c r="F860" s="463"/>
      <c r="G860" s="463"/>
      <c r="H860" s="463"/>
      <c r="I860" s="463"/>
      <c r="J860" s="463"/>
      <c r="K860" s="463"/>
      <c r="L860" s="463"/>
      <c r="M860" s="463"/>
      <c r="N860" s="463"/>
      <c r="O860" s="463"/>
      <c r="P860" s="463"/>
      <c r="Q860" s="463"/>
      <c r="R860" s="463"/>
      <c r="S860" s="463"/>
      <c r="T860" s="463"/>
      <c r="U860" s="463"/>
      <c r="V860" s="463"/>
      <c r="W860" s="463"/>
      <c r="X860" s="463"/>
      <c r="Y860" s="463"/>
      <c r="Z860" s="463"/>
    </row>
    <row r="861" spans="1:26" ht="15.75" customHeight="1" x14ac:dyDescent="0.3">
      <c r="A861" s="463"/>
      <c r="B861" s="463"/>
      <c r="C861" s="463"/>
      <c r="D861" s="463"/>
      <c r="E861" s="463"/>
      <c r="F861" s="463"/>
      <c r="G861" s="463"/>
      <c r="H861" s="463"/>
      <c r="I861" s="463"/>
      <c r="J861" s="463"/>
      <c r="K861" s="463"/>
      <c r="L861" s="463"/>
      <c r="M861" s="463"/>
      <c r="N861" s="463"/>
      <c r="O861" s="463"/>
      <c r="P861" s="463"/>
      <c r="Q861" s="463"/>
      <c r="R861" s="463"/>
      <c r="S861" s="463"/>
      <c r="T861" s="463"/>
      <c r="U861" s="463"/>
      <c r="V861" s="463"/>
      <c r="W861" s="463"/>
      <c r="X861" s="463"/>
      <c r="Y861" s="463"/>
      <c r="Z861" s="463"/>
    </row>
    <row r="862" spans="1:26" ht="15.75" customHeight="1" x14ac:dyDescent="0.3">
      <c r="A862" s="463"/>
      <c r="B862" s="463"/>
      <c r="C862" s="463"/>
      <c r="D862" s="463"/>
      <c r="E862" s="463"/>
      <c r="F862" s="463"/>
      <c r="G862" s="463"/>
      <c r="H862" s="463"/>
      <c r="I862" s="463"/>
      <c r="J862" s="463"/>
      <c r="K862" s="463"/>
      <c r="L862" s="463"/>
      <c r="M862" s="463"/>
      <c r="N862" s="463"/>
      <c r="O862" s="463"/>
      <c r="P862" s="463"/>
      <c r="Q862" s="463"/>
      <c r="R862" s="463"/>
      <c r="S862" s="463"/>
      <c r="T862" s="463"/>
      <c r="U862" s="463"/>
      <c r="V862" s="463"/>
      <c r="W862" s="463"/>
      <c r="X862" s="463"/>
      <c r="Y862" s="463"/>
      <c r="Z862" s="463"/>
    </row>
    <row r="863" spans="1:26" ht="15.75" customHeight="1" x14ac:dyDescent="0.3">
      <c r="A863" s="463"/>
      <c r="B863" s="463"/>
      <c r="C863" s="463"/>
      <c r="D863" s="463"/>
      <c r="E863" s="463"/>
      <c r="F863" s="463"/>
      <c r="G863" s="463"/>
      <c r="H863" s="463"/>
      <c r="I863" s="463"/>
      <c r="J863" s="463"/>
      <c r="K863" s="463"/>
      <c r="L863" s="463"/>
      <c r="M863" s="463"/>
      <c r="N863" s="463"/>
      <c r="O863" s="463"/>
      <c r="P863" s="463"/>
      <c r="Q863" s="463"/>
      <c r="R863" s="463"/>
      <c r="S863" s="463"/>
      <c r="T863" s="463"/>
      <c r="U863" s="463"/>
      <c r="V863" s="463"/>
      <c r="W863" s="463"/>
      <c r="X863" s="463"/>
      <c r="Y863" s="463"/>
      <c r="Z863" s="463"/>
    </row>
    <row r="864" spans="1:26" ht="15.75" customHeight="1" x14ac:dyDescent="0.3">
      <c r="A864" s="463"/>
      <c r="B864" s="463"/>
      <c r="C864" s="463"/>
      <c r="D864" s="463"/>
      <c r="E864" s="463"/>
      <c r="F864" s="463"/>
      <c r="G864" s="463"/>
      <c r="H864" s="463"/>
      <c r="I864" s="463"/>
      <c r="J864" s="463"/>
      <c r="K864" s="463"/>
      <c r="L864" s="463"/>
      <c r="M864" s="463"/>
      <c r="N864" s="463"/>
      <c r="O864" s="463"/>
      <c r="P864" s="463"/>
      <c r="Q864" s="463"/>
      <c r="R864" s="463"/>
      <c r="S864" s="463"/>
      <c r="T864" s="463"/>
      <c r="U864" s="463"/>
      <c r="V864" s="463"/>
      <c r="W864" s="463"/>
      <c r="X864" s="463"/>
      <c r="Y864" s="463"/>
      <c r="Z864" s="463"/>
    </row>
    <row r="865" spans="1:26" ht="15.75" customHeight="1" x14ac:dyDescent="0.3">
      <c r="A865" s="463"/>
      <c r="B865" s="463"/>
      <c r="C865" s="463"/>
      <c r="D865" s="463"/>
      <c r="E865" s="463"/>
      <c r="F865" s="463"/>
      <c r="G865" s="463"/>
      <c r="H865" s="463"/>
      <c r="I865" s="463"/>
      <c r="J865" s="463"/>
      <c r="K865" s="463"/>
      <c r="L865" s="463"/>
      <c r="M865" s="463"/>
      <c r="N865" s="463"/>
      <c r="O865" s="463"/>
      <c r="P865" s="463"/>
      <c r="Q865" s="463"/>
      <c r="R865" s="463"/>
      <c r="S865" s="463"/>
      <c r="T865" s="463"/>
      <c r="U865" s="463"/>
      <c r="V865" s="463"/>
      <c r="W865" s="463"/>
      <c r="X865" s="463"/>
      <c r="Y865" s="463"/>
      <c r="Z865" s="463"/>
    </row>
    <row r="866" spans="1:26" ht="15.75" customHeight="1" x14ac:dyDescent="0.3">
      <c r="A866" s="463"/>
      <c r="B866" s="463"/>
      <c r="C866" s="463"/>
      <c r="D866" s="463"/>
      <c r="E866" s="463"/>
      <c r="F866" s="463"/>
      <c r="G866" s="463"/>
      <c r="H866" s="463"/>
      <c r="I866" s="463"/>
      <c r="J866" s="463"/>
      <c r="K866" s="463"/>
      <c r="L866" s="463"/>
      <c r="M866" s="463"/>
      <c r="N866" s="463"/>
      <c r="O866" s="463"/>
      <c r="P866" s="463"/>
      <c r="Q866" s="463"/>
      <c r="R866" s="463"/>
      <c r="S866" s="463"/>
      <c r="T866" s="463"/>
      <c r="U866" s="463"/>
      <c r="V866" s="463"/>
      <c r="W866" s="463"/>
      <c r="X866" s="463"/>
      <c r="Y866" s="463"/>
      <c r="Z866" s="463"/>
    </row>
    <row r="867" spans="1:26" ht="15.75" customHeight="1" x14ac:dyDescent="0.3">
      <c r="A867" s="463"/>
      <c r="B867" s="463"/>
      <c r="C867" s="463"/>
      <c r="D867" s="463"/>
      <c r="E867" s="463"/>
      <c r="F867" s="463"/>
      <c r="G867" s="463"/>
      <c r="H867" s="463"/>
      <c r="I867" s="463"/>
      <c r="J867" s="463"/>
      <c r="K867" s="463"/>
      <c r="L867" s="463"/>
      <c r="M867" s="463"/>
      <c r="N867" s="463"/>
      <c r="O867" s="463"/>
      <c r="P867" s="463"/>
      <c r="Q867" s="463"/>
      <c r="R867" s="463"/>
      <c r="S867" s="463"/>
      <c r="T867" s="463"/>
      <c r="U867" s="463"/>
      <c r="V867" s="463"/>
      <c r="W867" s="463"/>
      <c r="X867" s="463"/>
      <c r="Y867" s="463"/>
      <c r="Z867" s="463"/>
    </row>
    <row r="868" spans="1:26" ht="15.75" customHeight="1" x14ac:dyDescent="0.3">
      <c r="A868" s="463"/>
      <c r="B868" s="463"/>
      <c r="C868" s="463"/>
      <c r="D868" s="463"/>
      <c r="E868" s="463"/>
      <c r="F868" s="463"/>
      <c r="G868" s="463"/>
      <c r="H868" s="463"/>
      <c r="I868" s="463"/>
      <c r="J868" s="463"/>
      <c r="K868" s="463"/>
      <c r="L868" s="463"/>
      <c r="M868" s="463"/>
      <c r="N868" s="463"/>
      <c r="O868" s="463"/>
      <c r="P868" s="463"/>
      <c r="Q868" s="463"/>
      <c r="R868" s="463"/>
      <c r="S868" s="463"/>
      <c r="T868" s="463"/>
      <c r="U868" s="463"/>
      <c r="V868" s="463"/>
      <c r="W868" s="463"/>
      <c r="X868" s="463"/>
      <c r="Y868" s="463"/>
      <c r="Z868" s="463"/>
    </row>
    <row r="869" spans="1:26" ht="15.75" customHeight="1" x14ac:dyDescent="0.3">
      <c r="A869" s="463"/>
      <c r="B869" s="463"/>
      <c r="C869" s="463"/>
      <c r="D869" s="463"/>
      <c r="E869" s="463"/>
      <c r="F869" s="463"/>
      <c r="G869" s="463"/>
      <c r="H869" s="463"/>
      <c r="I869" s="463"/>
      <c r="J869" s="463"/>
      <c r="K869" s="463"/>
      <c r="L869" s="463"/>
      <c r="M869" s="463"/>
      <c r="N869" s="463"/>
      <c r="O869" s="463"/>
      <c r="P869" s="463"/>
      <c r="Q869" s="463"/>
      <c r="R869" s="463"/>
      <c r="S869" s="463"/>
      <c r="T869" s="463"/>
      <c r="U869" s="463"/>
      <c r="V869" s="463"/>
      <c r="W869" s="463"/>
      <c r="X869" s="463"/>
      <c r="Y869" s="463"/>
      <c r="Z869" s="463"/>
    </row>
    <row r="870" spans="1:26" ht="15.75" customHeight="1" x14ac:dyDescent="0.3">
      <c r="A870" s="463"/>
      <c r="B870" s="463"/>
      <c r="C870" s="463"/>
      <c r="D870" s="463"/>
      <c r="E870" s="463"/>
      <c r="F870" s="463"/>
      <c r="G870" s="463"/>
      <c r="H870" s="463"/>
      <c r="I870" s="463"/>
      <c r="J870" s="463"/>
      <c r="K870" s="463"/>
      <c r="L870" s="463"/>
      <c r="M870" s="463"/>
      <c r="N870" s="463"/>
      <c r="O870" s="463"/>
      <c r="P870" s="463"/>
      <c r="Q870" s="463"/>
      <c r="R870" s="463"/>
      <c r="S870" s="463"/>
      <c r="T870" s="463"/>
      <c r="U870" s="463"/>
      <c r="V870" s="463"/>
      <c r="W870" s="463"/>
      <c r="X870" s="463"/>
      <c r="Y870" s="463"/>
      <c r="Z870" s="463"/>
    </row>
    <row r="871" spans="1:26" ht="15.75" customHeight="1" x14ac:dyDescent="0.3">
      <c r="A871" s="463"/>
      <c r="B871" s="463"/>
      <c r="C871" s="463"/>
      <c r="D871" s="463"/>
      <c r="E871" s="463"/>
      <c r="F871" s="463"/>
      <c r="G871" s="463"/>
      <c r="H871" s="463"/>
      <c r="I871" s="463"/>
      <c r="J871" s="463"/>
      <c r="K871" s="463"/>
      <c r="L871" s="463"/>
      <c r="M871" s="463"/>
      <c r="N871" s="463"/>
      <c r="O871" s="463"/>
      <c r="P871" s="463"/>
      <c r="Q871" s="463"/>
      <c r="R871" s="463"/>
      <c r="S871" s="463"/>
      <c r="T871" s="463"/>
      <c r="U871" s="463"/>
      <c r="V871" s="463"/>
      <c r="W871" s="463"/>
      <c r="X871" s="463"/>
      <c r="Y871" s="463"/>
      <c r="Z871" s="463"/>
    </row>
    <row r="872" spans="1:26" ht="15.75" customHeight="1" x14ac:dyDescent="0.3">
      <c r="A872" s="463"/>
      <c r="B872" s="463"/>
      <c r="C872" s="463"/>
      <c r="D872" s="463"/>
      <c r="E872" s="463"/>
      <c r="F872" s="463"/>
      <c r="G872" s="463"/>
      <c r="H872" s="463"/>
      <c r="I872" s="463"/>
      <c r="J872" s="463"/>
      <c r="K872" s="463"/>
      <c r="L872" s="463"/>
      <c r="M872" s="463"/>
      <c r="N872" s="463"/>
      <c r="O872" s="463"/>
      <c r="P872" s="463"/>
      <c r="Q872" s="463"/>
      <c r="R872" s="463"/>
      <c r="S872" s="463"/>
      <c r="T872" s="463"/>
      <c r="U872" s="463"/>
      <c r="V872" s="463"/>
      <c r="W872" s="463"/>
      <c r="X872" s="463"/>
      <c r="Y872" s="463"/>
      <c r="Z872" s="463"/>
    </row>
    <row r="873" spans="1:26" ht="15.75" customHeight="1" x14ac:dyDescent="0.3">
      <c r="A873" s="463"/>
      <c r="B873" s="463"/>
      <c r="C873" s="463"/>
      <c r="D873" s="463"/>
      <c r="E873" s="463"/>
      <c r="F873" s="463"/>
      <c r="G873" s="463"/>
      <c r="H873" s="463"/>
      <c r="I873" s="463"/>
      <c r="J873" s="463"/>
      <c r="K873" s="463"/>
      <c r="L873" s="463"/>
      <c r="M873" s="463"/>
      <c r="N873" s="463"/>
      <c r="O873" s="463"/>
      <c r="P873" s="463"/>
      <c r="Q873" s="463"/>
      <c r="R873" s="463"/>
      <c r="S873" s="463"/>
      <c r="T873" s="463"/>
      <c r="U873" s="463"/>
      <c r="V873" s="463"/>
      <c r="W873" s="463"/>
      <c r="X873" s="463"/>
      <c r="Y873" s="463"/>
      <c r="Z873" s="463"/>
    </row>
    <row r="874" spans="1:26" ht="15.75" customHeight="1" x14ac:dyDescent="0.3">
      <c r="A874" s="463"/>
      <c r="B874" s="463"/>
      <c r="C874" s="463"/>
      <c r="D874" s="463"/>
      <c r="E874" s="463"/>
      <c r="F874" s="463"/>
      <c r="G874" s="463"/>
      <c r="H874" s="463"/>
      <c r="I874" s="463"/>
      <c r="J874" s="463"/>
      <c r="K874" s="463"/>
      <c r="L874" s="463"/>
      <c r="M874" s="463"/>
      <c r="N874" s="463"/>
      <c r="O874" s="463"/>
      <c r="P874" s="463"/>
      <c r="Q874" s="463"/>
      <c r="R874" s="463"/>
      <c r="S874" s="463"/>
      <c r="T874" s="463"/>
      <c r="U874" s="463"/>
      <c r="V874" s="463"/>
      <c r="W874" s="463"/>
      <c r="X874" s="463"/>
      <c r="Y874" s="463"/>
      <c r="Z874" s="463"/>
    </row>
    <row r="875" spans="1:26" ht="15.75" customHeight="1" x14ac:dyDescent="0.3">
      <c r="A875" s="463"/>
      <c r="B875" s="463"/>
      <c r="C875" s="463"/>
      <c r="D875" s="463"/>
      <c r="E875" s="463"/>
      <c r="F875" s="463"/>
      <c r="G875" s="463"/>
      <c r="H875" s="463"/>
      <c r="I875" s="463"/>
      <c r="J875" s="463"/>
      <c r="K875" s="463"/>
      <c r="L875" s="463"/>
      <c r="M875" s="463"/>
      <c r="N875" s="463"/>
      <c r="O875" s="463"/>
      <c r="P875" s="463"/>
      <c r="Q875" s="463"/>
      <c r="R875" s="463"/>
      <c r="S875" s="463"/>
      <c r="T875" s="463"/>
      <c r="U875" s="463"/>
      <c r="V875" s="463"/>
      <c r="W875" s="463"/>
      <c r="X875" s="463"/>
      <c r="Y875" s="463"/>
      <c r="Z875" s="463"/>
    </row>
    <row r="876" spans="1:26" ht="15.75" customHeight="1" x14ac:dyDescent="0.3">
      <c r="A876" s="463"/>
      <c r="B876" s="463"/>
      <c r="C876" s="463"/>
      <c r="D876" s="463"/>
      <c r="E876" s="463"/>
      <c r="F876" s="463"/>
      <c r="G876" s="463"/>
      <c r="H876" s="463"/>
      <c r="I876" s="463"/>
      <c r="J876" s="463"/>
      <c r="K876" s="463"/>
      <c r="L876" s="463"/>
      <c r="M876" s="463"/>
      <c r="N876" s="463"/>
      <c r="O876" s="463"/>
      <c r="P876" s="463"/>
      <c r="Q876" s="463"/>
      <c r="R876" s="463"/>
      <c r="S876" s="463"/>
      <c r="T876" s="463"/>
      <c r="U876" s="463"/>
      <c r="V876" s="463"/>
      <c r="W876" s="463"/>
      <c r="X876" s="463"/>
      <c r="Y876" s="463"/>
      <c r="Z876" s="463"/>
    </row>
    <row r="877" spans="1:26" ht="15.75" customHeight="1" x14ac:dyDescent="0.3">
      <c r="A877" s="463"/>
      <c r="B877" s="463"/>
      <c r="C877" s="463"/>
      <c r="D877" s="463"/>
      <c r="E877" s="463"/>
      <c r="F877" s="463"/>
      <c r="G877" s="463"/>
      <c r="H877" s="463"/>
      <c r="I877" s="463"/>
      <c r="J877" s="463"/>
      <c r="K877" s="463"/>
      <c r="L877" s="463"/>
      <c r="M877" s="463"/>
      <c r="N877" s="463"/>
      <c r="O877" s="463"/>
      <c r="P877" s="463"/>
      <c r="Q877" s="463"/>
      <c r="R877" s="463"/>
      <c r="S877" s="463"/>
      <c r="T877" s="463"/>
      <c r="U877" s="463"/>
      <c r="V877" s="463"/>
      <c r="W877" s="463"/>
      <c r="X877" s="463"/>
      <c r="Y877" s="463"/>
      <c r="Z877" s="463"/>
    </row>
    <row r="878" spans="1:26" ht="15.75" customHeight="1" x14ac:dyDescent="0.3">
      <c r="A878" s="463"/>
      <c r="B878" s="463"/>
      <c r="C878" s="463"/>
      <c r="D878" s="463"/>
      <c r="E878" s="463"/>
      <c r="F878" s="463"/>
      <c r="G878" s="463"/>
      <c r="H878" s="463"/>
      <c r="I878" s="463"/>
      <c r="J878" s="463"/>
      <c r="K878" s="463"/>
      <c r="L878" s="463"/>
      <c r="M878" s="463"/>
      <c r="N878" s="463"/>
      <c r="O878" s="463"/>
      <c r="P878" s="463"/>
      <c r="Q878" s="463"/>
      <c r="R878" s="463"/>
      <c r="S878" s="463"/>
      <c r="T878" s="463"/>
      <c r="U878" s="463"/>
      <c r="V878" s="463"/>
      <c r="W878" s="463"/>
      <c r="X878" s="463"/>
      <c r="Y878" s="463"/>
      <c r="Z878" s="463"/>
    </row>
    <row r="879" spans="1:26" ht="15.75" customHeight="1" x14ac:dyDescent="0.3">
      <c r="A879" s="463"/>
      <c r="B879" s="463"/>
      <c r="C879" s="463"/>
      <c r="D879" s="463"/>
      <c r="E879" s="463"/>
      <c r="F879" s="463"/>
      <c r="G879" s="463"/>
      <c r="H879" s="463"/>
      <c r="I879" s="463"/>
      <c r="J879" s="463"/>
      <c r="K879" s="463"/>
      <c r="L879" s="463"/>
      <c r="M879" s="463"/>
      <c r="N879" s="463"/>
      <c r="O879" s="463"/>
      <c r="P879" s="463"/>
      <c r="Q879" s="463"/>
      <c r="R879" s="463"/>
      <c r="S879" s="463"/>
      <c r="T879" s="463"/>
      <c r="U879" s="463"/>
      <c r="V879" s="463"/>
      <c r="W879" s="463"/>
      <c r="X879" s="463"/>
      <c r="Y879" s="463"/>
      <c r="Z879" s="463"/>
    </row>
    <row r="880" spans="1:26" ht="15.75" customHeight="1" x14ac:dyDescent="0.3">
      <c r="A880" s="463"/>
      <c r="B880" s="463"/>
      <c r="C880" s="463"/>
      <c r="D880" s="463"/>
      <c r="E880" s="463"/>
      <c r="F880" s="463"/>
      <c r="G880" s="463"/>
      <c r="H880" s="463"/>
      <c r="I880" s="463"/>
      <c r="J880" s="463"/>
      <c r="K880" s="463"/>
      <c r="L880" s="463"/>
      <c r="M880" s="463"/>
      <c r="N880" s="463"/>
      <c r="O880" s="463"/>
      <c r="P880" s="463"/>
      <c r="Q880" s="463"/>
      <c r="R880" s="463"/>
      <c r="S880" s="463"/>
      <c r="T880" s="463"/>
      <c r="U880" s="463"/>
      <c r="V880" s="463"/>
      <c r="W880" s="463"/>
      <c r="X880" s="463"/>
      <c r="Y880" s="463"/>
      <c r="Z880" s="463"/>
    </row>
    <row r="881" spans="1:26" ht="15.75" customHeight="1" x14ac:dyDescent="0.3">
      <c r="A881" s="463"/>
      <c r="B881" s="463"/>
      <c r="C881" s="463"/>
      <c r="D881" s="463"/>
      <c r="E881" s="463"/>
      <c r="F881" s="463"/>
      <c r="G881" s="463"/>
      <c r="H881" s="463"/>
      <c r="I881" s="463"/>
      <c r="J881" s="463"/>
      <c r="K881" s="463"/>
      <c r="L881" s="463"/>
      <c r="M881" s="463"/>
      <c r="N881" s="463"/>
      <c r="O881" s="463"/>
      <c r="P881" s="463"/>
      <c r="Q881" s="463"/>
      <c r="R881" s="463"/>
      <c r="S881" s="463"/>
      <c r="T881" s="463"/>
      <c r="U881" s="463"/>
      <c r="V881" s="463"/>
      <c r="W881" s="463"/>
      <c r="X881" s="463"/>
      <c r="Y881" s="463"/>
      <c r="Z881" s="463"/>
    </row>
    <row r="882" spans="1:26" ht="15.75" customHeight="1" x14ac:dyDescent="0.3">
      <c r="A882" s="463"/>
      <c r="B882" s="463"/>
      <c r="C882" s="463"/>
      <c r="D882" s="463"/>
      <c r="E882" s="463"/>
      <c r="F882" s="463"/>
      <c r="G882" s="463"/>
      <c r="H882" s="463"/>
      <c r="I882" s="463"/>
      <c r="J882" s="463"/>
      <c r="K882" s="463"/>
      <c r="L882" s="463"/>
      <c r="M882" s="463"/>
      <c r="N882" s="463"/>
      <c r="O882" s="463"/>
      <c r="P882" s="463"/>
      <c r="Q882" s="463"/>
      <c r="R882" s="463"/>
      <c r="S882" s="463"/>
      <c r="T882" s="463"/>
      <c r="U882" s="463"/>
      <c r="V882" s="463"/>
      <c r="W882" s="463"/>
      <c r="X882" s="463"/>
      <c r="Y882" s="463"/>
      <c r="Z882" s="463"/>
    </row>
    <row r="883" spans="1:26" ht="15.75" customHeight="1" x14ac:dyDescent="0.3">
      <c r="A883" s="463"/>
      <c r="B883" s="463"/>
      <c r="C883" s="463"/>
      <c r="D883" s="463"/>
      <c r="E883" s="463"/>
      <c r="F883" s="463"/>
      <c r="G883" s="463"/>
      <c r="H883" s="463"/>
      <c r="I883" s="463"/>
      <c r="J883" s="463"/>
      <c r="K883" s="463"/>
      <c r="L883" s="463"/>
      <c r="M883" s="463"/>
      <c r="N883" s="463"/>
      <c r="O883" s="463"/>
      <c r="P883" s="463"/>
      <c r="Q883" s="463"/>
      <c r="R883" s="463"/>
      <c r="S883" s="463"/>
      <c r="T883" s="463"/>
      <c r="U883" s="463"/>
      <c r="V883" s="463"/>
      <c r="W883" s="463"/>
      <c r="X883" s="463"/>
      <c r="Y883" s="463"/>
      <c r="Z883" s="463"/>
    </row>
    <row r="884" spans="1:26" ht="15.75" customHeight="1" x14ac:dyDescent="0.3">
      <c r="A884" s="463"/>
      <c r="B884" s="463"/>
      <c r="C884" s="463"/>
      <c r="D884" s="463"/>
      <c r="E884" s="463"/>
      <c r="F884" s="463"/>
      <c r="G884" s="463"/>
      <c r="H884" s="463"/>
      <c r="I884" s="463"/>
      <c r="J884" s="463"/>
      <c r="K884" s="463"/>
      <c r="L884" s="463"/>
      <c r="M884" s="463"/>
      <c r="N884" s="463"/>
      <c r="O884" s="463"/>
      <c r="P884" s="463"/>
      <c r="Q884" s="463"/>
      <c r="R884" s="463"/>
      <c r="S884" s="463"/>
      <c r="T884" s="463"/>
      <c r="U884" s="463"/>
      <c r="V884" s="463"/>
      <c r="W884" s="463"/>
      <c r="X884" s="463"/>
      <c r="Y884" s="463"/>
      <c r="Z884" s="463"/>
    </row>
    <row r="885" spans="1:26" ht="15.75" customHeight="1" x14ac:dyDescent="0.3">
      <c r="A885" s="463"/>
      <c r="B885" s="463"/>
      <c r="C885" s="463"/>
      <c r="D885" s="463"/>
      <c r="E885" s="463"/>
      <c r="F885" s="463"/>
      <c r="G885" s="463"/>
      <c r="H885" s="463"/>
      <c r="I885" s="463"/>
      <c r="J885" s="463"/>
      <c r="K885" s="463"/>
      <c r="L885" s="463"/>
      <c r="M885" s="463"/>
      <c r="N885" s="463"/>
      <c r="O885" s="463"/>
      <c r="P885" s="463"/>
      <c r="Q885" s="463"/>
      <c r="R885" s="463"/>
      <c r="S885" s="463"/>
      <c r="T885" s="463"/>
      <c r="U885" s="463"/>
      <c r="V885" s="463"/>
      <c r="W885" s="463"/>
      <c r="X885" s="463"/>
      <c r="Y885" s="463"/>
      <c r="Z885" s="463"/>
    </row>
    <row r="886" spans="1:26" ht="15.75" customHeight="1" x14ac:dyDescent="0.3">
      <c r="A886" s="463"/>
      <c r="B886" s="463"/>
      <c r="C886" s="463"/>
      <c r="D886" s="463"/>
      <c r="E886" s="463"/>
      <c r="F886" s="463"/>
      <c r="G886" s="463"/>
      <c r="H886" s="463"/>
      <c r="I886" s="463"/>
      <c r="J886" s="463"/>
      <c r="K886" s="463"/>
      <c r="L886" s="463"/>
      <c r="M886" s="463"/>
      <c r="N886" s="463"/>
      <c r="O886" s="463"/>
      <c r="P886" s="463"/>
      <c r="Q886" s="463"/>
      <c r="R886" s="463"/>
      <c r="S886" s="463"/>
      <c r="T886" s="463"/>
      <c r="U886" s="463"/>
      <c r="V886" s="463"/>
      <c r="W886" s="463"/>
      <c r="X886" s="463"/>
      <c r="Y886" s="463"/>
      <c r="Z886" s="463"/>
    </row>
    <row r="887" spans="1:26" ht="15.75" customHeight="1" x14ac:dyDescent="0.3">
      <c r="A887" s="463"/>
      <c r="B887" s="463"/>
      <c r="C887" s="463"/>
      <c r="D887" s="463"/>
      <c r="E887" s="463"/>
      <c r="F887" s="463"/>
      <c r="G887" s="463"/>
      <c r="H887" s="463"/>
      <c r="I887" s="463"/>
      <c r="J887" s="463"/>
      <c r="K887" s="463"/>
      <c r="L887" s="463"/>
      <c r="M887" s="463"/>
      <c r="N887" s="463"/>
      <c r="O887" s="463"/>
      <c r="P887" s="463"/>
      <c r="Q887" s="463"/>
      <c r="R887" s="463"/>
      <c r="S887" s="463"/>
      <c r="T887" s="463"/>
      <c r="U887" s="463"/>
      <c r="V887" s="463"/>
      <c r="W887" s="463"/>
      <c r="X887" s="463"/>
      <c r="Y887" s="463"/>
      <c r="Z887" s="463"/>
    </row>
    <row r="888" spans="1:26" ht="15.75" customHeight="1" x14ac:dyDescent="0.3">
      <c r="A888" s="463"/>
      <c r="B888" s="463"/>
      <c r="C888" s="463"/>
      <c r="D888" s="463"/>
      <c r="E888" s="463"/>
      <c r="F888" s="463"/>
      <c r="G888" s="463"/>
      <c r="H888" s="463"/>
      <c r="I888" s="463"/>
      <c r="J888" s="463"/>
      <c r="K888" s="463"/>
      <c r="L888" s="463"/>
      <c r="M888" s="463"/>
      <c r="N888" s="463"/>
      <c r="O888" s="463"/>
      <c r="P888" s="463"/>
      <c r="Q888" s="463"/>
      <c r="R888" s="463"/>
      <c r="S888" s="463"/>
      <c r="T888" s="463"/>
      <c r="U888" s="463"/>
      <c r="V888" s="463"/>
      <c r="W888" s="463"/>
      <c r="X888" s="463"/>
      <c r="Y888" s="463"/>
      <c r="Z888" s="463"/>
    </row>
    <row r="889" spans="1:26" ht="15.75" customHeight="1" x14ac:dyDescent="0.3">
      <c r="A889" s="463"/>
      <c r="B889" s="463"/>
      <c r="C889" s="463"/>
      <c r="D889" s="463"/>
      <c r="E889" s="463"/>
      <c r="F889" s="463"/>
      <c r="G889" s="463"/>
      <c r="H889" s="463"/>
      <c r="I889" s="463"/>
      <c r="J889" s="463"/>
      <c r="K889" s="463"/>
      <c r="L889" s="463"/>
      <c r="M889" s="463"/>
      <c r="N889" s="463"/>
      <c r="O889" s="463"/>
      <c r="P889" s="463"/>
      <c r="Q889" s="463"/>
      <c r="R889" s="463"/>
      <c r="S889" s="463"/>
      <c r="T889" s="463"/>
      <c r="U889" s="463"/>
      <c r="V889" s="463"/>
      <c r="W889" s="463"/>
      <c r="X889" s="463"/>
      <c r="Y889" s="463"/>
      <c r="Z889" s="463"/>
    </row>
    <row r="890" spans="1:26" ht="15.75" customHeight="1" x14ac:dyDescent="0.3">
      <c r="A890" s="463"/>
      <c r="B890" s="463"/>
      <c r="C890" s="463"/>
      <c r="D890" s="463"/>
      <c r="E890" s="463"/>
      <c r="F890" s="463"/>
      <c r="G890" s="463"/>
      <c r="H890" s="463"/>
      <c r="I890" s="463"/>
      <c r="J890" s="463"/>
      <c r="K890" s="463"/>
      <c r="L890" s="463"/>
      <c r="M890" s="463"/>
      <c r="N890" s="463"/>
      <c r="O890" s="463"/>
      <c r="P890" s="463"/>
      <c r="Q890" s="463"/>
      <c r="R890" s="463"/>
      <c r="S890" s="463"/>
      <c r="T890" s="463"/>
      <c r="U890" s="463"/>
      <c r="V890" s="463"/>
      <c r="W890" s="463"/>
      <c r="X890" s="463"/>
      <c r="Y890" s="463"/>
      <c r="Z890" s="463"/>
    </row>
    <row r="891" spans="1:26" ht="15.75" customHeight="1" x14ac:dyDescent="0.3">
      <c r="A891" s="463"/>
      <c r="B891" s="463"/>
      <c r="C891" s="463"/>
      <c r="D891" s="463"/>
      <c r="E891" s="463"/>
      <c r="F891" s="463"/>
      <c r="G891" s="463"/>
      <c r="H891" s="463"/>
      <c r="I891" s="463"/>
      <c r="J891" s="463"/>
      <c r="K891" s="463"/>
      <c r="L891" s="463"/>
      <c r="M891" s="463"/>
      <c r="N891" s="463"/>
      <c r="O891" s="463"/>
      <c r="P891" s="463"/>
      <c r="Q891" s="463"/>
      <c r="R891" s="463"/>
      <c r="S891" s="463"/>
      <c r="T891" s="463"/>
      <c r="U891" s="463"/>
      <c r="V891" s="463"/>
      <c r="W891" s="463"/>
      <c r="X891" s="463"/>
      <c r="Y891" s="463"/>
      <c r="Z891" s="463"/>
    </row>
    <row r="892" spans="1:26" ht="15.75" customHeight="1" x14ac:dyDescent="0.3">
      <c r="A892" s="463"/>
      <c r="B892" s="463"/>
      <c r="C892" s="463"/>
      <c r="D892" s="463"/>
      <c r="E892" s="463"/>
      <c r="F892" s="463"/>
      <c r="G892" s="463"/>
      <c r="H892" s="463"/>
      <c r="I892" s="463"/>
      <c r="J892" s="463"/>
      <c r="K892" s="463"/>
      <c r="L892" s="463"/>
      <c r="M892" s="463"/>
      <c r="N892" s="463"/>
      <c r="O892" s="463"/>
      <c r="P892" s="463"/>
      <c r="Q892" s="463"/>
      <c r="R892" s="463"/>
      <c r="S892" s="463"/>
      <c r="T892" s="463"/>
      <c r="U892" s="463"/>
      <c r="V892" s="463"/>
      <c r="W892" s="463"/>
      <c r="X892" s="463"/>
      <c r="Y892" s="463"/>
      <c r="Z892" s="463"/>
    </row>
    <row r="893" spans="1:26" ht="15.75" customHeight="1" x14ac:dyDescent="0.3">
      <c r="A893" s="463"/>
      <c r="B893" s="463"/>
      <c r="C893" s="463"/>
      <c r="D893" s="463"/>
      <c r="E893" s="463"/>
      <c r="F893" s="463"/>
      <c r="G893" s="463"/>
      <c r="H893" s="463"/>
      <c r="I893" s="463"/>
      <c r="J893" s="463"/>
      <c r="K893" s="463"/>
      <c r="L893" s="463"/>
      <c r="M893" s="463"/>
      <c r="N893" s="463"/>
      <c r="O893" s="463"/>
      <c r="P893" s="463"/>
      <c r="Q893" s="463"/>
      <c r="R893" s="463"/>
      <c r="S893" s="463"/>
      <c r="T893" s="463"/>
      <c r="U893" s="463"/>
      <c r="V893" s="463"/>
      <c r="W893" s="463"/>
      <c r="X893" s="463"/>
      <c r="Y893" s="463"/>
      <c r="Z893" s="463"/>
    </row>
    <row r="894" spans="1:26" ht="15.75" customHeight="1" x14ac:dyDescent="0.3">
      <c r="A894" s="463"/>
      <c r="B894" s="463"/>
      <c r="C894" s="463"/>
      <c r="D894" s="463"/>
      <c r="E894" s="463"/>
      <c r="F894" s="463"/>
      <c r="G894" s="463"/>
      <c r="H894" s="463"/>
      <c r="I894" s="463"/>
      <c r="J894" s="463"/>
      <c r="K894" s="463"/>
      <c r="L894" s="463"/>
      <c r="M894" s="463"/>
      <c r="N894" s="463"/>
      <c r="O894" s="463"/>
      <c r="P894" s="463"/>
      <c r="Q894" s="463"/>
      <c r="R894" s="463"/>
      <c r="S894" s="463"/>
      <c r="T894" s="463"/>
      <c r="U894" s="463"/>
      <c r="V894" s="463"/>
      <c r="W894" s="463"/>
      <c r="X894" s="463"/>
      <c r="Y894" s="463"/>
      <c r="Z894" s="463"/>
    </row>
    <row r="895" spans="1:26" ht="15.75" customHeight="1" x14ac:dyDescent="0.3">
      <c r="A895" s="463"/>
      <c r="B895" s="463"/>
      <c r="C895" s="463"/>
      <c r="D895" s="463"/>
      <c r="E895" s="463"/>
      <c r="F895" s="463"/>
      <c r="G895" s="463"/>
      <c r="H895" s="463"/>
      <c r="I895" s="463"/>
      <c r="J895" s="463"/>
      <c r="K895" s="463"/>
      <c r="L895" s="463"/>
      <c r="M895" s="463"/>
      <c r="N895" s="463"/>
      <c r="O895" s="463"/>
      <c r="P895" s="463"/>
      <c r="Q895" s="463"/>
      <c r="R895" s="463"/>
      <c r="S895" s="463"/>
      <c r="T895" s="463"/>
      <c r="U895" s="463"/>
      <c r="V895" s="463"/>
      <c r="W895" s="463"/>
      <c r="X895" s="463"/>
      <c r="Y895" s="463"/>
      <c r="Z895" s="463"/>
    </row>
    <row r="896" spans="1:26" ht="15.75" customHeight="1" x14ac:dyDescent="0.3">
      <c r="A896" s="463"/>
      <c r="B896" s="463"/>
      <c r="C896" s="463"/>
      <c r="D896" s="463"/>
      <c r="E896" s="463"/>
      <c r="F896" s="463"/>
      <c r="G896" s="463"/>
      <c r="H896" s="463"/>
      <c r="I896" s="463"/>
      <c r="J896" s="463"/>
      <c r="K896" s="463"/>
      <c r="L896" s="463"/>
      <c r="M896" s="463"/>
      <c r="N896" s="463"/>
      <c r="O896" s="463"/>
      <c r="P896" s="463"/>
      <c r="Q896" s="463"/>
      <c r="R896" s="463"/>
      <c r="S896" s="463"/>
      <c r="T896" s="463"/>
      <c r="U896" s="463"/>
      <c r="V896" s="463"/>
      <c r="W896" s="463"/>
      <c r="X896" s="463"/>
      <c r="Y896" s="463"/>
      <c r="Z896" s="463"/>
    </row>
    <row r="897" spans="1:26" ht="15.75" customHeight="1" x14ac:dyDescent="0.3">
      <c r="A897" s="463"/>
      <c r="B897" s="463"/>
      <c r="C897" s="463"/>
      <c r="D897" s="463"/>
      <c r="E897" s="463"/>
      <c r="F897" s="463"/>
      <c r="G897" s="463"/>
      <c r="H897" s="463"/>
      <c r="I897" s="463"/>
      <c r="J897" s="463"/>
      <c r="K897" s="463"/>
      <c r="L897" s="463"/>
      <c r="M897" s="463"/>
      <c r="N897" s="463"/>
      <c r="O897" s="463"/>
      <c r="P897" s="463"/>
      <c r="Q897" s="463"/>
      <c r="R897" s="463"/>
      <c r="S897" s="463"/>
      <c r="T897" s="463"/>
      <c r="U897" s="463"/>
      <c r="V897" s="463"/>
      <c r="W897" s="463"/>
      <c r="X897" s="463"/>
      <c r="Y897" s="463"/>
      <c r="Z897" s="463"/>
    </row>
    <row r="898" spans="1:26" ht="15.75" customHeight="1" x14ac:dyDescent="0.3">
      <c r="A898" s="463"/>
      <c r="B898" s="463"/>
      <c r="C898" s="463"/>
      <c r="D898" s="463"/>
      <c r="E898" s="463"/>
      <c r="F898" s="463"/>
      <c r="G898" s="463"/>
      <c r="H898" s="463"/>
      <c r="I898" s="463"/>
      <c r="J898" s="463"/>
      <c r="K898" s="463"/>
      <c r="L898" s="463"/>
      <c r="M898" s="463"/>
      <c r="N898" s="463"/>
      <c r="O898" s="463"/>
      <c r="P898" s="463"/>
      <c r="Q898" s="463"/>
      <c r="R898" s="463"/>
      <c r="S898" s="463"/>
      <c r="T898" s="463"/>
      <c r="U898" s="463"/>
      <c r="V898" s="463"/>
      <c r="W898" s="463"/>
      <c r="X898" s="463"/>
      <c r="Y898" s="463"/>
      <c r="Z898" s="463"/>
    </row>
    <row r="899" spans="1:26" ht="15.75" customHeight="1" x14ac:dyDescent="0.3">
      <c r="A899" s="463"/>
      <c r="B899" s="463"/>
      <c r="C899" s="463"/>
      <c r="D899" s="463"/>
      <c r="E899" s="463"/>
      <c r="F899" s="463"/>
      <c r="G899" s="463"/>
      <c r="H899" s="463"/>
      <c r="I899" s="463"/>
      <c r="J899" s="463"/>
      <c r="K899" s="463"/>
      <c r="L899" s="463"/>
      <c r="M899" s="463"/>
      <c r="N899" s="463"/>
      <c r="O899" s="463"/>
      <c r="P899" s="463"/>
      <c r="Q899" s="463"/>
      <c r="R899" s="463"/>
      <c r="S899" s="463"/>
      <c r="T899" s="463"/>
      <c r="U899" s="463"/>
      <c r="V899" s="463"/>
      <c r="W899" s="463"/>
      <c r="X899" s="463"/>
      <c r="Y899" s="463"/>
      <c r="Z899" s="463"/>
    </row>
    <row r="900" spans="1:26" ht="15.75" customHeight="1" x14ac:dyDescent="0.3">
      <c r="A900" s="463"/>
      <c r="B900" s="463"/>
      <c r="C900" s="463"/>
      <c r="D900" s="463"/>
      <c r="E900" s="463"/>
      <c r="F900" s="463"/>
      <c r="G900" s="463"/>
      <c r="H900" s="463"/>
      <c r="I900" s="463"/>
      <c r="J900" s="463"/>
      <c r="K900" s="463"/>
      <c r="L900" s="463"/>
      <c r="M900" s="463"/>
      <c r="N900" s="463"/>
      <c r="O900" s="463"/>
      <c r="P900" s="463"/>
      <c r="Q900" s="463"/>
      <c r="R900" s="463"/>
      <c r="S900" s="463"/>
      <c r="T900" s="463"/>
      <c r="U900" s="463"/>
      <c r="V900" s="463"/>
      <c r="W900" s="463"/>
      <c r="X900" s="463"/>
      <c r="Y900" s="463"/>
      <c r="Z900" s="463"/>
    </row>
    <row r="901" spans="1:26" ht="15.75" customHeight="1" x14ac:dyDescent="0.3">
      <c r="A901" s="463"/>
      <c r="B901" s="463"/>
      <c r="C901" s="463"/>
      <c r="D901" s="463"/>
      <c r="E901" s="463"/>
      <c r="F901" s="463"/>
      <c r="G901" s="463"/>
      <c r="H901" s="463"/>
      <c r="I901" s="463"/>
      <c r="J901" s="463"/>
      <c r="K901" s="463"/>
      <c r="L901" s="463"/>
      <c r="M901" s="463"/>
      <c r="N901" s="463"/>
      <c r="O901" s="463"/>
      <c r="P901" s="463"/>
      <c r="Q901" s="463"/>
      <c r="R901" s="463"/>
      <c r="S901" s="463"/>
      <c r="T901" s="463"/>
      <c r="U901" s="463"/>
      <c r="V901" s="463"/>
      <c r="W901" s="463"/>
      <c r="X901" s="463"/>
      <c r="Y901" s="463"/>
      <c r="Z901" s="463"/>
    </row>
    <row r="902" spans="1:26" ht="15.75" customHeight="1" x14ac:dyDescent="0.3">
      <c r="A902" s="463"/>
      <c r="B902" s="463"/>
      <c r="C902" s="463"/>
      <c r="D902" s="463"/>
      <c r="E902" s="463"/>
      <c r="F902" s="463"/>
      <c r="G902" s="463"/>
      <c r="H902" s="463"/>
      <c r="I902" s="463"/>
      <c r="J902" s="463"/>
      <c r="K902" s="463"/>
      <c r="L902" s="463"/>
      <c r="M902" s="463"/>
      <c r="N902" s="463"/>
      <c r="O902" s="463"/>
      <c r="P902" s="463"/>
      <c r="Q902" s="463"/>
      <c r="R902" s="463"/>
      <c r="S902" s="463"/>
      <c r="T902" s="463"/>
      <c r="U902" s="463"/>
      <c r="V902" s="463"/>
      <c r="W902" s="463"/>
      <c r="X902" s="463"/>
      <c r="Y902" s="463"/>
      <c r="Z902" s="463"/>
    </row>
    <row r="903" spans="1:26" ht="15.75" customHeight="1" x14ac:dyDescent="0.3">
      <c r="A903" s="463"/>
      <c r="B903" s="463"/>
      <c r="C903" s="463"/>
      <c r="D903" s="463"/>
      <c r="E903" s="463"/>
      <c r="F903" s="463"/>
      <c r="G903" s="463"/>
      <c r="H903" s="463"/>
      <c r="I903" s="463"/>
      <c r="J903" s="463"/>
      <c r="K903" s="463"/>
      <c r="L903" s="463"/>
      <c r="M903" s="463"/>
      <c r="N903" s="463"/>
      <c r="O903" s="463"/>
      <c r="P903" s="463"/>
      <c r="Q903" s="463"/>
      <c r="R903" s="463"/>
      <c r="S903" s="463"/>
      <c r="T903" s="463"/>
      <c r="U903" s="463"/>
      <c r="V903" s="463"/>
      <c r="W903" s="463"/>
      <c r="X903" s="463"/>
      <c r="Y903" s="463"/>
      <c r="Z903" s="463"/>
    </row>
    <row r="904" spans="1:26" ht="15.75" customHeight="1" x14ac:dyDescent="0.3">
      <c r="A904" s="463"/>
      <c r="B904" s="463"/>
      <c r="C904" s="463"/>
      <c r="D904" s="463"/>
      <c r="E904" s="463"/>
      <c r="F904" s="463"/>
      <c r="G904" s="463"/>
      <c r="H904" s="463"/>
      <c r="I904" s="463"/>
      <c r="J904" s="463"/>
      <c r="K904" s="463"/>
      <c r="L904" s="463"/>
      <c r="M904" s="463"/>
      <c r="N904" s="463"/>
      <c r="O904" s="463"/>
      <c r="P904" s="463"/>
      <c r="Q904" s="463"/>
      <c r="R904" s="463"/>
      <c r="S904" s="463"/>
      <c r="T904" s="463"/>
      <c r="U904" s="463"/>
      <c r="V904" s="463"/>
      <c r="W904" s="463"/>
      <c r="X904" s="463"/>
      <c r="Y904" s="463"/>
      <c r="Z904" s="463"/>
    </row>
    <row r="905" spans="1:26" ht="15.75" customHeight="1" x14ac:dyDescent="0.3">
      <c r="A905" s="463"/>
      <c r="B905" s="463"/>
      <c r="C905" s="463"/>
      <c r="D905" s="463"/>
      <c r="E905" s="463"/>
      <c r="F905" s="463"/>
      <c r="G905" s="463"/>
      <c r="H905" s="463"/>
      <c r="I905" s="463"/>
      <c r="J905" s="463"/>
      <c r="K905" s="463"/>
      <c r="L905" s="463"/>
      <c r="M905" s="463"/>
      <c r="N905" s="463"/>
      <c r="O905" s="463"/>
      <c r="P905" s="463"/>
      <c r="Q905" s="463"/>
      <c r="R905" s="463"/>
      <c r="S905" s="463"/>
      <c r="T905" s="463"/>
      <c r="U905" s="463"/>
      <c r="V905" s="463"/>
      <c r="W905" s="463"/>
      <c r="X905" s="463"/>
      <c r="Y905" s="463"/>
      <c r="Z905" s="463"/>
    </row>
    <row r="906" spans="1:26" ht="15.75" customHeight="1" x14ac:dyDescent="0.3">
      <c r="A906" s="463"/>
      <c r="B906" s="463"/>
      <c r="C906" s="463"/>
      <c r="D906" s="463"/>
      <c r="E906" s="463"/>
      <c r="F906" s="463"/>
      <c r="G906" s="463"/>
      <c r="H906" s="463"/>
      <c r="I906" s="463"/>
      <c r="J906" s="463"/>
      <c r="K906" s="463"/>
      <c r="L906" s="463"/>
      <c r="M906" s="463"/>
      <c r="N906" s="463"/>
      <c r="O906" s="463"/>
      <c r="P906" s="463"/>
      <c r="Q906" s="463"/>
      <c r="R906" s="463"/>
      <c r="S906" s="463"/>
      <c r="T906" s="463"/>
      <c r="U906" s="463"/>
      <c r="V906" s="463"/>
      <c r="W906" s="463"/>
      <c r="X906" s="463"/>
      <c r="Y906" s="463"/>
      <c r="Z906" s="463"/>
    </row>
    <row r="907" spans="1:26" ht="15.75" customHeight="1" x14ac:dyDescent="0.3">
      <c r="A907" s="463"/>
      <c r="B907" s="463"/>
      <c r="C907" s="463"/>
      <c r="D907" s="463"/>
      <c r="E907" s="463"/>
      <c r="F907" s="463"/>
      <c r="G907" s="463"/>
      <c r="H907" s="463"/>
      <c r="I907" s="463"/>
      <c r="J907" s="463"/>
      <c r="K907" s="463"/>
      <c r="L907" s="463"/>
      <c r="M907" s="463"/>
      <c r="N907" s="463"/>
      <c r="O907" s="463"/>
      <c r="P907" s="463"/>
      <c r="Q907" s="463"/>
      <c r="R907" s="463"/>
      <c r="S907" s="463"/>
      <c r="T907" s="463"/>
      <c r="U907" s="463"/>
      <c r="V907" s="463"/>
      <c r="W907" s="463"/>
      <c r="X907" s="463"/>
      <c r="Y907" s="463"/>
      <c r="Z907" s="463"/>
    </row>
    <row r="908" spans="1:26" ht="15.75" customHeight="1" x14ac:dyDescent="0.3">
      <c r="A908" s="463"/>
      <c r="B908" s="463"/>
      <c r="C908" s="463"/>
      <c r="D908" s="463"/>
      <c r="E908" s="463"/>
      <c r="F908" s="463"/>
      <c r="G908" s="463"/>
      <c r="H908" s="463"/>
      <c r="I908" s="463"/>
      <c r="J908" s="463"/>
      <c r="K908" s="463"/>
      <c r="L908" s="463"/>
      <c r="M908" s="463"/>
      <c r="N908" s="463"/>
      <c r="O908" s="463"/>
      <c r="P908" s="463"/>
      <c r="Q908" s="463"/>
      <c r="R908" s="463"/>
      <c r="S908" s="463"/>
      <c r="T908" s="463"/>
      <c r="U908" s="463"/>
      <c r="V908" s="463"/>
      <c r="W908" s="463"/>
      <c r="X908" s="463"/>
      <c r="Y908" s="463"/>
      <c r="Z908" s="463"/>
    </row>
    <row r="909" spans="1:26" ht="15.75" customHeight="1" x14ac:dyDescent="0.3">
      <c r="A909" s="463"/>
      <c r="B909" s="463"/>
      <c r="C909" s="463"/>
      <c r="D909" s="463"/>
      <c r="E909" s="463"/>
      <c r="F909" s="463"/>
      <c r="G909" s="463"/>
      <c r="H909" s="463"/>
      <c r="I909" s="463"/>
      <c r="J909" s="463"/>
      <c r="K909" s="463"/>
      <c r="L909" s="463"/>
      <c r="M909" s="463"/>
      <c r="N909" s="463"/>
      <c r="O909" s="463"/>
      <c r="P909" s="463"/>
      <c r="Q909" s="463"/>
      <c r="R909" s="463"/>
      <c r="S909" s="463"/>
      <c r="T909" s="463"/>
      <c r="U909" s="463"/>
      <c r="V909" s="463"/>
      <c r="W909" s="463"/>
      <c r="X909" s="463"/>
      <c r="Y909" s="463"/>
      <c r="Z909" s="463"/>
    </row>
    <row r="910" spans="1:26" ht="15.75" customHeight="1" x14ac:dyDescent="0.3">
      <c r="A910" s="463"/>
      <c r="B910" s="463"/>
      <c r="C910" s="463"/>
      <c r="D910" s="463"/>
      <c r="E910" s="463"/>
      <c r="F910" s="463"/>
      <c r="G910" s="463"/>
      <c r="H910" s="463"/>
      <c r="I910" s="463"/>
      <c r="J910" s="463"/>
      <c r="K910" s="463"/>
      <c r="L910" s="463"/>
      <c r="M910" s="463"/>
      <c r="N910" s="463"/>
      <c r="O910" s="463"/>
      <c r="P910" s="463"/>
      <c r="Q910" s="463"/>
      <c r="R910" s="463"/>
      <c r="S910" s="463"/>
      <c r="T910" s="463"/>
      <c r="U910" s="463"/>
      <c r="V910" s="463"/>
      <c r="W910" s="463"/>
      <c r="X910" s="463"/>
      <c r="Y910" s="463"/>
      <c r="Z910" s="463"/>
    </row>
    <row r="911" spans="1:26" ht="15.75" customHeight="1" x14ac:dyDescent="0.3">
      <c r="A911" s="463"/>
      <c r="B911" s="463"/>
      <c r="C911" s="463"/>
      <c r="D911" s="463"/>
      <c r="E911" s="463"/>
      <c r="F911" s="463"/>
      <c r="G911" s="463"/>
      <c r="H911" s="463"/>
      <c r="I911" s="463"/>
      <c r="J911" s="463"/>
      <c r="K911" s="463"/>
      <c r="L911" s="463"/>
      <c r="M911" s="463"/>
      <c r="N911" s="463"/>
      <c r="O911" s="463"/>
      <c r="P911" s="463"/>
      <c r="Q911" s="463"/>
      <c r="R911" s="463"/>
      <c r="S911" s="463"/>
      <c r="T911" s="463"/>
      <c r="U911" s="463"/>
      <c r="V911" s="463"/>
      <c r="W911" s="463"/>
      <c r="X911" s="463"/>
      <c r="Y911" s="463"/>
      <c r="Z911" s="463"/>
    </row>
    <row r="912" spans="1:26" ht="15.75" customHeight="1" x14ac:dyDescent="0.3">
      <c r="A912" s="463"/>
      <c r="B912" s="463"/>
      <c r="C912" s="463"/>
      <c r="D912" s="463"/>
      <c r="E912" s="463"/>
      <c r="F912" s="463"/>
      <c r="G912" s="463"/>
      <c r="H912" s="463"/>
      <c r="I912" s="463"/>
      <c r="J912" s="463"/>
      <c r="K912" s="463"/>
      <c r="L912" s="463"/>
      <c r="M912" s="463"/>
      <c r="N912" s="463"/>
      <c r="O912" s="463"/>
      <c r="P912" s="463"/>
      <c r="Q912" s="463"/>
      <c r="R912" s="463"/>
      <c r="S912" s="463"/>
      <c r="T912" s="463"/>
      <c r="U912" s="463"/>
      <c r="V912" s="463"/>
      <c r="W912" s="463"/>
      <c r="X912" s="463"/>
      <c r="Y912" s="463"/>
      <c r="Z912" s="463"/>
    </row>
    <row r="913" spans="1:26" ht="15.75" customHeight="1" x14ac:dyDescent="0.3">
      <c r="A913" s="463"/>
      <c r="B913" s="463"/>
      <c r="C913" s="463"/>
      <c r="D913" s="463"/>
      <c r="E913" s="463"/>
      <c r="F913" s="463"/>
      <c r="G913" s="463"/>
      <c r="H913" s="463"/>
      <c r="I913" s="463"/>
      <c r="J913" s="463"/>
      <c r="K913" s="463"/>
      <c r="L913" s="463"/>
      <c r="M913" s="463"/>
      <c r="N913" s="463"/>
      <c r="O913" s="463"/>
      <c r="P913" s="463"/>
      <c r="Q913" s="463"/>
      <c r="R913" s="463"/>
      <c r="S913" s="463"/>
      <c r="T913" s="463"/>
      <c r="U913" s="463"/>
      <c r="V913" s="463"/>
      <c r="W913" s="463"/>
      <c r="X913" s="463"/>
      <c r="Y913" s="463"/>
      <c r="Z913" s="463"/>
    </row>
    <row r="914" spans="1:26" ht="15.75" customHeight="1" x14ac:dyDescent="0.3">
      <c r="A914" s="463"/>
      <c r="B914" s="463"/>
      <c r="C914" s="463"/>
      <c r="D914" s="463"/>
      <c r="E914" s="463"/>
      <c r="F914" s="463"/>
      <c r="G914" s="463"/>
      <c r="H914" s="463"/>
      <c r="I914" s="463"/>
      <c r="J914" s="463"/>
      <c r="K914" s="463"/>
      <c r="L914" s="463"/>
      <c r="M914" s="463"/>
      <c r="N914" s="463"/>
      <c r="O914" s="463"/>
      <c r="P914" s="463"/>
      <c r="Q914" s="463"/>
      <c r="R914" s="463"/>
      <c r="S914" s="463"/>
      <c r="T914" s="463"/>
      <c r="U914" s="463"/>
      <c r="V914" s="463"/>
      <c r="W914" s="463"/>
      <c r="X914" s="463"/>
      <c r="Y914" s="463"/>
      <c r="Z914" s="463"/>
    </row>
    <row r="915" spans="1:26" ht="15.75" customHeight="1" x14ac:dyDescent="0.3">
      <c r="A915" s="463"/>
      <c r="B915" s="463"/>
      <c r="C915" s="463"/>
      <c r="D915" s="463"/>
      <c r="E915" s="463"/>
      <c r="F915" s="463"/>
      <c r="G915" s="463"/>
      <c r="H915" s="463"/>
      <c r="I915" s="463"/>
      <c r="J915" s="463"/>
      <c r="K915" s="463"/>
      <c r="L915" s="463"/>
      <c r="M915" s="463"/>
      <c r="N915" s="463"/>
      <c r="O915" s="463"/>
      <c r="P915" s="463"/>
      <c r="Q915" s="463"/>
      <c r="R915" s="463"/>
      <c r="S915" s="463"/>
      <c r="T915" s="463"/>
      <c r="U915" s="463"/>
      <c r="V915" s="463"/>
      <c r="W915" s="463"/>
      <c r="X915" s="463"/>
      <c r="Y915" s="463"/>
      <c r="Z915" s="463"/>
    </row>
    <row r="916" spans="1:26" ht="15.75" customHeight="1" x14ac:dyDescent="0.3">
      <c r="A916" s="463"/>
      <c r="B916" s="463"/>
      <c r="C916" s="463"/>
      <c r="D916" s="463"/>
      <c r="E916" s="463"/>
      <c r="F916" s="463"/>
      <c r="G916" s="463"/>
      <c r="H916" s="463"/>
      <c r="I916" s="463"/>
      <c r="J916" s="463"/>
      <c r="K916" s="463"/>
      <c r="L916" s="463"/>
      <c r="M916" s="463"/>
      <c r="N916" s="463"/>
      <c r="O916" s="463"/>
      <c r="P916" s="463"/>
      <c r="Q916" s="463"/>
      <c r="R916" s="463"/>
      <c r="S916" s="463"/>
      <c r="T916" s="463"/>
      <c r="U916" s="463"/>
      <c r="V916" s="463"/>
      <c r="W916" s="463"/>
      <c r="X916" s="463"/>
      <c r="Y916" s="463"/>
      <c r="Z916" s="463"/>
    </row>
    <row r="917" spans="1:26" ht="15.75" customHeight="1" x14ac:dyDescent="0.3">
      <c r="A917" s="463"/>
      <c r="B917" s="463"/>
      <c r="C917" s="463"/>
      <c r="D917" s="463"/>
      <c r="E917" s="463"/>
      <c r="F917" s="463"/>
      <c r="G917" s="463"/>
      <c r="H917" s="463"/>
      <c r="I917" s="463"/>
      <c r="J917" s="463"/>
      <c r="K917" s="463"/>
      <c r="L917" s="463"/>
      <c r="M917" s="463"/>
      <c r="N917" s="463"/>
      <c r="O917" s="463"/>
      <c r="P917" s="463"/>
      <c r="Q917" s="463"/>
      <c r="R917" s="463"/>
      <c r="S917" s="463"/>
      <c r="T917" s="463"/>
      <c r="U917" s="463"/>
      <c r="V917" s="463"/>
      <c r="W917" s="463"/>
      <c r="X917" s="463"/>
      <c r="Y917" s="463"/>
      <c r="Z917" s="463"/>
    </row>
    <row r="918" spans="1:26" ht="15.75" customHeight="1" x14ac:dyDescent="0.3">
      <c r="A918" s="463"/>
      <c r="B918" s="463"/>
      <c r="C918" s="463"/>
      <c r="D918" s="463"/>
      <c r="E918" s="463"/>
      <c r="F918" s="463"/>
      <c r="G918" s="463"/>
      <c r="H918" s="463"/>
      <c r="I918" s="463"/>
      <c r="J918" s="463"/>
      <c r="K918" s="463"/>
      <c r="L918" s="463"/>
      <c r="M918" s="463"/>
      <c r="N918" s="463"/>
      <c r="O918" s="463"/>
      <c r="P918" s="463"/>
      <c r="Q918" s="463"/>
      <c r="R918" s="463"/>
      <c r="S918" s="463"/>
      <c r="T918" s="463"/>
      <c r="U918" s="463"/>
      <c r="V918" s="463"/>
      <c r="W918" s="463"/>
      <c r="X918" s="463"/>
      <c r="Y918" s="463"/>
      <c r="Z918" s="463"/>
    </row>
    <row r="919" spans="1:26" ht="15.75" customHeight="1" x14ac:dyDescent="0.3">
      <c r="A919" s="463"/>
      <c r="B919" s="463"/>
      <c r="C919" s="463"/>
      <c r="D919" s="463"/>
      <c r="E919" s="463"/>
      <c r="F919" s="463"/>
      <c r="G919" s="463"/>
      <c r="H919" s="463"/>
      <c r="I919" s="463"/>
      <c r="J919" s="463"/>
      <c r="K919" s="463"/>
      <c r="L919" s="463"/>
      <c r="M919" s="463"/>
      <c r="N919" s="463"/>
      <c r="O919" s="463"/>
      <c r="P919" s="463"/>
      <c r="Q919" s="463"/>
      <c r="R919" s="463"/>
      <c r="S919" s="463"/>
      <c r="T919" s="463"/>
      <c r="U919" s="463"/>
      <c r="V919" s="463"/>
      <c r="W919" s="463"/>
      <c r="X919" s="463"/>
      <c r="Y919" s="463"/>
      <c r="Z919" s="463"/>
    </row>
    <row r="920" spans="1:26" ht="15.75" customHeight="1" x14ac:dyDescent="0.3">
      <c r="A920" s="463"/>
      <c r="B920" s="463"/>
      <c r="C920" s="463"/>
      <c r="D920" s="463"/>
      <c r="E920" s="463"/>
      <c r="F920" s="463"/>
      <c r="G920" s="463"/>
      <c r="H920" s="463"/>
      <c r="I920" s="463"/>
      <c r="J920" s="463"/>
      <c r="K920" s="463"/>
      <c r="L920" s="463"/>
      <c r="M920" s="463"/>
      <c r="N920" s="463"/>
      <c r="O920" s="463"/>
      <c r="P920" s="463"/>
      <c r="Q920" s="463"/>
      <c r="R920" s="463"/>
      <c r="S920" s="463"/>
      <c r="T920" s="463"/>
      <c r="U920" s="463"/>
      <c r="V920" s="463"/>
      <c r="W920" s="463"/>
      <c r="X920" s="463"/>
      <c r="Y920" s="463"/>
      <c r="Z920" s="463"/>
    </row>
    <row r="921" spans="1:26" ht="15.75" customHeight="1" x14ac:dyDescent="0.3">
      <c r="A921" s="463"/>
      <c r="B921" s="463"/>
      <c r="C921" s="463"/>
      <c r="D921" s="463"/>
      <c r="E921" s="463"/>
      <c r="F921" s="463"/>
      <c r="G921" s="463"/>
      <c r="H921" s="463"/>
      <c r="I921" s="463"/>
      <c r="J921" s="463"/>
      <c r="K921" s="463"/>
      <c r="L921" s="463"/>
      <c r="M921" s="463"/>
      <c r="N921" s="463"/>
      <c r="O921" s="463"/>
      <c r="P921" s="463"/>
      <c r="Q921" s="463"/>
      <c r="R921" s="463"/>
      <c r="S921" s="463"/>
      <c r="T921" s="463"/>
      <c r="U921" s="463"/>
      <c r="V921" s="463"/>
      <c r="W921" s="463"/>
      <c r="X921" s="463"/>
      <c r="Y921" s="463"/>
      <c r="Z921" s="463"/>
    </row>
    <row r="922" spans="1:26" ht="15.75" customHeight="1" x14ac:dyDescent="0.3">
      <c r="A922" s="463"/>
      <c r="B922" s="463"/>
      <c r="C922" s="463"/>
      <c r="D922" s="463"/>
      <c r="E922" s="463"/>
      <c r="F922" s="463"/>
      <c r="G922" s="463"/>
      <c r="H922" s="463"/>
      <c r="I922" s="463"/>
      <c r="J922" s="463"/>
      <c r="K922" s="463"/>
      <c r="L922" s="463"/>
      <c r="M922" s="463"/>
      <c r="N922" s="463"/>
      <c r="O922" s="463"/>
      <c r="P922" s="463"/>
      <c r="Q922" s="463"/>
      <c r="R922" s="463"/>
      <c r="S922" s="463"/>
      <c r="T922" s="463"/>
      <c r="U922" s="463"/>
      <c r="V922" s="463"/>
      <c r="W922" s="463"/>
      <c r="X922" s="463"/>
      <c r="Y922" s="463"/>
      <c r="Z922" s="463"/>
    </row>
    <row r="923" spans="1:26" ht="15.75" customHeight="1" x14ac:dyDescent="0.3">
      <c r="A923" s="463"/>
      <c r="B923" s="463"/>
      <c r="C923" s="463"/>
      <c r="D923" s="463"/>
      <c r="E923" s="463"/>
      <c r="F923" s="463"/>
      <c r="G923" s="463"/>
      <c r="H923" s="463"/>
      <c r="I923" s="463"/>
      <c r="J923" s="463"/>
      <c r="K923" s="463"/>
      <c r="L923" s="463"/>
      <c r="M923" s="463"/>
      <c r="N923" s="463"/>
      <c r="O923" s="463"/>
      <c r="P923" s="463"/>
      <c r="Q923" s="463"/>
      <c r="R923" s="463"/>
      <c r="S923" s="463"/>
      <c r="T923" s="463"/>
      <c r="U923" s="463"/>
      <c r="V923" s="463"/>
      <c r="W923" s="463"/>
      <c r="X923" s="463"/>
      <c r="Y923" s="463"/>
      <c r="Z923" s="463"/>
    </row>
    <row r="924" spans="1:26" ht="15.75" customHeight="1" x14ac:dyDescent="0.3">
      <c r="A924" s="463"/>
      <c r="B924" s="463"/>
      <c r="C924" s="463"/>
      <c r="D924" s="463"/>
      <c r="E924" s="463"/>
      <c r="F924" s="463"/>
      <c r="G924" s="463"/>
      <c r="H924" s="463"/>
      <c r="I924" s="463"/>
      <c r="J924" s="463"/>
      <c r="K924" s="463"/>
      <c r="L924" s="463"/>
      <c r="M924" s="463"/>
      <c r="N924" s="463"/>
      <c r="O924" s="463"/>
      <c r="P924" s="463"/>
      <c r="Q924" s="463"/>
      <c r="R924" s="463"/>
      <c r="S924" s="463"/>
      <c r="T924" s="463"/>
      <c r="U924" s="463"/>
      <c r="V924" s="463"/>
      <c r="W924" s="463"/>
      <c r="X924" s="463"/>
      <c r="Y924" s="463"/>
      <c r="Z924" s="463"/>
    </row>
    <row r="925" spans="1:26" ht="15.75" customHeight="1" x14ac:dyDescent="0.3">
      <c r="A925" s="463"/>
      <c r="B925" s="463"/>
      <c r="C925" s="463"/>
      <c r="D925" s="463"/>
      <c r="E925" s="463"/>
      <c r="F925" s="463"/>
      <c r="G925" s="463"/>
      <c r="H925" s="463"/>
      <c r="I925" s="463"/>
      <c r="J925" s="463"/>
      <c r="K925" s="463"/>
      <c r="L925" s="463"/>
      <c r="M925" s="463"/>
      <c r="N925" s="463"/>
      <c r="O925" s="463"/>
      <c r="P925" s="463"/>
      <c r="Q925" s="463"/>
      <c r="R925" s="463"/>
      <c r="S925" s="463"/>
      <c r="T925" s="463"/>
      <c r="U925" s="463"/>
      <c r="V925" s="463"/>
      <c r="W925" s="463"/>
      <c r="X925" s="463"/>
      <c r="Y925" s="463"/>
      <c r="Z925" s="463"/>
    </row>
    <row r="926" spans="1:26" ht="15.75" customHeight="1" x14ac:dyDescent="0.3">
      <c r="A926" s="463"/>
      <c r="B926" s="463"/>
      <c r="C926" s="463"/>
      <c r="D926" s="463"/>
      <c r="E926" s="463"/>
      <c r="F926" s="463"/>
      <c r="G926" s="463"/>
      <c r="H926" s="463"/>
      <c r="I926" s="463"/>
      <c r="J926" s="463"/>
      <c r="K926" s="463"/>
      <c r="L926" s="463"/>
      <c r="M926" s="463"/>
      <c r="N926" s="463"/>
      <c r="O926" s="463"/>
      <c r="P926" s="463"/>
      <c r="Q926" s="463"/>
      <c r="R926" s="463"/>
      <c r="S926" s="463"/>
      <c r="T926" s="463"/>
      <c r="U926" s="463"/>
      <c r="V926" s="463"/>
      <c r="W926" s="463"/>
      <c r="X926" s="463"/>
      <c r="Y926" s="463"/>
      <c r="Z926" s="463"/>
    </row>
    <row r="927" spans="1:26" ht="15.75" customHeight="1" x14ac:dyDescent="0.3">
      <c r="A927" s="463"/>
      <c r="B927" s="463"/>
      <c r="C927" s="463"/>
      <c r="D927" s="463"/>
      <c r="E927" s="463"/>
      <c r="F927" s="463"/>
      <c r="G927" s="463"/>
      <c r="H927" s="463"/>
      <c r="I927" s="463"/>
      <c r="J927" s="463"/>
      <c r="K927" s="463"/>
      <c r="L927" s="463"/>
      <c r="M927" s="463"/>
      <c r="N927" s="463"/>
      <c r="O927" s="463"/>
      <c r="P927" s="463"/>
      <c r="Q927" s="463"/>
      <c r="R927" s="463"/>
      <c r="S927" s="463"/>
      <c r="T927" s="463"/>
      <c r="U927" s="463"/>
      <c r="V927" s="463"/>
      <c r="W927" s="463"/>
      <c r="X927" s="463"/>
      <c r="Y927" s="463"/>
      <c r="Z927" s="463"/>
    </row>
    <row r="928" spans="1:26" ht="15.75" customHeight="1" x14ac:dyDescent="0.3">
      <c r="A928" s="463"/>
      <c r="B928" s="463"/>
      <c r="C928" s="463"/>
      <c r="D928" s="463"/>
      <c r="E928" s="463"/>
      <c r="F928" s="463"/>
      <c r="G928" s="463"/>
      <c r="H928" s="463"/>
      <c r="I928" s="463"/>
      <c r="J928" s="463"/>
      <c r="K928" s="463"/>
      <c r="L928" s="463"/>
      <c r="M928" s="463"/>
      <c r="N928" s="463"/>
      <c r="O928" s="463"/>
      <c r="P928" s="463"/>
      <c r="Q928" s="463"/>
      <c r="R928" s="463"/>
      <c r="S928" s="463"/>
      <c r="T928" s="463"/>
      <c r="U928" s="463"/>
      <c r="V928" s="463"/>
      <c r="W928" s="463"/>
      <c r="X928" s="463"/>
      <c r="Y928" s="463"/>
      <c r="Z928" s="463"/>
    </row>
    <row r="929" spans="1:26" ht="15.75" customHeight="1" x14ac:dyDescent="0.3">
      <c r="A929" s="463"/>
      <c r="B929" s="463"/>
      <c r="C929" s="463"/>
      <c r="D929" s="463"/>
      <c r="E929" s="463"/>
      <c r="F929" s="463"/>
      <c r="G929" s="463"/>
      <c r="H929" s="463"/>
      <c r="I929" s="463"/>
      <c r="J929" s="463"/>
      <c r="K929" s="463"/>
      <c r="L929" s="463"/>
      <c r="M929" s="463"/>
      <c r="N929" s="463"/>
      <c r="O929" s="463"/>
      <c r="P929" s="463"/>
      <c r="Q929" s="463"/>
      <c r="R929" s="463"/>
      <c r="S929" s="463"/>
      <c r="T929" s="463"/>
      <c r="U929" s="463"/>
      <c r="V929" s="463"/>
      <c r="W929" s="463"/>
      <c r="X929" s="463"/>
      <c r="Y929" s="463"/>
      <c r="Z929" s="463"/>
    </row>
    <row r="930" spans="1:26" ht="15.75" customHeight="1" x14ac:dyDescent="0.3">
      <c r="A930" s="463"/>
      <c r="B930" s="463"/>
      <c r="C930" s="463"/>
      <c r="D930" s="463"/>
      <c r="E930" s="463"/>
      <c r="F930" s="463"/>
      <c r="G930" s="463"/>
      <c r="H930" s="463"/>
      <c r="I930" s="463"/>
      <c r="J930" s="463"/>
      <c r="K930" s="463"/>
      <c r="L930" s="463"/>
      <c r="M930" s="463"/>
      <c r="N930" s="463"/>
      <c r="O930" s="463"/>
      <c r="P930" s="463"/>
      <c r="Q930" s="463"/>
      <c r="R930" s="463"/>
      <c r="S930" s="463"/>
      <c r="T930" s="463"/>
      <c r="U930" s="463"/>
      <c r="V930" s="463"/>
      <c r="W930" s="463"/>
      <c r="X930" s="463"/>
      <c r="Y930" s="463"/>
      <c r="Z930" s="463"/>
    </row>
    <row r="931" spans="1:26" ht="15.75" customHeight="1" x14ac:dyDescent="0.3">
      <c r="A931" s="463"/>
      <c r="B931" s="463"/>
      <c r="C931" s="463"/>
      <c r="D931" s="463"/>
      <c r="E931" s="463"/>
      <c r="F931" s="463"/>
      <c r="G931" s="463"/>
      <c r="H931" s="463"/>
      <c r="I931" s="463"/>
      <c r="J931" s="463"/>
      <c r="K931" s="463"/>
      <c r="L931" s="463"/>
      <c r="M931" s="463"/>
      <c r="N931" s="463"/>
      <c r="O931" s="463"/>
      <c r="P931" s="463"/>
      <c r="Q931" s="463"/>
      <c r="R931" s="463"/>
      <c r="S931" s="463"/>
      <c r="T931" s="463"/>
      <c r="U931" s="463"/>
      <c r="V931" s="463"/>
      <c r="W931" s="463"/>
      <c r="X931" s="463"/>
      <c r="Y931" s="463"/>
      <c r="Z931" s="463"/>
    </row>
    <row r="932" spans="1:26" ht="15.75" customHeight="1" x14ac:dyDescent="0.3">
      <c r="A932" s="463"/>
      <c r="B932" s="463"/>
      <c r="C932" s="463"/>
      <c r="D932" s="463"/>
      <c r="E932" s="463"/>
      <c r="F932" s="463"/>
      <c r="G932" s="463"/>
      <c r="H932" s="463"/>
      <c r="I932" s="463"/>
      <c r="J932" s="463"/>
      <c r="K932" s="463"/>
      <c r="L932" s="463"/>
      <c r="M932" s="463"/>
      <c r="N932" s="463"/>
      <c r="O932" s="463"/>
      <c r="P932" s="463"/>
      <c r="Q932" s="463"/>
      <c r="R932" s="463"/>
      <c r="S932" s="463"/>
      <c r="T932" s="463"/>
      <c r="U932" s="463"/>
      <c r="V932" s="463"/>
      <c r="W932" s="463"/>
      <c r="X932" s="463"/>
      <c r="Y932" s="463"/>
      <c r="Z932" s="463"/>
    </row>
    <row r="933" spans="1:26" ht="15.75" customHeight="1" x14ac:dyDescent="0.3">
      <c r="A933" s="463"/>
      <c r="B933" s="463"/>
      <c r="C933" s="463"/>
      <c r="D933" s="463"/>
      <c r="E933" s="463"/>
      <c r="F933" s="463"/>
      <c r="G933" s="463"/>
      <c r="H933" s="463"/>
      <c r="I933" s="463"/>
      <c r="J933" s="463"/>
      <c r="K933" s="463"/>
      <c r="L933" s="463"/>
      <c r="M933" s="463"/>
      <c r="N933" s="463"/>
      <c r="O933" s="463"/>
      <c r="P933" s="463"/>
      <c r="Q933" s="463"/>
      <c r="R933" s="463"/>
      <c r="S933" s="463"/>
      <c r="T933" s="463"/>
      <c r="U933" s="463"/>
      <c r="V933" s="463"/>
      <c r="W933" s="463"/>
      <c r="X933" s="463"/>
      <c r="Y933" s="463"/>
      <c r="Z933" s="463"/>
    </row>
    <row r="934" spans="1:26" ht="15.75" customHeight="1" x14ac:dyDescent="0.3">
      <c r="A934" s="463"/>
      <c r="B934" s="463"/>
      <c r="C934" s="463"/>
      <c r="D934" s="463"/>
      <c r="E934" s="463"/>
      <c r="F934" s="463"/>
      <c r="G934" s="463"/>
      <c r="H934" s="463"/>
      <c r="I934" s="463"/>
      <c r="J934" s="463"/>
      <c r="K934" s="463"/>
      <c r="L934" s="463"/>
      <c r="M934" s="463"/>
      <c r="N934" s="463"/>
      <c r="O934" s="463"/>
      <c r="P934" s="463"/>
      <c r="Q934" s="463"/>
      <c r="R934" s="463"/>
      <c r="S934" s="463"/>
      <c r="T934" s="463"/>
      <c r="U934" s="463"/>
      <c r="V934" s="463"/>
      <c r="W934" s="463"/>
      <c r="X934" s="463"/>
      <c r="Y934" s="463"/>
      <c r="Z934" s="463"/>
    </row>
    <row r="935" spans="1:26" ht="15.75" customHeight="1" x14ac:dyDescent="0.3">
      <c r="A935" s="463"/>
      <c r="B935" s="463"/>
      <c r="C935" s="463"/>
      <c r="D935" s="463"/>
      <c r="E935" s="463"/>
      <c r="F935" s="463"/>
      <c r="G935" s="463"/>
      <c r="H935" s="463"/>
      <c r="I935" s="463"/>
      <c r="J935" s="463"/>
      <c r="K935" s="463"/>
      <c r="L935" s="463"/>
      <c r="M935" s="463"/>
      <c r="N935" s="463"/>
      <c r="O935" s="463"/>
      <c r="P935" s="463"/>
      <c r="Q935" s="463"/>
      <c r="R935" s="463"/>
      <c r="S935" s="463"/>
      <c r="T935" s="463"/>
      <c r="U935" s="463"/>
      <c r="V935" s="463"/>
      <c r="W935" s="463"/>
      <c r="X935" s="463"/>
      <c r="Y935" s="463"/>
      <c r="Z935" s="463"/>
    </row>
    <row r="936" spans="1:26" ht="15.75" customHeight="1" x14ac:dyDescent="0.3">
      <c r="A936" s="463"/>
      <c r="B936" s="463"/>
      <c r="C936" s="463"/>
      <c r="D936" s="463"/>
      <c r="E936" s="463"/>
      <c r="F936" s="463"/>
      <c r="G936" s="463"/>
      <c r="H936" s="463"/>
      <c r="I936" s="463"/>
      <c r="J936" s="463"/>
      <c r="K936" s="463"/>
      <c r="L936" s="463"/>
      <c r="M936" s="463"/>
      <c r="N936" s="463"/>
      <c r="O936" s="463"/>
      <c r="P936" s="463"/>
      <c r="Q936" s="463"/>
      <c r="R936" s="463"/>
      <c r="S936" s="463"/>
      <c r="T936" s="463"/>
      <c r="U936" s="463"/>
      <c r="V936" s="463"/>
      <c r="W936" s="463"/>
      <c r="X936" s="463"/>
      <c r="Y936" s="463"/>
      <c r="Z936" s="463"/>
    </row>
    <row r="937" spans="1:26" ht="15.75" customHeight="1" x14ac:dyDescent="0.3">
      <c r="A937" s="463"/>
      <c r="B937" s="463"/>
      <c r="C937" s="463"/>
      <c r="D937" s="463"/>
      <c r="E937" s="463"/>
      <c r="F937" s="463"/>
      <c r="G937" s="463"/>
      <c r="H937" s="463"/>
      <c r="I937" s="463"/>
      <c r="J937" s="463"/>
      <c r="K937" s="463"/>
      <c r="L937" s="463"/>
      <c r="M937" s="463"/>
      <c r="N937" s="463"/>
      <c r="O937" s="463"/>
      <c r="P937" s="463"/>
      <c r="Q937" s="463"/>
      <c r="R937" s="463"/>
      <c r="S937" s="463"/>
      <c r="T937" s="463"/>
      <c r="U937" s="463"/>
      <c r="V937" s="463"/>
      <c r="W937" s="463"/>
      <c r="X937" s="463"/>
      <c r="Y937" s="463"/>
      <c r="Z937" s="463"/>
    </row>
    <row r="938" spans="1:26" ht="15.75" customHeight="1" x14ac:dyDescent="0.3">
      <c r="A938" s="463"/>
      <c r="B938" s="463"/>
      <c r="C938" s="463"/>
      <c r="D938" s="463"/>
      <c r="E938" s="463"/>
      <c r="F938" s="463"/>
      <c r="G938" s="463"/>
      <c r="H938" s="463"/>
      <c r="I938" s="463"/>
      <c r="J938" s="463"/>
      <c r="K938" s="463"/>
      <c r="L938" s="463"/>
      <c r="M938" s="463"/>
      <c r="N938" s="463"/>
      <c r="O938" s="463"/>
      <c r="P938" s="463"/>
      <c r="Q938" s="463"/>
      <c r="R938" s="463"/>
      <c r="S938" s="463"/>
      <c r="T938" s="463"/>
      <c r="U938" s="463"/>
      <c r="V938" s="463"/>
      <c r="W938" s="463"/>
      <c r="X938" s="463"/>
      <c r="Y938" s="463"/>
      <c r="Z938" s="463"/>
    </row>
    <row r="939" spans="1:26" ht="15.75" customHeight="1" x14ac:dyDescent="0.3">
      <c r="A939" s="463"/>
      <c r="B939" s="463"/>
      <c r="C939" s="463"/>
      <c r="D939" s="463"/>
      <c r="E939" s="463"/>
      <c r="F939" s="463"/>
      <c r="G939" s="463"/>
      <c r="H939" s="463"/>
      <c r="I939" s="463"/>
      <c r="J939" s="463"/>
      <c r="K939" s="463"/>
      <c r="L939" s="463"/>
      <c r="M939" s="463"/>
      <c r="N939" s="463"/>
      <c r="O939" s="463"/>
      <c r="P939" s="463"/>
      <c r="Q939" s="463"/>
      <c r="R939" s="463"/>
      <c r="S939" s="463"/>
      <c r="T939" s="463"/>
      <c r="U939" s="463"/>
      <c r="V939" s="463"/>
      <c r="W939" s="463"/>
      <c r="X939" s="463"/>
      <c r="Y939" s="463"/>
      <c r="Z939" s="463"/>
    </row>
    <row r="940" spans="1:26" ht="15.75" customHeight="1" x14ac:dyDescent="0.3">
      <c r="A940" s="463"/>
      <c r="B940" s="463"/>
      <c r="C940" s="463"/>
      <c r="D940" s="463"/>
      <c r="E940" s="463"/>
      <c r="F940" s="463"/>
      <c r="G940" s="463"/>
      <c r="H940" s="463"/>
      <c r="I940" s="463"/>
      <c r="J940" s="463"/>
      <c r="K940" s="463"/>
      <c r="L940" s="463"/>
      <c r="M940" s="463"/>
      <c r="N940" s="463"/>
      <c r="O940" s="463"/>
      <c r="P940" s="463"/>
      <c r="Q940" s="463"/>
      <c r="R940" s="463"/>
      <c r="S940" s="463"/>
      <c r="T940" s="463"/>
      <c r="U940" s="463"/>
      <c r="V940" s="463"/>
      <c r="W940" s="463"/>
      <c r="X940" s="463"/>
      <c r="Y940" s="463"/>
      <c r="Z940" s="463"/>
    </row>
    <row r="941" spans="1:26" ht="15.75" customHeight="1" x14ac:dyDescent="0.3">
      <c r="A941" s="463"/>
      <c r="B941" s="463"/>
      <c r="C941" s="463"/>
      <c r="D941" s="463"/>
      <c r="E941" s="463"/>
      <c r="F941" s="463"/>
      <c r="G941" s="463"/>
      <c r="H941" s="463"/>
      <c r="I941" s="463"/>
      <c r="J941" s="463"/>
      <c r="K941" s="463"/>
      <c r="L941" s="463"/>
      <c r="M941" s="463"/>
      <c r="N941" s="463"/>
      <c r="O941" s="463"/>
      <c r="P941" s="463"/>
      <c r="Q941" s="463"/>
      <c r="R941" s="463"/>
      <c r="S941" s="463"/>
      <c r="T941" s="463"/>
      <c r="U941" s="463"/>
      <c r="V941" s="463"/>
      <c r="W941" s="463"/>
      <c r="X941" s="463"/>
      <c r="Y941" s="463"/>
      <c r="Z941" s="463"/>
    </row>
    <row r="942" spans="1:26" ht="15.75" customHeight="1" x14ac:dyDescent="0.3">
      <c r="A942" s="463"/>
      <c r="B942" s="463"/>
      <c r="C942" s="463"/>
      <c r="D942" s="463"/>
      <c r="E942" s="463"/>
      <c r="F942" s="463"/>
      <c r="G942" s="463"/>
      <c r="H942" s="463"/>
      <c r="I942" s="463"/>
      <c r="J942" s="463"/>
      <c r="K942" s="463"/>
      <c r="L942" s="463"/>
      <c r="M942" s="463"/>
      <c r="N942" s="463"/>
      <c r="O942" s="463"/>
      <c r="P942" s="463"/>
      <c r="Q942" s="463"/>
      <c r="R942" s="463"/>
      <c r="S942" s="463"/>
      <c r="T942" s="463"/>
      <c r="U942" s="463"/>
      <c r="V942" s="463"/>
      <c r="W942" s="463"/>
      <c r="X942" s="463"/>
      <c r="Y942" s="463"/>
      <c r="Z942" s="463"/>
    </row>
    <row r="943" spans="1:26" ht="15.75" customHeight="1" x14ac:dyDescent="0.3">
      <c r="A943" s="463"/>
      <c r="B943" s="463"/>
      <c r="C943" s="463"/>
      <c r="D943" s="463"/>
      <c r="E943" s="463"/>
      <c r="F943" s="463"/>
      <c r="G943" s="463"/>
      <c r="H943" s="463"/>
      <c r="I943" s="463"/>
      <c r="J943" s="463"/>
      <c r="K943" s="463"/>
      <c r="L943" s="463"/>
      <c r="M943" s="463"/>
      <c r="N943" s="463"/>
      <c r="O943" s="463"/>
      <c r="P943" s="463"/>
      <c r="Q943" s="463"/>
      <c r="R943" s="463"/>
      <c r="S943" s="463"/>
      <c r="T943" s="463"/>
      <c r="U943" s="463"/>
      <c r="V943" s="463"/>
      <c r="W943" s="463"/>
      <c r="X943" s="463"/>
      <c r="Y943" s="463"/>
      <c r="Z943" s="463"/>
    </row>
    <row r="944" spans="1:26" ht="15.75" customHeight="1" x14ac:dyDescent="0.3">
      <c r="A944" s="463"/>
      <c r="B944" s="463"/>
      <c r="C944" s="463"/>
      <c r="D944" s="463"/>
      <c r="E944" s="463"/>
      <c r="F944" s="463"/>
      <c r="G944" s="463"/>
      <c r="H944" s="463"/>
      <c r="I944" s="463"/>
      <c r="J944" s="463"/>
      <c r="K944" s="463"/>
      <c r="L944" s="463"/>
      <c r="M944" s="463"/>
      <c r="N944" s="463"/>
      <c r="O944" s="463"/>
      <c r="P944" s="463"/>
      <c r="Q944" s="463"/>
      <c r="R944" s="463"/>
      <c r="S944" s="463"/>
      <c r="T944" s="463"/>
      <c r="U944" s="463"/>
      <c r="V944" s="463"/>
      <c r="W944" s="463"/>
      <c r="X944" s="463"/>
      <c r="Y944" s="463"/>
      <c r="Z944" s="463"/>
    </row>
    <row r="945" spans="1:26" ht="15.75" customHeight="1" x14ac:dyDescent="0.3">
      <c r="A945" s="463"/>
      <c r="B945" s="463"/>
      <c r="C945" s="463"/>
      <c r="D945" s="463"/>
      <c r="E945" s="463"/>
      <c r="F945" s="463"/>
      <c r="G945" s="463"/>
      <c r="H945" s="463"/>
      <c r="I945" s="463"/>
      <c r="J945" s="463"/>
      <c r="K945" s="463"/>
      <c r="L945" s="463"/>
      <c r="M945" s="463"/>
      <c r="N945" s="463"/>
      <c r="O945" s="463"/>
      <c r="P945" s="463"/>
      <c r="Q945" s="463"/>
      <c r="R945" s="463"/>
      <c r="S945" s="463"/>
      <c r="T945" s="463"/>
      <c r="U945" s="463"/>
      <c r="V945" s="463"/>
      <c r="W945" s="463"/>
      <c r="X945" s="463"/>
      <c r="Y945" s="463"/>
      <c r="Z945" s="463"/>
    </row>
    <row r="946" spans="1:26" ht="15.75" customHeight="1" x14ac:dyDescent="0.3">
      <c r="A946" s="463"/>
      <c r="B946" s="463"/>
      <c r="C946" s="463"/>
      <c r="D946" s="463"/>
      <c r="E946" s="463"/>
      <c r="F946" s="463"/>
      <c r="G946" s="463"/>
      <c r="H946" s="463"/>
      <c r="I946" s="463"/>
      <c r="J946" s="463"/>
      <c r="K946" s="463"/>
      <c r="L946" s="463"/>
      <c r="M946" s="463"/>
      <c r="N946" s="463"/>
      <c r="O946" s="463"/>
      <c r="P946" s="463"/>
      <c r="Q946" s="463"/>
      <c r="R946" s="463"/>
      <c r="S946" s="463"/>
      <c r="T946" s="463"/>
      <c r="U946" s="463"/>
      <c r="V946" s="463"/>
      <c r="W946" s="463"/>
      <c r="X946" s="463"/>
      <c r="Y946" s="463"/>
      <c r="Z946" s="463"/>
    </row>
    <row r="947" spans="1:26" ht="15.75" customHeight="1" x14ac:dyDescent="0.3">
      <c r="A947" s="463"/>
      <c r="B947" s="463"/>
      <c r="C947" s="463"/>
      <c r="D947" s="463"/>
      <c r="E947" s="463"/>
      <c r="F947" s="463"/>
      <c r="G947" s="463"/>
      <c r="H947" s="463"/>
      <c r="I947" s="463"/>
      <c r="J947" s="463"/>
      <c r="K947" s="463"/>
      <c r="L947" s="463"/>
      <c r="M947" s="463"/>
      <c r="N947" s="463"/>
      <c r="O947" s="463"/>
      <c r="P947" s="463"/>
      <c r="Q947" s="463"/>
      <c r="R947" s="463"/>
      <c r="S947" s="463"/>
      <c r="T947" s="463"/>
      <c r="U947" s="463"/>
      <c r="V947" s="463"/>
      <c r="W947" s="463"/>
      <c r="X947" s="463"/>
      <c r="Y947" s="463"/>
      <c r="Z947" s="463"/>
    </row>
    <row r="948" spans="1:26" ht="15.75" customHeight="1" x14ac:dyDescent="0.3">
      <c r="A948" s="463"/>
      <c r="B948" s="463"/>
      <c r="C948" s="463"/>
      <c r="D948" s="463"/>
      <c r="E948" s="463"/>
      <c r="F948" s="463"/>
      <c r="G948" s="463"/>
      <c r="H948" s="463"/>
      <c r="I948" s="463"/>
      <c r="J948" s="463"/>
      <c r="K948" s="463"/>
      <c r="L948" s="463"/>
      <c r="M948" s="463"/>
      <c r="N948" s="463"/>
      <c r="O948" s="463"/>
      <c r="P948" s="463"/>
      <c r="Q948" s="463"/>
      <c r="R948" s="463"/>
      <c r="S948" s="463"/>
      <c r="T948" s="463"/>
      <c r="U948" s="463"/>
      <c r="V948" s="463"/>
      <c r="W948" s="463"/>
      <c r="X948" s="463"/>
      <c r="Y948" s="463"/>
      <c r="Z948" s="463"/>
    </row>
    <row r="949" spans="1:26" ht="15.75" customHeight="1" x14ac:dyDescent="0.3">
      <c r="A949" s="463"/>
      <c r="B949" s="463"/>
      <c r="C949" s="463"/>
      <c r="D949" s="463"/>
      <c r="E949" s="463"/>
      <c r="F949" s="463"/>
      <c r="G949" s="463"/>
      <c r="H949" s="463"/>
      <c r="I949" s="463"/>
      <c r="J949" s="463"/>
      <c r="K949" s="463"/>
      <c r="L949" s="463"/>
      <c r="M949" s="463"/>
      <c r="N949" s="463"/>
      <c r="O949" s="463"/>
      <c r="P949" s="463"/>
      <c r="Q949" s="463"/>
      <c r="R949" s="463"/>
      <c r="S949" s="463"/>
      <c r="T949" s="463"/>
      <c r="U949" s="463"/>
      <c r="V949" s="463"/>
      <c r="W949" s="463"/>
      <c r="X949" s="463"/>
      <c r="Y949" s="463"/>
      <c r="Z949" s="463"/>
    </row>
    <row r="950" spans="1:26" ht="15.75" customHeight="1" x14ac:dyDescent="0.3">
      <c r="A950" s="463"/>
      <c r="B950" s="463"/>
      <c r="C950" s="463"/>
      <c r="D950" s="463"/>
      <c r="E950" s="463"/>
      <c r="F950" s="463"/>
      <c r="G950" s="463"/>
      <c r="H950" s="463"/>
      <c r="I950" s="463"/>
      <c r="J950" s="463"/>
      <c r="K950" s="463"/>
      <c r="L950" s="463"/>
      <c r="M950" s="463"/>
      <c r="N950" s="463"/>
      <c r="O950" s="463"/>
      <c r="P950" s="463"/>
      <c r="Q950" s="463"/>
      <c r="R950" s="463"/>
      <c r="S950" s="463"/>
      <c r="T950" s="463"/>
      <c r="U950" s="463"/>
      <c r="V950" s="463"/>
      <c r="W950" s="463"/>
      <c r="X950" s="463"/>
      <c r="Y950" s="463"/>
      <c r="Z950" s="463"/>
    </row>
    <row r="951" spans="1:26" ht="15.75" customHeight="1" x14ac:dyDescent="0.3">
      <c r="A951" s="463"/>
      <c r="B951" s="463"/>
      <c r="C951" s="463"/>
      <c r="D951" s="463"/>
      <c r="E951" s="463"/>
      <c r="F951" s="463"/>
      <c r="G951" s="463"/>
      <c r="H951" s="463"/>
      <c r="I951" s="463"/>
      <c r="J951" s="463"/>
      <c r="K951" s="463"/>
      <c r="L951" s="463"/>
      <c r="M951" s="463"/>
      <c r="N951" s="463"/>
      <c r="O951" s="463"/>
      <c r="P951" s="463"/>
      <c r="Q951" s="463"/>
      <c r="R951" s="463"/>
      <c r="S951" s="463"/>
      <c r="T951" s="463"/>
      <c r="U951" s="463"/>
      <c r="V951" s="463"/>
      <c r="W951" s="463"/>
      <c r="X951" s="463"/>
      <c r="Y951" s="463"/>
      <c r="Z951" s="463"/>
    </row>
    <row r="952" spans="1:26" ht="15.75" customHeight="1" x14ac:dyDescent="0.3">
      <c r="A952" s="463"/>
      <c r="B952" s="463"/>
      <c r="C952" s="463"/>
      <c r="D952" s="463"/>
      <c r="E952" s="463"/>
      <c r="F952" s="463"/>
      <c r="G952" s="463"/>
      <c r="H952" s="463"/>
      <c r="I952" s="463"/>
      <c r="J952" s="463"/>
      <c r="K952" s="463"/>
      <c r="L952" s="463"/>
      <c r="M952" s="463"/>
      <c r="N952" s="463"/>
      <c r="O952" s="463"/>
      <c r="P952" s="463"/>
      <c r="Q952" s="463"/>
      <c r="R952" s="463"/>
      <c r="S952" s="463"/>
      <c r="T952" s="463"/>
      <c r="U952" s="463"/>
      <c r="V952" s="463"/>
      <c r="W952" s="463"/>
      <c r="X952" s="463"/>
      <c r="Y952" s="463"/>
      <c r="Z952" s="463"/>
    </row>
    <row r="953" spans="1:26" ht="15.75" customHeight="1" x14ac:dyDescent="0.3">
      <c r="A953" s="463"/>
      <c r="B953" s="463"/>
      <c r="C953" s="463"/>
      <c r="D953" s="463"/>
      <c r="E953" s="463"/>
      <c r="F953" s="463"/>
      <c r="G953" s="463"/>
      <c r="H953" s="463"/>
      <c r="I953" s="463"/>
      <c r="J953" s="463"/>
      <c r="K953" s="463"/>
      <c r="L953" s="463"/>
      <c r="M953" s="463"/>
      <c r="N953" s="463"/>
      <c r="O953" s="463"/>
      <c r="P953" s="463"/>
      <c r="Q953" s="463"/>
      <c r="R953" s="463"/>
      <c r="S953" s="463"/>
      <c r="T953" s="463"/>
      <c r="U953" s="463"/>
      <c r="V953" s="463"/>
      <c r="W953" s="463"/>
      <c r="X953" s="463"/>
      <c r="Y953" s="463"/>
      <c r="Z953" s="463"/>
    </row>
    <row r="954" spans="1:26" ht="15.75" customHeight="1" x14ac:dyDescent="0.3">
      <c r="A954" s="463"/>
      <c r="B954" s="463"/>
      <c r="C954" s="463"/>
      <c r="D954" s="463"/>
      <c r="E954" s="463"/>
      <c r="F954" s="463"/>
      <c r="G954" s="463"/>
      <c r="H954" s="463"/>
      <c r="I954" s="463"/>
      <c r="J954" s="463"/>
      <c r="K954" s="463"/>
      <c r="L954" s="463"/>
      <c r="M954" s="463"/>
      <c r="N954" s="463"/>
      <c r="O954" s="463"/>
      <c r="P954" s="463"/>
      <c r="Q954" s="463"/>
      <c r="R954" s="463"/>
      <c r="S954" s="463"/>
      <c r="T954" s="463"/>
      <c r="U954" s="463"/>
      <c r="V954" s="463"/>
      <c r="W954" s="463"/>
      <c r="X954" s="463"/>
      <c r="Y954" s="463"/>
      <c r="Z954" s="463"/>
    </row>
    <row r="955" spans="1:26" ht="15.75" customHeight="1" x14ac:dyDescent="0.3">
      <c r="A955" s="463"/>
      <c r="B955" s="463"/>
      <c r="C955" s="463"/>
      <c r="D955" s="463"/>
      <c r="E955" s="463"/>
      <c r="F955" s="463"/>
      <c r="G955" s="463"/>
      <c r="H955" s="463"/>
      <c r="I955" s="463"/>
      <c r="J955" s="463"/>
      <c r="K955" s="463"/>
      <c r="L955" s="463"/>
      <c r="M955" s="463"/>
      <c r="N955" s="463"/>
      <c r="O955" s="463"/>
      <c r="P955" s="463"/>
      <c r="Q955" s="463"/>
      <c r="R955" s="463"/>
      <c r="S955" s="463"/>
      <c r="T955" s="463"/>
      <c r="U955" s="463"/>
      <c r="V955" s="463"/>
      <c r="W955" s="463"/>
      <c r="X955" s="463"/>
      <c r="Y955" s="463"/>
      <c r="Z955" s="463"/>
    </row>
    <row r="956" spans="1:26" ht="15.75" customHeight="1" x14ac:dyDescent="0.3">
      <c r="A956" s="463"/>
      <c r="B956" s="463"/>
      <c r="C956" s="463"/>
      <c r="D956" s="463"/>
      <c r="E956" s="463"/>
      <c r="F956" s="463"/>
      <c r="G956" s="463"/>
      <c r="H956" s="463"/>
      <c r="I956" s="463"/>
      <c r="J956" s="463"/>
      <c r="K956" s="463"/>
      <c r="L956" s="463"/>
      <c r="M956" s="463"/>
      <c r="N956" s="463"/>
      <c r="O956" s="463"/>
      <c r="P956" s="463"/>
      <c r="Q956" s="463"/>
      <c r="R956" s="463"/>
      <c r="S956" s="463"/>
      <c r="T956" s="463"/>
      <c r="U956" s="463"/>
      <c r="V956" s="463"/>
      <c r="W956" s="463"/>
      <c r="X956" s="463"/>
      <c r="Y956" s="463"/>
      <c r="Z956" s="463"/>
    </row>
    <row r="957" spans="1:26" ht="15.75" customHeight="1" x14ac:dyDescent="0.3">
      <c r="A957" s="463"/>
      <c r="B957" s="463"/>
      <c r="C957" s="463"/>
      <c r="D957" s="463"/>
      <c r="E957" s="463"/>
      <c r="F957" s="463"/>
      <c r="G957" s="463"/>
      <c r="H957" s="463"/>
      <c r="I957" s="463"/>
      <c r="J957" s="463"/>
      <c r="K957" s="463"/>
      <c r="L957" s="463"/>
      <c r="M957" s="463"/>
      <c r="N957" s="463"/>
      <c r="O957" s="463"/>
      <c r="P957" s="463"/>
      <c r="Q957" s="463"/>
      <c r="R957" s="463"/>
      <c r="S957" s="463"/>
      <c r="T957" s="463"/>
      <c r="U957" s="463"/>
      <c r="V957" s="463"/>
      <c r="W957" s="463"/>
      <c r="X957" s="463"/>
      <c r="Y957" s="463"/>
      <c r="Z957" s="463"/>
    </row>
    <row r="958" spans="1:26" ht="15.75" customHeight="1" x14ac:dyDescent="0.3">
      <c r="A958" s="463"/>
      <c r="B958" s="463"/>
      <c r="C958" s="463"/>
      <c r="D958" s="463"/>
      <c r="E958" s="463"/>
      <c r="F958" s="463"/>
      <c r="G958" s="463"/>
      <c r="H958" s="463"/>
      <c r="I958" s="463"/>
      <c r="J958" s="463"/>
      <c r="K958" s="463"/>
      <c r="L958" s="463"/>
      <c r="M958" s="463"/>
      <c r="N958" s="463"/>
      <c r="O958" s="463"/>
      <c r="P958" s="463"/>
      <c r="Q958" s="463"/>
      <c r="R958" s="463"/>
      <c r="S958" s="463"/>
      <c r="T958" s="463"/>
      <c r="U958" s="463"/>
      <c r="V958" s="463"/>
      <c r="W958" s="463"/>
      <c r="X958" s="463"/>
      <c r="Y958" s="463"/>
      <c r="Z958" s="463"/>
    </row>
    <row r="959" spans="1:26" ht="15.75" customHeight="1" x14ac:dyDescent="0.3">
      <c r="A959" s="463"/>
      <c r="B959" s="463"/>
      <c r="C959" s="463"/>
      <c r="D959" s="463"/>
      <c r="E959" s="463"/>
      <c r="F959" s="463"/>
      <c r="G959" s="463"/>
      <c r="H959" s="463"/>
      <c r="I959" s="463"/>
      <c r="J959" s="463"/>
      <c r="K959" s="463"/>
      <c r="L959" s="463"/>
      <c r="M959" s="463"/>
      <c r="N959" s="463"/>
      <c r="O959" s="463"/>
      <c r="P959" s="463"/>
      <c r="Q959" s="463"/>
      <c r="R959" s="463"/>
      <c r="S959" s="463"/>
      <c r="T959" s="463"/>
      <c r="U959" s="463"/>
      <c r="V959" s="463"/>
      <c r="W959" s="463"/>
      <c r="X959" s="463"/>
      <c r="Y959" s="463"/>
      <c r="Z959" s="463"/>
    </row>
    <row r="960" spans="1:26" ht="15.75" customHeight="1" x14ac:dyDescent="0.3">
      <c r="A960" s="463"/>
      <c r="B960" s="463"/>
      <c r="C960" s="463"/>
      <c r="D960" s="463"/>
      <c r="E960" s="463"/>
      <c r="F960" s="463"/>
      <c r="G960" s="463"/>
      <c r="H960" s="463"/>
      <c r="I960" s="463"/>
      <c r="J960" s="463"/>
      <c r="K960" s="463"/>
      <c r="L960" s="463"/>
      <c r="M960" s="463"/>
      <c r="N960" s="463"/>
      <c r="O960" s="463"/>
      <c r="P960" s="463"/>
      <c r="Q960" s="463"/>
      <c r="R960" s="463"/>
      <c r="S960" s="463"/>
      <c r="T960" s="463"/>
      <c r="U960" s="463"/>
      <c r="V960" s="463"/>
      <c r="W960" s="463"/>
      <c r="X960" s="463"/>
      <c r="Y960" s="463"/>
      <c r="Z960" s="463"/>
    </row>
    <row r="961" spans="1:26" ht="15.75" customHeight="1" x14ac:dyDescent="0.3">
      <c r="A961" s="463"/>
      <c r="B961" s="463"/>
      <c r="C961" s="463"/>
      <c r="D961" s="463"/>
      <c r="E961" s="463"/>
      <c r="F961" s="463"/>
      <c r="G961" s="463"/>
      <c r="H961" s="463"/>
      <c r="I961" s="463"/>
      <c r="J961" s="463"/>
      <c r="K961" s="463"/>
      <c r="L961" s="463"/>
      <c r="M961" s="463"/>
      <c r="N961" s="463"/>
      <c r="O961" s="463"/>
      <c r="P961" s="463"/>
      <c r="Q961" s="463"/>
      <c r="R961" s="463"/>
      <c r="S961" s="463"/>
      <c r="T961" s="463"/>
      <c r="U961" s="463"/>
      <c r="V961" s="463"/>
      <c r="W961" s="463"/>
      <c r="X961" s="463"/>
      <c r="Y961" s="463"/>
      <c r="Z961" s="463"/>
    </row>
    <row r="962" spans="1:26" ht="15.75" customHeight="1" x14ac:dyDescent="0.3">
      <c r="A962" s="463"/>
      <c r="B962" s="463"/>
      <c r="C962" s="463"/>
      <c r="D962" s="463"/>
      <c r="E962" s="463"/>
      <c r="F962" s="463"/>
      <c r="G962" s="463"/>
      <c r="H962" s="463"/>
      <c r="I962" s="463"/>
      <c r="J962" s="463"/>
      <c r="K962" s="463"/>
      <c r="L962" s="463"/>
      <c r="M962" s="463"/>
      <c r="N962" s="463"/>
      <c r="O962" s="463"/>
      <c r="P962" s="463"/>
      <c r="Q962" s="463"/>
      <c r="R962" s="463"/>
      <c r="S962" s="463"/>
      <c r="T962" s="463"/>
      <c r="U962" s="463"/>
      <c r="V962" s="463"/>
      <c r="W962" s="463"/>
      <c r="X962" s="463"/>
      <c r="Y962" s="463"/>
      <c r="Z962" s="463"/>
    </row>
    <row r="963" spans="1:26" ht="15.75" customHeight="1" x14ac:dyDescent="0.3">
      <c r="A963" s="463"/>
      <c r="B963" s="463"/>
      <c r="C963" s="463"/>
      <c r="D963" s="463"/>
      <c r="E963" s="463"/>
      <c r="F963" s="463"/>
      <c r="G963" s="463"/>
      <c r="H963" s="463"/>
      <c r="I963" s="463"/>
      <c r="J963" s="463"/>
      <c r="K963" s="463"/>
      <c r="L963" s="463"/>
      <c r="M963" s="463"/>
      <c r="N963" s="463"/>
      <c r="O963" s="463"/>
      <c r="P963" s="463"/>
      <c r="Q963" s="463"/>
      <c r="R963" s="463"/>
      <c r="S963" s="463"/>
      <c r="T963" s="463"/>
      <c r="U963" s="463"/>
      <c r="V963" s="463"/>
      <c r="W963" s="463"/>
      <c r="X963" s="463"/>
      <c r="Y963" s="463"/>
      <c r="Z963" s="463"/>
    </row>
    <row r="964" spans="1:26" ht="15.75" customHeight="1" x14ac:dyDescent="0.3">
      <c r="A964" s="463"/>
      <c r="B964" s="463"/>
      <c r="C964" s="463"/>
      <c r="D964" s="463"/>
      <c r="E964" s="463"/>
      <c r="F964" s="463"/>
      <c r="G964" s="463"/>
      <c r="H964" s="463"/>
      <c r="I964" s="463"/>
      <c r="J964" s="463"/>
      <c r="K964" s="463"/>
      <c r="L964" s="463"/>
      <c r="M964" s="463"/>
      <c r="N964" s="463"/>
      <c r="O964" s="463"/>
      <c r="P964" s="463"/>
      <c r="Q964" s="463"/>
      <c r="R964" s="463"/>
      <c r="S964" s="463"/>
      <c r="T964" s="463"/>
      <c r="U964" s="463"/>
      <c r="V964" s="463"/>
      <c r="W964" s="463"/>
      <c r="X964" s="463"/>
      <c r="Y964" s="463"/>
      <c r="Z964" s="463"/>
    </row>
    <row r="965" spans="1:26" ht="15.75" customHeight="1" x14ac:dyDescent="0.3">
      <c r="A965" s="463"/>
      <c r="B965" s="463"/>
      <c r="C965" s="463"/>
      <c r="D965" s="463"/>
      <c r="E965" s="463"/>
      <c r="F965" s="463"/>
      <c r="G965" s="463"/>
      <c r="H965" s="463"/>
      <c r="I965" s="463"/>
      <c r="J965" s="463"/>
      <c r="K965" s="463"/>
      <c r="L965" s="463"/>
      <c r="M965" s="463"/>
      <c r="N965" s="463"/>
      <c r="O965" s="463"/>
      <c r="P965" s="463"/>
      <c r="Q965" s="463"/>
      <c r="R965" s="463"/>
      <c r="S965" s="463"/>
      <c r="T965" s="463"/>
      <c r="U965" s="463"/>
      <c r="V965" s="463"/>
      <c r="W965" s="463"/>
      <c r="X965" s="463"/>
      <c r="Y965" s="463"/>
      <c r="Z965" s="463"/>
    </row>
    <row r="966" spans="1:26" ht="15.75" customHeight="1" x14ac:dyDescent="0.3">
      <c r="A966" s="463"/>
      <c r="B966" s="463"/>
      <c r="C966" s="463"/>
      <c r="D966" s="463"/>
      <c r="E966" s="463"/>
      <c r="F966" s="463"/>
      <c r="G966" s="463"/>
      <c r="H966" s="463"/>
      <c r="I966" s="463"/>
      <c r="J966" s="463"/>
      <c r="K966" s="463"/>
      <c r="L966" s="463"/>
      <c r="M966" s="463"/>
      <c r="N966" s="463"/>
      <c r="O966" s="463"/>
      <c r="P966" s="463"/>
      <c r="Q966" s="463"/>
      <c r="R966" s="463"/>
      <c r="S966" s="463"/>
      <c r="T966" s="463"/>
      <c r="U966" s="463"/>
      <c r="V966" s="463"/>
      <c r="W966" s="463"/>
      <c r="X966" s="463"/>
      <c r="Y966" s="463"/>
      <c r="Z966" s="463"/>
    </row>
    <row r="967" spans="1:26" ht="15.75" customHeight="1" x14ac:dyDescent="0.3">
      <c r="A967" s="463"/>
      <c r="B967" s="463"/>
      <c r="C967" s="463"/>
      <c r="D967" s="463"/>
      <c r="E967" s="463"/>
      <c r="F967" s="463"/>
      <c r="G967" s="463"/>
      <c r="H967" s="463"/>
      <c r="I967" s="463"/>
      <c r="J967" s="463"/>
      <c r="K967" s="463"/>
      <c r="L967" s="463"/>
      <c r="M967" s="463"/>
      <c r="N967" s="463"/>
      <c r="O967" s="463"/>
      <c r="P967" s="463"/>
      <c r="Q967" s="463"/>
      <c r="R967" s="463"/>
      <c r="S967" s="463"/>
      <c r="T967" s="463"/>
      <c r="U967" s="463"/>
      <c r="V967" s="463"/>
      <c r="W967" s="463"/>
      <c r="X967" s="463"/>
      <c r="Y967" s="463"/>
      <c r="Z967" s="463"/>
    </row>
    <row r="968" spans="1:26" ht="15.75" customHeight="1" x14ac:dyDescent="0.3">
      <c r="A968" s="463"/>
      <c r="B968" s="463"/>
      <c r="C968" s="463"/>
      <c r="D968" s="463"/>
      <c r="E968" s="463"/>
      <c r="F968" s="463"/>
      <c r="G968" s="463"/>
      <c r="H968" s="463"/>
      <c r="I968" s="463"/>
      <c r="J968" s="463"/>
      <c r="K968" s="463"/>
      <c r="L968" s="463"/>
      <c r="M968" s="463"/>
      <c r="N968" s="463"/>
      <c r="O968" s="463"/>
      <c r="P968" s="463"/>
      <c r="Q968" s="463"/>
      <c r="R968" s="463"/>
      <c r="S968" s="463"/>
      <c r="T968" s="463"/>
      <c r="U968" s="463"/>
      <c r="V968" s="463"/>
      <c r="W968" s="463"/>
      <c r="X968" s="463"/>
      <c r="Y968" s="463"/>
      <c r="Z968" s="463"/>
    </row>
    <row r="969" spans="1:26" ht="15.75" customHeight="1" x14ac:dyDescent="0.3">
      <c r="A969" s="463"/>
      <c r="B969" s="463"/>
      <c r="C969" s="463"/>
      <c r="D969" s="463"/>
      <c r="E969" s="463"/>
      <c r="F969" s="463"/>
      <c r="G969" s="463"/>
      <c r="H969" s="463"/>
      <c r="I969" s="463"/>
      <c r="J969" s="463"/>
      <c r="K969" s="463"/>
      <c r="L969" s="463"/>
      <c r="M969" s="463"/>
      <c r="N969" s="463"/>
      <c r="O969" s="463"/>
      <c r="P969" s="463"/>
      <c r="Q969" s="463"/>
      <c r="R969" s="463"/>
      <c r="S969" s="463"/>
      <c r="T969" s="463"/>
      <c r="U969" s="463"/>
      <c r="V969" s="463"/>
      <c r="W969" s="463"/>
      <c r="X969" s="463"/>
      <c r="Y969" s="463"/>
      <c r="Z969" s="463"/>
    </row>
    <row r="970" spans="1:26" ht="15.75" customHeight="1" x14ac:dyDescent="0.3">
      <c r="A970" s="463"/>
      <c r="B970" s="463"/>
      <c r="C970" s="463"/>
      <c r="D970" s="463"/>
      <c r="E970" s="463"/>
      <c r="F970" s="463"/>
      <c r="G970" s="463"/>
      <c r="H970" s="463"/>
      <c r="I970" s="463"/>
      <c r="J970" s="463"/>
      <c r="K970" s="463"/>
      <c r="L970" s="463"/>
      <c r="M970" s="463"/>
      <c r="N970" s="463"/>
      <c r="O970" s="463"/>
      <c r="P970" s="463"/>
      <c r="Q970" s="463"/>
      <c r="R970" s="463"/>
      <c r="S970" s="463"/>
      <c r="T970" s="463"/>
      <c r="U970" s="463"/>
      <c r="V970" s="463"/>
      <c r="W970" s="463"/>
      <c r="X970" s="463"/>
      <c r="Y970" s="463"/>
      <c r="Z970" s="463"/>
    </row>
    <row r="971" spans="1:26" ht="15.75" customHeight="1" x14ac:dyDescent="0.3">
      <c r="A971" s="463"/>
      <c r="B971" s="463"/>
      <c r="C971" s="463"/>
      <c r="D971" s="463"/>
      <c r="E971" s="463"/>
      <c r="F971" s="463"/>
      <c r="G971" s="463"/>
      <c r="H971" s="463"/>
      <c r="I971" s="463"/>
      <c r="J971" s="463"/>
      <c r="K971" s="463"/>
      <c r="L971" s="463"/>
      <c r="M971" s="463"/>
      <c r="N971" s="463"/>
      <c r="O971" s="463"/>
      <c r="P971" s="463"/>
      <c r="Q971" s="463"/>
      <c r="R971" s="463"/>
      <c r="S971" s="463"/>
      <c r="T971" s="463"/>
      <c r="U971" s="463"/>
      <c r="V971" s="463"/>
      <c r="W971" s="463"/>
      <c r="X971" s="463"/>
      <c r="Y971" s="463"/>
      <c r="Z971" s="463"/>
    </row>
    <row r="972" spans="1:26" ht="15.75" customHeight="1" x14ac:dyDescent="0.3">
      <c r="A972" s="463"/>
      <c r="B972" s="463"/>
      <c r="C972" s="463"/>
      <c r="D972" s="463"/>
      <c r="E972" s="463"/>
      <c r="F972" s="463"/>
      <c r="G972" s="463"/>
      <c r="H972" s="463"/>
      <c r="I972" s="463"/>
      <c r="J972" s="463"/>
      <c r="K972" s="463"/>
      <c r="L972" s="463"/>
      <c r="M972" s="463"/>
      <c r="N972" s="463"/>
      <c r="O972" s="463"/>
      <c r="P972" s="463"/>
      <c r="Q972" s="463"/>
      <c r="R972" s="463"/>
      <c r="S972" s="463"/>
      <c r="T972" s="463"/>
      <c r="U972" s="463"/>
      <c r="V972" s="463"/>
      <c r="W972" s="463"/>
      <c r="X972" s="463"/>
      <c r="Y972" s="463"/>
      <c r="Z972" s="463"/>
    </row>
    <row r="973" spans="1:26" ht="15.75" customHeight="1" x14ac:dyDescent="0.3">
      <c r="A973" s="463"/>
      <c r="B973" s="463"/>
      <c r="C973" s="463"/>
      <c r="D973" s="463"/>
      <c r="E973" s="463"/>
      <c r="F973" s="463"/>
      <c r="G973" s="463"/>
      <c r="H973" s="463"/>
      <c r="I973" s="463"/>
      <c r="J973" s="463"/>
      <c r="K973" s="463"/>
      <c r="L973" s="463"/>
      <c r="M973" s="463"/>
      <c r="N973" s="463"/>
      <c r="O973" s="463"/>
      <c r="P973" s="463"/>
      <c r="Q973" s="463"/>
      <c r="R973" s="463"/>
      <c r="S973" s="463"/>
      <c r="T973" s="463"/>
      <c r="U973" s="463"/>
      <c r="V973" s="463"/>
      <c r="W973" s="463"/>
      <c r="X973" s="463"/>
      <c r="Y973" s="463"/>
      <c r="Z973" s="463"/>
    </row>
    <row r="974" spans="1:26" ht="15.75" customHeight="1" x14ac:dyDescent="0.3">
      <c r="A974" s="463"/>
      <c r="B974" s="463"/>
      <c r="C974" s="463"/>
      <c r="D974" s="463"/>
      <c r="E974" s="463"/>
      <c r="F974" s="463"/>
      <c r="G974" s="463"/>
      <c r="H974" s="463"/>
      <c r="I974" s="463"/>
      <c r="J974" s="463"/>
      <c r="K974" s="463"/>
      <c r="L974" s="463"/>
      <c r="M974" s="463"/>
      <c r="N974" s="463"/>
      <c r="O974" s="463"/>
      <c r="P974" s="463"/>
      <c r="Q974" s="463"/>
      <c r="R974" s="463"/>
      <c r="S974" s="463"/>
      <c r="T974" s="463"/>
      <c r="U974" s="463"/>
      <c r="V974" s="463"/>
      <c r="W974" s="463"/>
      <c r="X974" s="463"/>
      <c r="Y974" s="463"/>
      <c r="Z974" s="463"/>
    </row>
    <row r="975" spans="1:26" ht="15.75" customHeight="1" x14ac:dyDescent="0.3">
      <c r="A975" s="463"/>
      <c r="B975" s="463"/>
      <c r="C975" s="463"/>
      <c r="D975" s="463"/>
      <c r="E975" s="463"/>
      <c r="F975" s="463"/>
      <c r="G975" s="463"/>
      <c r="H975" s="463"/>
      <c r="I975" s="463"/>
      <c r="J975" s="463"/>
      <c r="K975" s="463"/>
      <c r="L975" s="463"/>
      <c r="M975" s="463"/>
      <c r="N975" s="463"/>
      <c r="O975" s="463"/>
      <c r="P975" s="463"/>
      <c r="Q975" s="463"/>
      <c r="R975" s="463"/>
      <c r="S975" s="463"/>
      <c r="T975" s="463"/>
      <c r="U975" s="463"/>
      <c r="V975" s="463"/>
      <c r="W975" s="463"/>
      <c r="X975" s="463"/>
      <c r="Y975" s="463"/>
      <c r="Z975" s="463"/>
    </row>
    <row r="976" spans="1:26" ht="15.75" customHeight="1" x14ac:dyDescent="0.3">
      <c r="A976" s="463"/>
      <c r="B976" s="463"/>
      <c r="C976" s="463"/>
      <c r="D976" s="463"/>
      <c r="E976" s="463"/>
      <c r="F976" s="463"/>
      <c r="G976" s="463"/>
      <c r="H976" s="463"/>
      <c r="I976" s="463"/>
      <c r="J976" s="463"/>
      <c r="K976" s="463"/>
      <c r="L976" s="463"/>
      <c r="M976" s="463"/>
      <c r="N976" s="463"/>
      <c r="O976" s="463"/>
      <c r="P976" s="463"/>
      <c r="Q976" s="463"/>
      <c r="R976" s="463"/>
      <c r="S976" s="463"/>
      <c r="T976" s="463"/>
      <c r="U976" s="463"/>
      <c r="V976" s="463"/>
      <c r="W976" s="463"/>
      <c r="X976" s="463"/>
      <c r="Y976" s="463"/>
      <c r="Z976" s="463"/>
    </row>
    <row r="977" spans="1:26" ht="15.75" customHeight="1" x14ac:dyDescent="0.3">
      <c r="A977" s="463"/>
      <c r="B977" s="463"/>
      <c r="C977" s="463"/>
      <c r="D977" s="463"/>
      <c r="E977" s="463"/>
      <c r="F977" s="463"/>
      <c r="G977" s="463"/>
      <c r="H977" s="463"/>
      <c r="I977" s="463"/>
      <c r="J977" s="463"/>
      <c r="K977" s="463"/>
      <c r="L977" s="463"/>
      <c r="M977" s="463"/>
      <c r="N977" s="463"/>
      <c r="O977" s="463"/>
      <c r="P977" s="463"/>
      <c r="Q977" s="463"/>
      <c r="R977" s="463"/>
      <c r="S977" s="463"/>
      <c r="T977" s="463"/>
      <c r="U977" s="463"/>
      <c r="V977" s="463"/>
      <c r="W977" s="463"/>
      <c r="X977" s="463"/>
      <c r="Y977" s="463"/>
      <c r="Z977" s="463"/>
    </row>
    <row r="978" spans="1:26" ht="15.75" customHeight="1" x14ac:dyDescent="0.3">
      <c r="A978" s="463"/>
      <c r="B978" s="463"/>
      <c r="C978" s="463"/>
      <c r="D978" s="463"/>
      <c r="E978" s="463"/>
      <c r="F978" s="463"/>
      <c r="G978" s="463"/>
      <c r="H978" s="463"/>
      <c r="I978" s="463"/>
      <c r="J978" s="463"/>
      <c r="K978" s="463"/>
      <c r="L978" s="463"/>
      <c r="M978" s="463"/>
      <c r="N978" s="463"/>
      <c r="O978" s="463"/>
      <c r="P978" s="463"/>
      <c r="Q978" s="463"/>
      <c r="R978" s="463"/>
      <c r="S978" s="463"/>
      <c r="T978" s="463"/>
      <c r="U978" s="463"/>
      <c r="V978" s="463"/>
      <c r="W978" s="463"/>
      <c r="X978" s="463"/>
      <c r="Y978" s="463"/>
      <c r="Z978" s="463"/>
    </row>
    <row r="979" spans="1:26" ht="15.75" customHeight="1" x14ac:dyDescent="0.3">
      <c r="A979" s="463"/>
      <c r="B979" s="463"/>
      <c r="C979" s="463"/>
      <c r="D979" s="463"/>
      <c r="E979" s="463"/>
      <c r="F979" s="463"/>
      <c r="G979" s="463"/>
      <c r="H979" s="463"/>
      <c r="I979" s="463"/>
      <c r="J979" s="463"/>
      <c r="K979" s="463"/>
      <c r="L979" s="463"/>
      <c r="M979" s="463"/>
      <c r="N979" s="463"/>
      <c r="O979" s="463"/>
      <c r="P979" s="463"/>
      <c r="Q979" s="463"/>
      <c r="R979" s="463"/>
      <c r="S979" s="463"/>
      <c r="T979" s="463"/>
      <c r="U979" s="463"/>
      <c r="V979" s="463"/>
      <c r="W979" s="463"/>
      <c r="X979" s="463"/>
      <c r="Y979" s="463"/>
      <c r="Z979" s="463"/>
    </row>
    <row r="980" spans="1:26" ht="15.75" customHeight="1" x14ac:dyDescent="0.3">
      <c r="A980" s="463"/>
      <c r="B980" s="463"/>
      <c r="C980" s="463"/>
      <c r="D980" s="463"/>
      <c r="E980" s="463"/>
      <c r="F980" s="463"/>
      <c r="G980" s="463"/>
      <c r="H980" s="463"/>
      <c r="I980" s="463"/>
      <c r="J980" s="463"/>
      <c r="K980" s="463"/>
      <c r="L980" s="463"/>
      <c r="M980" s="463"/>
      <c r="N980" s="463"/>
      <c r="O980" s="463"/>
      <c r="P980" s="463"/>
      <c r="Q980" s="463"/>
      <c r="R980" s="463"/>
      <c r="S980" s="463"/>
      <c r="T980" s="463"/>
      <c r="U980" s="463"/>
      <c r="V980" s="463"/>
      <c r="W980" s="463"/>
      <c r="X980" s="463"/>
      <c r="Y980" s="463"/>
      <c r="Z980" s="463"/>
    </row>
    <row r="981" spans="1:26" ht="15.75" customHeight="1" x14ac:dyDescent="0.3">
      <c r="A981" s="463"/>
      <c r="B981" s="463"/>
      <c r="C981" s="463"/>
      <c r="D981" s="463"/>
      <c r="E981" s="463"/>
      <c r="F981" s="463"/>
      <c r="G981" s="463"/>
      <c r="H981" s="463"/>
      <c r="I981" s="463"/>
      <c r="J981" s="463"/>
      <c r="K981" s="463"/>
      <c r="L981" s="463"/>
      <c r="M981" s="463"/>
      <c r="N981" s="463"/>
      <c r="O981" s="463"/>
      <c r="P981" s="463"/>
      <c r="Q981" s="463"/>
      <c r="R981" s="463"/>
      <c r="S981" s="463"/>
      <c r="T981" s="463"/>
      <c r="U981" s="463"/>
      <c r="V981" s="463"/>
      <c r="W981" s="463"/>
      <c r="X981" s="463"/>
      <c r="Y981" s="463"/>
      <c r="Z981" s="463"/>
    </row>
    <row r="982" spans="1:26" ht="15.75" customHeight="1" x14ac:dyDescent="0.3">
      <c r="A982" s="463"/>
      <c r="B982" s="463"/>
      <c r="C982" s="463"/>
      <c r="D982" s="463"/>
      <c r="E982" s="463"/>
      <c r="F982" s="463"/>
      <c r="G982" s="463"/>
      <c r="H982" s="463"/>
      <c r="I982" s="463"/>
      <c r="J982" s="463"/>
      <c r="K982" s="463"/>
      <c r="L982" s="463"/>
      <c r="M982" s="463"/>
      <c r="N982" s="463"/>
      <c r="O982" s="463"/>
      <c r="P982" s="463"/>
      <c r="Q982" s="463"/>
      <c r="R982" s="463"/>
      <c r="S982" s="463"/>
      <c r="T982" s="463"/>
      <c r="U982" s="463"/>
      <c r="V982" s="463"/>
      <c r="W982" s="463"/>
      <c r="X982" s="463"/>
      <c r="Y982" s="463"/>
      <c r="Z982" s="463"/>
    </row>
    <row r="983" spans="1:26" ht="15.75" customHeight="1" x14ac:dyDescent="0.3">
      <c r="A983" s="463"/>
      <c r="B983" s="463"/>
      <c r="C983" s="463"/>
      <c r="D983" s="463"/>
      <c r="E983" s="463"/>
      <c r="F983" s="463"/>
      <c r="G983" s="463"/>
      <c r="H983" s="463"/>
      <c r="I983" s="463"/>
      <c r="J983" s="463"/>
      <c r="K983" s="463"/>
      <c r="L983" s="463"/>
      <c r="M983" s="463"/>
      <c r="N983" s="463"/>
      <c r="O983" s="463"/>
      <c r="P983" s="463"/>
      <c r="Q983" s="463"/>
      <c r="R983" s="463"/>
      <c r="S983" s="463"/>
      <c r="T983" s="463"/>
      <c r="U983" s="463"/>
      <c r="V983" s="463"/>
      <c r="W983" s="463"/>
      <c r="X983" s="463"/>
      <c r="Y983" s="463"/>
      <c r="Z983" s="463"/>
    </row>
    <row r="984" spans="1:26" ht="15.75" customHeight="1" x14ac:dyDescent="0.3">
      <c r="A984" s="463"/>
      <c r="B984" s="463"/>
      <c r="C984" s="463"/>
      <c r="D984" s="463"/>
      <c r="E984" s="463"/>
      <c r="F984" s="463"/>
      <c r="G984" s="463"/>
      <c r="H984" s="463"/>
      <c r="I984" s="463"/>
      <c r="J984" s="463"/>
      <c r="K984" s="463"/>
      <c r="L984" s="463"/>
      <c r="M984" s="463"/>
      <c r="N984" s="463"/>
      <c r="O984" s="463"/>
      <c r="P984" s="463"/>
      <c r="Q984" s="463"/>
      <c r="R984" s="463"/>
      <c r="S984" s="463"/>
      <c r="T984" s="463"/>
      <c r="U984" s="463"/>
      <c r="V984" s="463"/>
      <c r="W984" s="463"/>
      <c r="X984" s="463"/>
      <c r="Y984" s="463"/>
      <c r="Z984" s="463"/>
    </row>
    <row r="985" spans="1:26" ht="15.75" customHeight="1" x14ac:dyDescent="0.3">
      <c r="A985" s="463"/>
      <c r="B985" s="463"/>
      <c r="C985" s="463"/>
      <c r="D985" s="463"/>
      <c r="E985" s="463"/>
      <c r="F985" s="463"/>
      <c r="G985" s="463"/>
      <c r="H985" s="463"/>
      <c r="I985" s="463"/>
      <c r="J985" s="463"/>
      <c r="K985" s="463"/>
      <c r="L985" s="463"/>
      <c r="M985" s="463"/>
      <c r="N985" s="463"/>
      <c r="O985" s="463"/>
      <c r="P985" s="463"/>
      <c r="Q985" s="463"/>
      <c r="R985" s="463"/>
      <c r="S985" s="463"/>
      <c r="T985" s="463"/>
      <c r="U985" s="463"/>
      <c r="V985" s="463"/>
      <c r="W985" s="463"/>
      <c r="X985" s="463"/>
      <c r="Y985" s="463"/>
      <c r="Z985" s="463"/>
    </row>
    <row r="986" spans="1:26" ht="15.75" customHeight="1" x14ac:dyDescent="0.3">
      <c r="A986" s="463"/>
      <c r="B986" s="463"/>
      <c r="C986" s="463"/>
      <c r="D986" s="463"/>
      <c r="E986" s="463"/>
      <c r="F986" s="463"/>
      <c r="G986" s="463"/>
      <c r="H986" s="463"/>
      <c r="I986" s="463"/>
      <c r="J986" s="463"/>
      <c r="K986" s="463"/>
      <c r="L986" s="463"/>
      <c r="M986" s="463"/>
      <c r="N986" s="463"/>
      <c r="O986" s="463"/>
      <c r="P986" s="463"/>
      <c r="Q986" s="463"/>
      <c r="R986" s="463"/>
      <c r="S986" s="463"/>
      <c r="T986" s="463"/>
      <c r="U986" s="463"/>
      <c r="V986" s="463"/>
      <c r="W986" s="463"/>
      <c r="X986" s="463"/>
      <c r="Y986" s="463"/>
      <c r="Z986" s="463"/>
    </row>
    <row r="987" spans="1:26" ht="15.75" customHeight="1" x14ac:dyDescent="0.3">
      <c r="A987" s="463"/>
      <c r="B987" s="463"/>
      <c r="C987" s="463"/>
      <c r="D987" s="463"/>
      <c r="E987" s="463"/>
      <c r="F987" s="463"/>
      <c r="G987" s="463"/>
      <c r="H987" s="463"/>
      <c r="I987" s="463"/>
      <c r="J987" s="463"/>
      <c r="K987" s="463"/>
      <c r="L987" s="463"/>
      <c r="M987" s="463"/>
      <c r="N987" s="463"/>
      <c r="O987" s="463"/>
      <c r="P987" s="463"/>
      <c r="Q987" s="463"/>
      <c r="R987" s="463"/>
      <c r="S987" s="463"/>
      <c r="T987" s="463"/>
      <c r="U987" s="463"/>
      <c r="V987" s="463"/>
      <c r="W987" s="463"/>
      <c r="X987" s="463"/>
      <c r="Y987" s="463"/>
      <c r="Z987" s="463"/>
    </row>
    <row r="988" spans="1:26" ht="15.75" customHeight="1" x14ac:dyDescent="0.3">
      <c r="A988" s="463"/>
      <c r="B988" s="463"/>
      <c r="C988" s="463"/>
      <c r="D988" s="463"/>
      <c r="E988" s="463"/>
      <c r="F988" s="463"/>
      <c r="G988" s="463"/>
      <c r="H988" s="463"/>
      <c r="I988" s="463"/>
      <c r="J988" s="463"/>
      <c r="K988" s="463"/>
      <c r="L988" s="463"/>
      <c r="M988" s="463"/>
      <c r="N988" s="463"/>
      <c r="O988" s="463"/>
      <c r="P988" s="463"/>
      <c r="Q988" s="463"/>
      <c r="R988" s="463"/>
      <c r="S988" s="463"/>
      <c r="T988" s="463"/>
      <c r="U988" s="463"/>
      <c r="V988" s="463"/>
      <c r="W988" s="463"/>
      <c r="X988" s="463"/>
      <c r="Y988" s="463"/>
      <c r="Z988" s="463"/>
    </row>
    <row r="989" spans="1:26" ht="15.75" customHeight="1" x14ac:dyDescent="0.3">
      <c r="A989" s="463"/>
      <c r="B989" s="463"/>
      <c r="C989" s="463"/>
      <c r="D989" s="463"/>
      <c r="E989" s="463"/>
      <c r="F989" s="463"/>
      <c r="G989" s="463"/>
      <c r="H989" s="463"/>
      <c r="I989" s="463"/>
      <c r="J989" s="463"/>
      <c r="K989" s="463"/>
      <c r="L989" s="463"/>
      <c r="M989" s="463"/>
      <c r="N989" s="463"/>
      <c r="O989" s="463"/>
      <c r="P989" s="463"/>
      <c r="Q989" s="463"/>
      <c r="R989" s="463"/>
      <c r="S989" s="463"/>
      <c r="T989" s="463"/>
      <c r="U989" s="463"/>
      <c r="V989" s="463"/>
      <c r="W989" s="463"/>
      <c r="X989" s="463"/>
      <c r="Y989" s="463"/>
      <c r="Z989" s="463"/>
    </row>
    <row r="990" spans="1:26" ht="15.75" customHeight="1" x14ac:dyDescent="0.3">
      <c r="A990" s="463"/>
      <c r="B990" s="463"/>
      <c r="C990" s="463"/>
      <c r="D990" s="463"/>
      <c r="E990" s="463"/>
      <c r="F990" s="463"/>
      <c r="G990" s="463"/>
      <c r="H990" s="463"/>
      <c r="I990" s="463"/>
      <c r="J990" s="463"/>
      <c r="K990" s="463"/>
      <c r="L990" s="463"/>
      <c r="M990" s="463"/>
      <c r="N990" s="463"/>
      <c r="O990" s="463"/>
      <c r="P990" s="463"/>
      <c r="Q990" s="463"/>
      <c r="R990" s="463"/>
      <c r="S990" s="463"/>
      <c r="T990" s="463"/>
      <c r="U990" s="463"/>
      <c r="V990" s="463"/>
      <c r="W990" s="463"/>
      <c r="X990" s="463"/>
      <c r="Y990" s="463"/>
      <c r="Z990" s="463"/>
    </row>
    <row r="991" spans="1:26" ht="15.75" customHeight="1" x14ac:dyDescent="0.3">
      <c r="A991" s="463"/>
      <c r="B991" s="463"/>
      <c r="C991" s="463"/>
      <c r="D991" s="463"/>
      <c r="E991" s="463"/>
      <c r="F991" s="463"/>
      <c r="G991" s="463"/>
      <c r="H991" s="463"/>
      <c r="I991" s="463"/>
      <c r="J991" s="463"/>
      <c r="K991" s="463"/>
      <c r="L991" s="463"/>
      <c r="M991" s="463"/>
      <c r="N991" s="463"/>
      <c r="O991" s="463"/>
      <c r="P991" s="463"/>
      <c r="Q991" s="463"/>
      <c r="R991" s="463"/>
      <c r="S991" s="463"/>
      <c r="T991" s="463"/>
      <c r="U991" s="463"/>
      <c r="V991" s="463"/>
      <c r="W991" s="463"/>
      <c r="X991" s="463"/>
      <c r="Y991" s="463"/>
      <c r="Z991" s="463"/>
    </row>
    <row r="992" spans="1:26" ht="15.75" customHeight="1" x14ac:dyDescent="0.3">
      <c r="A992" s="463"/>
      <c r="B992" s="463"/>
      <c r="C992" s="463"/>
      <c r="D992" s="463"/>
      <c r="E992" s="463"/>
      <c r="F992" s="463"/>
      <c r="G992" s="463"/>
      <c r="H992" s="463"/>
      <c r="I992" s="463"/>
      <c r="J992" s="463"/>
      <c r="K992" s="463"/>
      <c r="L992" s="463"/>
      <c r="M992" s="463"/>
      <c r="N992" s="463"/>
      <c r="O992" s="463"/>
      <c r="P992" s="463"/>
      <c r="Q992" s="463"/>
      <c r="R992" s="463"/>
      <c r="S992" s="463"/>
      <c r="T992" s="463"/>
      <c r="U992" s="463"/>
      <c r="V992" s="463"/>
      <c r="W992" s="463"/>
      <c r="X992" s="463"/>
      <c r="Y992" s="463"/>
      <c r="Z992" s="463"/>
    </row>
    <row r="993" spans="1:26" ht="15.75" customHeight="1" x14ac:dyDescent="0.3">
      <c r="A993" s="463"/>
      <c r="B993" s="463"/>
      <c r="C993" s="463"/>
      <c r="D993" s="463"/>
      <c r="E993" s="463"/>
      <c r="F993" s="463"/>
      <c r="G993" s="463"/>
      <c r="H993" s="463"/>
      <c r="I993" s="463"/>
      <c r="J993" s="463"/>
      <c r="K993" s="463"/>
      <c r="L993" s="463"/>
      <c r="M993" s="463"/>
      <c r="N993" s="463"/>
      <c r="O993" s="463"/>
      <c r="P993" s="463"/>
      <c r="Q993" s="463"/>
      <c r="R993" s="463"/>
      <c r="S993" s="463"/>
      <c r="T993" s="463"/>
      <c r="U993" s="463"/>
      <c r="V993" s="463"/>
      <c r="W993" s="463"/>
      <c r="X993" s="463"/>
      <c r="Y993" s="463"/>
      <c r="Z993" s="463"/>
    </row>
    <row r="994" spans="1:26" ht="15.75" customHeight="1" x14ac:dyDescent="0.3">
      <c r="A994" s="463"/>
      <c r="B994" s="463"/>
      <c r="C994" s="463"/>
      <c r="D994" s="463"/>
      <c r="E994" s="463"/>
      <c r="F994" s="463"/>
      <c r="G994" s="463"/>
      <c r="H994" s="463"/>
      <c r="I994" s="463"/>
      <c r="J994" s="463"/>
      <c r="K994" s="463"/>
      <c r="L994" s="463"/>
      <c r="M994" s="463"/>
      <c r="N994" s="463"/>
      <c r="O994" s="463"/>
      <c r="P994" s="463"/>
      <c r="Q994" s="463"/>
      <c r="R994" s="463"/>
      <c r="S994" s="463"/>
      <c r="T994" s="463"/>
      <c r="U994" s="463"/>
      <c r="V994" s="463"/>
      <c r="W994" s="463"/>
      <c r="X994" s="463"/>
      <c r="Y994" s="463"/>
      <c r="Z994" s="463"/>
    </row>
    <row r="995" spans="1:26" ht="15.75" customHeight="1" x14ac:dyDescent="0.3">
      <c r="A995" s="463"/>
      <c r="B995" s="463"/>
      <c r="C995" s="463"/>
      <c r="D995" s="463"/>
      <c r="E995" s="463"/>
      <c r="F995" s="463"/>
      <c r="G995" s="463"/>
      <c r="H995" s="463"/>
      <c r="I995" s="463"/>
      <c r="J995" s="463"/>
      <c r="K995" s="463"/>
      <c r="L995" s="463"/>
      <c r="M995" s="463"/>
      <c r="N995" s="463"/>
      <c r="O995" s="463"/>
      <c r="P995" s="463"/>
      <c r="Q995" s="463"/>
      <c r="R995" s="463"/>
      <c r="S995" s="463"/>
      <c r="T995" s="463"/>
      <c r="U995" s="463"/>
      <c r="V995" s="463"/>
      <c r="W995" s="463"/>
      <c r="X995" s="463"/>
      <c r="Y995" s="463"/>
      <c r="Z995" s="463"/>
    </row>
    <row r="996" spans="1:26" ht="15.75" customHeight="1" x14ac:dyDescent="0.3">
      <c r="A996" s="463"/>
      <c r="B996" s="463"/>
      <c r="C996" s="463"/>
      <c r="D996" s="463"/>
      <c r="E996" s="463"/>
      <c r="F996" s="463"/>
      <c r="G996" s="463"/>
      <c r="H996" s="463"/>
      <c r="I996" s="463"/>
      <c r="J996" s="463"/>
      <c r="K996" s="463"/>
      <c r="L996" s="463"/>
      <c r="M996" s="463"/>
      <c r="N996" s="463"/>
      <c r="O996" s="463"/>
      <c r="P996" s="463"/>
      <c r="Q996" s="463"/>
      <c r="R996" s="463"/>
      <c r="S996" s="463"/>
      <c r="T996" s="463"/>
      <c r="U996" s="463"/>
      <c r="V996" s="463"/>
      <c r="W996" s="463"/>
      <c r="X996" s="463"/>
      <c r="Y996" s="463"/>
      <c r="Z996" s="463"/>
    </row>
    <row r="997" spans="1:26" ht="15.75" customHeight="1" x14ac:dyDescent="0.3">
      <c r="A997" s="463"/>
      <c r="B997" s="463"/>
      <c r="C997" s="463"/>
      <c r="D997" s="463"/>
      <c r="E997" s="463"/>
      <c r="F997" s="463"/>
      <c r="G997" s="463"/>
      <c r="H997" s="463"/>
      <c r="I997" s="463"/>
      <c r="J997" s="463"/>
      <c r="K997" s="463"/>
      <c r="L997" s="463"/>
      <c r="M997" s="463"/>
      <c r="N997" s="463"/>
      <c r="O997" s="463"/>
      <c r="P997" s="463"/>
      <c r="Q997" s="463"/>
      <c r="R997" s="463"/>
      <c r="S997" s="463"/>
      <c r="T997" s="463"/>
      <c r="U997" s="463"/>
      <c r="V997" s="463"/>
      <c r="W997" s="463"/>
      <c r="X997" s="463"/>
      <c r="Y997" s="463"/>
      <c r="Z997" s="463"/>
    </row>
    <row r="998" spans="1:26" ht="15.75" customHeight="1" x14ac:dyDescent="0.3">
      <c r="A998" s="463"/>
      <c r="B998" s="463"/>
      <c r="C998" s="463"/>
      <c r="D998" s="463"/>
      <c r="E998" s="463"/>
      <c r="F998" s="463"/>
      <c r="G998" s="463"/>
      <c r="H998" s="463"/>
      <c r="I998" s="463"/>
      <c r="J998" s="463"/>
      <c r="K998" s="463"/>
      <c r="L998" s="463"/>
      <c r="M998" s="463"/>
      <c r="N998" s="463"/>
      <c r="O998" s="463"/>
      <c r="P998" s="463"/>
      <c r="Q998" s="463"/>
      <c r="R998" s="463"/>
      <c r="S998" s="463"/>
      <c r="T998" s="463"/>
      <c r="U998" s="463"/>
      <c r="V998" s="463"/>
      <c r="W998" s="463"/>
      <c r="X998" s="463"/>
      <c r="Y998" s="463"/>
      <c r="Z998" s="463"/>
    </row>
    <row r="999" spans="1:26" ht="15.75" customHeight="1" x14ac:dyDescent="0.3">
      <c r="A999" s="463"/>
      <c r="B999" s="463"/>
      <c r="C999" s="463"/>
      <c r="D999" s="463"/>
      <c r="E999" s="463"/>
      <c r="F999" s="463"/>
      <c r="G999" s="463"/>
      <c r="H999" s="463"/>
      <c r="I999" s="463"/>
      <c r="J999" s="463"/>
      <c r="K999" s="463"/>
      <c r="L999" s="463"/>
      <c r="M999" s="463"/>
      <c r="N999" s="463"/>
      <c r="O999" s="463"/>
      <c r="P999" s="463"/>
      <c r="Q999" s="463"/>
      <c r="R999" s="463"/>
      <c r="S999" s="463"/>
      <c r="T999" s="463"/>
      <c r="U999" s="463"/>
      <c r="V999" s="463"/>
      <c r="W999" s="463"/>
      <c r="X999" s="463"/>
      <c r="Y999" s="463"/>
      <c r="Z999" s="463"/>
    </row>
    <row r="1000" spans="1:26" ht="15.75" customHeight="1" x14ac:dyDescent="0.3">
      <c r="A1000" s="463"/>
      <c r="B1000" s="463"/>
      <c r="C1000" s="463"/>
      <c r="D1000" s="463"/>
      <c r="E1000" s="463"/>
      <c r="F1000" s="463"/>
      <c r="G1000" s="463"/>
      <c r="H1000" s="463"/>
      <c r="I1000" s="463"/>
      <c r="J1000" s="463"/>
      <c r="K1000" s="463"/>
      <c r="L1000" s="463"/>
      <c r="M1000" s="463"/>
      <c r="N1000" s="463"/>
      <c r="O1000" s="463"/>
      <c r="P1000" s="463"/>
      <c r="Q1000" s="463"/>
      <c r="R1000" s="463"/>
      <c r="S1000" s="463"/>
      <c r="T1000" s="463"/>
      <c r="U1000" s="463"/>
      <c r="V1000" s="463"/>
      <c r="W1000" s="463"/>
      <c r="X1000" s="463"/>
      <c r="Y1000" s="463"/>
      <c r="Z1000" s="463"/>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FAC3-78B2-4654-83F8-68DBEE772726}">
  <dimension ref="A1:Z1000"/>
  <sheetViews>
    <sheetView topLeftCell="A4" workbookViewId="0">
      <selection activeCell="E11" sqref="E11:J11"/>
    </sheetView>
  </sheetViews>
  <sheetFormatPr defaultColWidth="14.44140625" defaultRowHeight="14.4" x14ac:dyDescent="0.3"/>
  <cols>
    <col min="1" max="1" width="45" customWidth="1"/>
    <col min="2" max="2" width="20.44140625" customWidth="1"/>
    <col min="3" max="3" width="26.88671875" customWidth="1"/>
    <col min="4" max="4" width="25.33203125" customWidth="1"/>
    <col min="5" max="5" width="30.6640625" customWidth="1"/>
    <col min="6" max="6" width="28.33203125" customWidth="1"/>
    <col min="7" max="7" width="21.33203125" customWidth="1"/>
    <col min="8" max="8" width="20.6640625" customWidth="1"/>
    <col min="9" max="26" width="8.6640625" customWidth="1"/>
  </cols>
  <sheetData>
    <row r="1" spans="1:26" ht="60.75" customHeight="1" thickBot="1" x14ac:dyDescent="0.35">
      <c r="A1" s="457" t="s">
        <v>0</v>
      </c>
      <c r="B1" s="457" t="s">
        <v>1</v>
      </c>
      <c r="C1" s="457" t="s">
        <v>2</v>
      </c>
      <c r="D1" s="457" t="s">
        <v>3</v>
      </c>
      <c r="E1" s="457" t="s">
        <v>4</v>
      </c>
      <c r="F1" s="457" t="s">
        <v>5</v>
      </c>
      <c r="G1" s="457" t="s">
        <v>6</v>
      </c>
      <c r="H1" s="457" t="s">
        <v>7</v>
      </c>
      <c r="I1" s="458"/>
      <c r="J1" s="458"/>
      <c r="K1" s="458"/>
      <c r="L1" s="458"/>
      <c r="M1" s="458"/>
      <c r="N1" s="458"/>
      <c r="O1" s="458"/>
      <c r="P1" s="458"/>
      <c r="Q1" s="458"/>
      <c r="R1" s="458"/>
      <c r="S1" s="458"/>
      <c r="T1" s="458"/>
      <c r="U1" s="458"/>
      <c r="V1" s="458"/>
      <c r="W1" s="458"/>
      <c r="X1" s="458"/>
      <c r="Y1" s="458"/>
      <c r="Z1" s="458"/>
    </row>
    <row r="2" spans="1:26" ht="56.25" customHeight="1" thickBot="1" x14ac:dyDescent="0.35">
      <c r="A2" s="459" t="s">
        <v>2074</v>
      </c>
      <c r="B2" s="460">
        <v>0</v>
      </c>
      <c r="C2" s="459"/>
      <c r="D2" s="461">
        <v>0</v>
      </c>
      <c r="E2" s="459" t="s">
        <v>10</v>
      </c>
      <c r="F2" s="462"/>
      <c r="G2" s="461">
        <v>0</v>
      </c>
      <c r="H2" s="461">
        <v>0</v>
      </c>
      <c r="I2" s="463"/>
      <c r="J2" s="463"/>
      <c r="K2" s="463"/>
      <c r="L2" s="463"/>
      <c r="M2" s="463"/>
      <c r="N2" s="463"/>
      <c r="O2" s="463"/>
      <c r="P2" s="463"/>
      <c r="Q2" s="463"/>
      <c r="R2" s="463"/>
      <c r="S2" s="463"/>
      <c r="T2" s="463"/>
      <c r="U2" s="463"/>
      <c r="V2" s="463"/>
      <c r="W2" s="463"/>
      <c r="X2" s="463"/>
      <c r="Y2" s="463"/>
      <c r="Z2" s="463"/>
    </row>
    <row r="3" spans="1:26" ht="15.75" customHeight="1" x14ac:dyDescent="0.3">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row>
    <row r="4" spans="1:26" ht="15.75" customHeight="1" x14ac:dyDescent="0.3">
      <c r="A4" s="464" t="s">
        <v>11</v>
      </c>
      <c r="B4" s="463"/>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1:26" ht="15.75" customHeight="1" x14ac:dyDescent="0.3">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row>
    <row r="6" spans="1:26" ht="15.75" customHeight="1" thickBot="1" x14ac:dyDescent="0.35">
      <c r="A6" s="465" t="s">
        <v>12</v>
      </c>
      <c r="B6" s="466" t="s">
        <v>9</v>
      </c>
      <c r="C6" s="463"/>
      <c r="D6" s="463"/>
      <c r="E6" s="463"/>
      <c r="F6" s="463"/>
      <c r="G6" s="463"/>
      <c r="H6" s="463"/>
      <c r="I6" s="463"/>
      <c r="J6" s="463"/>
      <c r="K6" s="463"/>
      <c r="L6" s="463"/>
      <c r="M6" s="463"/>
      <c r="N6" s="463"/>
      <c r="O6" s="463"/>
      <c r="P6" s="463"/>
      <c r="Q6" s="463"/>
      <c r="R6" s="463"/>
      <c r="S6" s="463"/>
      <c r="T6" s="463"/>
      <c r="U6" s="463"/>
      <c r="V6" s="463"/>
      <c r="W6" s="463"/>
      <c r="X6" s="463"/>
      <c r="Y6" s="463"/>
      <c r="Z6" s="463"/>
    </row>
    <row r="7" spans="1:26" ht="15.75" customHeight="1" thickBot="1" x14ac:dyDescent="0.35">
      <c r="A7" s="467" t="s">
        <v>51</v>
      </c>
      <c r="B7" s="469">
        <v>0</v>
      </c>
      <c r="C7" s="463"/>
      <c r="D7" s="463"/>
      <c r="E7" s="463"/>
      <c r="F7" s="463"/>
      <c r="G7" s="463"/>
      <c r="H7" s="463"/>
      <c r="I7" s="463"/>
      <c r="J7" s="463"/>
      <c r="K7" s="463"/>
      <c r="L7" s="463"/>
      <c r="M7" s="463"/>
      <c r="N7" s="463"/>
      <c r="O7" s="463"/>
      <c r="P7" s="463"/>
      <c r="Q7" s="463"/>
      <c r="R7" s="463"/>
      <c r="S7" s="463"/>
      <c r="T7" s="463"/>
      <c r="U7" s="463"/>
      <c r="V7" s="463"/>
      <c r="W7" s="463"/>
      <c r="X7" s="463"/>
      <c r="Y7" s="463"/>
      <c r="Z7" s="463"/>
    </row>
    <row r="8" spans="1:26" ht="15.75" customHeight="1" thickBot="1" x14ac:dyDescent="0.35">
      <c r="A8" s="467" t="s">
        <v>53</v>
      </c>
      <c r="B8" s="469">
        <v>0</v>
      </c>
      <c r="C8" s="463"/>
      <c r="D8" s="463"/>
      <c r="E8" s="463"/>
      <c r="F8" s="463"/>
      <c r="G8" s="463"/>
      <c r="H8" s="463"/>
      <c r="I8" s="463"/>
      <c r="J8" s="463"/>
      <c r="K8" s="463"/>
      <c r="L8" s="463"/>
      <c r="M8" s="463"/>
      <c r="N8" s="463"/>
      <c r="O8" s="463"/>
      <c r="P8" s="463"/>
      <c r="Q8" s="463"/>
      <c r="R8" s="463"/>
      <c r="S8" s="463"/>
      <c r="T8" s="463"/>
      <c r="U8" s="463"/>
      <c r="V8" s="463"/>
      <c r="W8" s="463"/>
      <c r="X8" s="463"/>
      <c r="Y8" s="463"/>
      <c r="Z8" s="463"/>
    </row>
    <row r="9" spans="1:26" ht="15.75" customHeight="1" thickBot="1" x14ac:dyDescent="0.35">
      <c r="A9" s="467" t="s">
        <v>55</v>
      </c>
      <c r="B9" s="469">
        <v>0</v>
      </c>
      <c r="C9" s="463"/>
      <c r="D9" s="463"/>
      <c r="E9" s="463"/>
      <c r="F9" s="463"/>
      <c r="G9" s="463"/>
      <c r="H9" s="463"/>
      <c r="I9" s="463"/>
      <c r="J9" s="463"/>
      <c r="K9" s="463"/>
      <c r="L9" s="463"/>
      <c r="M9" s="463"/>
      <c r="N9" s="463"/>
      <c r="O9" s="463"/>
      <c r="P9" s="463"/>
      <c r="Q9" s="463"/>
      <c r="R9" s="463"/>
      <c r="S9" s="463"/>
      <c r="T9" s="463"/>
      <c r="U9" s="463"/>
      <c r="V9" s="463"/>
      <c r="W9" s="463"/>
      <c r="X9" s="463"/>
      <c r="Y9" s="463"/>
      <c r="Z9" s="463"/>
    </row>
    <row r="10" spans="1:26" ht="15.75" customHeight="1" thickBot="1" x14ac:dyDescent="0.35">
      <c r="A10" s="467" t="s">
        <v>57</v>
      </c>
      <c r="B10" s="469">
        <v>0</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row>
    <row r="11" spans="1:26" ht="15.75" customHeight="1" thickBot="1" x14ac:dyDescent="0.35">
      <c r="A11" s="467"/>
      <c r="B11" s="469">
        <v>0</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ht="15.75" customHeight="1" thickBot="1" x14ac:dyDescent="0.35">
      <c r="A12" s="467"/>
      <c r="B12" s="466"/>
      <c r="C12" s="469">
        <f>SUM(B7:B11)</f>
        <v>0</v>
      </c>
      <c r="D12" s="463"/>
      <c r="E12" s="463"/>
      <c r="F12" s="463"/>
      <c r="G12" s="463"/>
      <c r="H12" s="463"/>
      <c r="I12" s="463"/>
      <c r="J12" s="463"/>
      <c r="K12" s="463"/>
      <c r="L12" s="463"/>
      <c r="M12" s="463"/>
      <c r="N12" s="463"/>
      <c r="O12" s="463"/>
      <c r="P12" s="463"/>
      <c r="Q12" s="463"/>
      <c r="R12" s="463"/>
      <c r="S12" s="463"/>
      <c r="T12" s="463"/>
      <c r="U12" s="463"/>
      <c r="V12" s="463"/>
      <c r="W12" s="463"/>
      <c r="X12" s="463"/>
      <c r="Y12" s="463"/>
      <c r="Z12" s="463"/>
    </row>
    <row r="13" spans="1:26" ht="15.75" customHeight="1" x14ac:dyDescent="0.3">
      <c r="A13" s="470"/>
      <c r="B13" s="463"/>
      <c r="C13" s="466" t="s">
        <v>9</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row>
    <row r="14" spans="1:26" ht="15.75" customHeight="1" x14ac:dyDescent="0.3">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row>
    <row r="15" spans="1:26" ht="15.75" customHeight="1" x14ac:dyDescent="0.3">
      <c r="A15" s="457" t="s">
        <v>17</v>
      </c>
      <c r="B15" s="471" t="s">
        <v>18</v>
      </c>
      <c r="C15" s="457" t="s">
        <v>19</v>
      </c>
      <c r="D15" s="457" t="s">
        <v>20</v>
      </c>
      <c r="E15" s="457" t="s">
        <v>21</v>
      </c>
      <c r="F15" s="457" t="s">
        <v>22</v>
      </c>
      <c r="G15" s="463"/>
      <c r="H15" s="463"/>
      <c r="I15" s="463"/>
      <c r="J15" s="463"/>
      <c r="K15" s="463"/>
      <c r="L15" s="463"/>
      <c r="M15" s="463"/>
      <c r="N15" s="463"/>
      <c r="O15" s="463"/>
      <c r="P15" s="463"/>
      <c r="Q15" s="463"/>
      <c r="R15" s="463"/>
      <c r="S15" s="463"/>
      <c r="T15" s="463"/>
      <c r="U15" s="463"/>
      <c r="V15" s="463"/>
      <c r="W15" s="463"/>
      <c r="X15" s="463"/>
      <c r="Y15" s="463"/>
      <c r="Z15" s="463"/>
    </row>
    <row r="16" spans="1:26" ht="15.75" customHeight="1" thickBot="1" x14ac:dyDescent="0.35">
      <c r="A16" s="472" t="s">
        <v>23</v>
      </c>
      <c r="B16" s="473">
        <v>38116.519999999997</v>
      </c>
      <c r="C16" s="473">
        <v>91800</v>
      </c>
      <c r="D16" s="474" t="s">
        <v>10</v>
      </c>
      <c r="E16" s="474" t="s">
        <v>2073</v>
      </c>
      <c r="F16" s="475"/>
      <c r="G16" s="463"/>
      <c r="H16" s="463"/>
      <c r="I16" s="463"/>
      <c r="J16" s="463"/>
      <c r="K16" s="463"/>
      <c r="L16" s="463"/>
      <c r="M16" s="463"/>
      <c r="N16" s="463"/>
      <c r="O16" s="463"/>
      <c r="P16" s="463"/>
      <c r="Q16" s="463"/>
      <c r="R16" s="463"/>
      <c r="S16" s="463"/>
      <c r="T16" s="463"/>
      <c r="U16" s="463"/>
      <c r="V16" s="463"/>
      <c r="W16" s="463"/>
      <c r="X16" s="463"/>
      <c r="Y16" s="463"/>
      <c r="Z16" s="463"/>
    </row>
    <row r="17" spans="1:26" ht="15.75" customHeight="1" thickBot="1" x14ac:dyDescent="0.35">
      <c r="A17" s="472" t="s">
        <v>25</v>
      </c>
      <c r="B17" s="468">
        <v>855.32</v>
      </c>
      <c r="C17" s="468">
        <v>50000</v>
      </c>
      <c r="D17" s="478" t="s">
        <v>24</v>
      </c>
      <c r="E17" s="478" t="s">
        <v>2075</v>
      </c>
      <c r="F17" s="477"/>
      <c r="G17" s="463"/>
      <c r="H17" s="463"/>
      <c r="I17" s="463"/>
      <c r="J17" s="463"/>
      <c r="K17" s="463"/>
      <c r="L17" s="463"/>
      <c r="M17" s="463"/>
      <c r="N17" s="463"/>
      <c r="O17" s="463"/>
      <c r="P17" s="463"/>
      <c r="Q17" s="463"/>
      <c r="R17" s="463"/>
      <c r="S17" s="463"/>
      <c r="T17" s="463"/>
      <c r="U17" s="463"/>
      <c r="V17" s="463"/>
      <c r="W17" s="463"/>
      <c r="X17" s="463"/>
      <c r="Y17" s="463"/>
      <c r="Z17" s="463"/>
    </row>
    <row r="18" spans="1:26" ht="15.75" customHeight="1" thickBot="1" x14ac:dyDescent="0.35">
      <c r="A18" s="472" t="s">
        <v>26</v>
      </c>
      <c r="B18" s="468">
        <v>267778.63</v>
      </c>
      <c r="C18" s="468">
        <v>309700</v>
      </c>
      <c r="D18" s="478" t="s">
        <v>24</v>
      </c>
      <c r="E18" s="478" t="s">
        <v>2075</v>
      </c>
      <c r="F18" s="477"/>
      <c r="G18" s="463"/>
      <c r="H18" s="463"/>
      <c r="I18" s="463"/>
      <c r="J18" s="463"/>
      <c r="K18" s="463"/>
      <c r="L18" s="463"/>
      <c r="M18" s="463"/>
      <c r="N18" s="463"/>
      <c r="O18" s="463"/>
      <c r="P18" s="463"/>
      <c r="Q18" s="463"/>
      <c r="R18" s="463"/>
      <c r="S18" s="463"/>
      <c r="T18" s="463"/>
      <c r="U18" s="463"/>
      <c r="V18" s="463"/>
      <c r="W18" s="463"/>
      <c r="X18" s="463"/>
      <c r="Y18" s="463"/>
      <c r="Z18" s="463"/>
    </row>
    <row r="19" spans="1:26" ht="15.75" customHeight="1" thickBot="1" x14ac:dyDescent="0.35">
      <c r="A19" s="472" t="s">
        <v>27</v>
      </c>
      <c r="B19" s="468">
        <v>0</v>
      </c>
      <c r="C19" s="468">
        <v>0</v>
      </c>
      <c r="D19" s="476"/>
      <c r="E19" s="476"/>
      <c r="F19" s="477"/>
      <c r="G19" s="463"/>
      <c r="H19" s="463"/>
      <c r="I19" s="463"/>
      <c r="J19" s="463"/>
      <c r="K19" s="463"/>
      <c r="L19" s="463"/>
      <c r="M19" s="463"/>
      <c r="N19" s="463"/>
      <c r="O19" s="463"/>
      <c r="P19" s="463"/>
      <c r="Q19" s="463"/>
      <c r="R19" s="463"/>
      <c r="S19" s="463"/>
      <c r="T19" s="463"/>
      <c r="U19" s="463"/>
      <c r="V19" s="463"/>
      <c r="W19" s="463"/>
      <c r="X19" s="463"/>
      <c r="Y19" s="463"/>
      <c r="Z19" s="463"/>
    </row>
    <row r="20" spans="1:26" ht="15.75" customHeight="1" thickBot="1" x14ac:dyDescent="0.35">
      <c r="A20" s="472" t="s">
        <v>28</v>
      </c>
      <c r="B20" s="469">
        <v>0</v>
      </c>
      <c r="C20" s="469">
        <v>0</v>
      </c>
      <c r="D20" s="476"/>
      <c r="E20" s="476"/>
      <c r="F20" s="477"/>
      <c r="G20" s="463"/>
      <c r="H20" s="463"/>
      <c r="I20" s="463"/>
      <c r="J20" s="463"/>
      <c r="K20" s="463"/>
      <c r="L20" s="463"/>
      <c r="M20" s="463"/>
      <c r="N20" s="463"/>
      <c r="O20" s="463"/>
      <c r="P20" s="463"/>
      <c r="Q20" s="463"/>
      <c r="R20" s="463"/>
      <c r="S20" s="463"/>
      <c r="T20" s="463"/>
      <c r="U20" s="463"/>
      <c r="V20" s="463"/>
      <c r="W20" s="463"/>
      <c r="X20" s="463"/>
      <c r="Y20" s="463"/>
      <c r="Z20" s="463"/>
    </row>
    <row r="21" spans="1:26" ht="15.75" customHeight="1" thickBot="1" x14ac:dyDescent="0.35">
      <c r="A21" s="472" t="s">
        <v>29</v>
      </c>
      <c r="B21" s="469">
        <v>0</v>
      </c>
      <c r="C21" s="469">
        <v>0</v>
      </c>
      <c r="D21" s="476"/>
      <c r="E21" s="476"/>
      <c r="F21" s="477"/>
      <c r="G21" s="463"/>
      <c r="H21" s="463"/>
      <c r="I21" s="463"/>
      <c r="J21" s="463"/>
      <c r="K21" s="463"/>
      <c r="L21" s="463"/>
      <c r="M21" s="463"/>
      <c r="N21" s="463"/>
      <c r="O21" s="463"/>
      <c r="P21" s="463"/>
      <c r="Q21" s="463"/>
      <c r="R21" s="463"/>
      <c r="S21" s="463"/>
      <c r="T21" s="463"/>
      <c r="U21" s="463"/>
      <c r="V21" s="463"/>
      <c r="W21" s="463"/>
      <c r="X21" s="463"/>
      <c r="Y21" s="463"/>
      <c r="Z21" s="463"/>
    </row>
    <row r="22" spans="1:26" ht="15.75" customHeight="1" thickBot="1" x14ac:dyDescent="0.35">
      <c r="A22" s="472" t="s">
        <v>30</v>
      </c>
      <c r="B22" s="468">
        <v>751.3</v>
      </c>
      <c r="C22" s="468">
        <v>2000</v>
      </c>
      <c r="D22" s="478" t="s">
        <v>10</v>
      </c>
      <c r="E22" s="478" t="s">
        <v>2073</v>
      </c>
      <c r="F22" s="477"/>
      <c r="G22" s="463"/>
      <c r="H22" s="463"/>
      <c r="I22" s="463"/>
      <c r="J22" s="463"/>
      <c r="K22" s="463"/>
      <c r="L22" s="463"/>
      <c r="M22" s="463"/>
      <c r="N22" s="463"/>
      <c r="O22" s="463"/>
      <c r="P22" s="463"/>
      <c r="Q22" s="463"/>
      <c r="R22" s="463"/>
      <c r="S22" s="463"/>
      <c r="T22" s="463"/>
      <c r="U22" s="463"/>
      <c r="V22" s="463"/>
      <c r="W22" s="463"/>
      <c r="X22" s="463"/>
      <c r="Y22" s="463"/>
      <c r="Z22" s="463"/>
    </row>
    <row r="23" spans="1:26" ht="15.75" customHeight="1" thickBot="1" x14ac:dyDescent="0.35">
      <c r="A23" s="467"/>
      <c r="B23" s="469">
        <v>0</v>
      </c>
      <c r="C23" s="469">
        <v>0</v>
      </c>
      <c r="D23" s="476"/>
      <c r="E23" s="476"/>
      <c r="F23" s="477"/>
      <c r="G23" s="463"/>
      <c r="H23" s="463"/>
      <c r="I23" s="463"/>
      <c r="J23" s="463"/>
      <c r="K23" s="463"/>
      <c r="L23" s="463"/>
      <c r="M23" s="463"/>
      <c r="N23" s="463"/>
      <c r="O23" s="463"/>
      <c r="P23" s="463"/>
      <c r="Q23" s="463"/>
      <c r="R23" s="463"/>
      <c r="S23" s="463"/>
      <c r="T23" s="463"/>
      <c r="U23" s="463"/>
      <c r="V23" s="463"/>
      <c r="W23" s="463"/>
      <c r="X23" s="463"/>
      <c r="Y23" s="463"/>
      <c r="Z23" s="463"/>
    </row>
    <row r="24" spans="1:26" ht="15.75" customHeight="1" thickBot="1" x14ac:dyDescent="0.35">
      <c r="A24" s="467"/>
      <c r="B24" s="469">
        <v>0</v>
      </c>
      <c r="C24" s="469">
        <v>0</v>
      </c>
      <c r="D24" s="476"/>
      <c r="E24" s="476"/>
      <c r="F24" s="477"/>
      <c r="G24" s="463"/>
      <c r="H24" s="463"/>
      <c r="I24" s="463"/>
      <c r="J24" s="463"/>
      <c r="K24" s="463"/>
      <c r="L24" s="463"/>
      <c r="M24" s="463"/>
      <c r="N24" s="463"/>
      <c r="O24" s="463"/>
      <c r="P24" s="463"/>
      <c r="Q24" s="463"/>
      <c r="R24" s="463"/>
      <c r="S24" s="463"/>
      <c r="T24" s="463"/>
      <c r="U24" s="463"/>
      <c r="V24" s="463"/>
      <c r="W24" s="463"/>
      <c r="X24" s="463"/>
      <c r="Y24" s="463"/>
      <c r="Z24" s="463"/>
    </row>
    <row r="25" spans="1:26" ht="15.75" customHeight="1" thickBot="1" x14ac:dyDescent="0.35">
      <c r="A25" s="467"/>
      <c r="B25" s="469">
        <v>0</v>
      </c>
      <c r="C25" s="469">
        <v>0</v>
      </c>
      <c r="D25" s="476"/>
      <c r="E25" s="476"/>
      <c r="F25" s="477"/>
      <c r="G25" s="463"/>
      <c r="H25" s="463"/>
      <c r="I25" s="463"/>
      <c r="J25" s="463"/>
      <c r="K25" s="463"/>
      <c r="L25" s="463"/>
      <c r="M25" s="463"/>
      <c r="N25" s="463"/>
      <c r="O25" s="463"/>
      <c r="P25" s="463"/>
      <c r="Q25" s="463"/>
      <c r="R25" s="463"/>
      <c r="S25" s="463"/>
      <c r="T25" s="463"/>
      <c r="U25" s="463"/>
      <c r="V25" s="463"/>
      <c r="W25" s="463"/>
      <c r="X25" s="463"/>
      <c r="Y25" s="463"/>
      <c r="Z25" s="463"/>
    </row>
    <row r="26" spans="1:26" ht="15.75" customHeight="1" thickBot="1" x14ac:dyDescent="0.35">
      <c r="A26" s="467"/>
      <c r="B26" s="469">
        <v>0</v>
      </c>
      <c r="C26" s="469">
        <v>0</v>
      </c>
      <c r="D26" s="476"/>
      <c r="E26" s="476"/>
      <c r="F26" s="477"/>
      <c r="G26" s="463"/>
      <c r="H26" s="463"/>
      <c r="I26" s="463"/>
      <c r="J26" s="463"/>
      <c r="K26" s="463"/>
      <c r="L26" s="463"/>
      <c r="M26" s="463"/>
      <c r="N26" s="463"/>
      <c r="O26" s="463"/>
      <c r="P26" s="463"/>
      <c r="Q26" s="463"/>
      <c r="R26" s="463"/>
      <c r="S26" s="463"/>
      <c r="T26" s="463"/>
      <c r="U26" s="463"/>
      <c r="V26" s="463"/>
      <c r="W26" s="463"/>
      <c r="X26" s="463"/>
      <c r="Y26" s="463"/>
      <c r="Z26" s="463"/>
    </row>
    <row r="27" spans="1:26" ht="15.75" customHeight="1" thickBot="1" x14ac:dyDescent="0.35">
      <c r="A27" s="467"/>
      <c r="B27" s="469">
        <v>0</v>
      </c>
      <c r="C27" s="469">
        <v>0</v>
      </c>
      <c r="D27" s="476"/>
      <c r="E27" s="476"/>
      <c r="F27" s="477"/>
      <c r="G27" s="463"/>
      <c r="H27" s="463"/>
      <c r="I27" s="463"/>
      <c r="J27" s="463"/>
      <c r="K27" s="463"/>
      <c r="L27" s="463"/>
      <c r="M27" s="463"/>
      <c r="N27" s="463"/>
      <c r="O27" s="463"/>
      <c r="P27" s="463"/>
      <c r="Q27" s="463"/>
      <c r="R27" s="463"/>
      <c r="S27" s="463"/>
      <c r="T27" s="463"/>
      <c r="U27" s="463"/>
      <c r="V27" s="463"/>
      <c r="W27" s="463"/>
      <c r="X27" s="463"/>
      <c r="Y27" s="463"/>
      <c r="Z27" s="463"/>
    </row>
    <row r="28" spans="1:26" ht="15.75" customHeight="1" thickBot="1" x14ac:dyDescent="0.35">
      <c r="A28" s="479"/>
      <c r="B28" s="469">
        <v>0</v>
      </c>
      <c r="C28" s="469">
        <v>0</v>
      </c>
      <c r="D28" s="476"/>
      <c r="E28" s="476"/>
      <c r="F28" s="477"/>
      <c r="G28" s="463"/>
      <c r="H28" s="463"/>
      <c r="I28" s="463"/>
      <c r="J28" s="463"/>
      <c r="K28" s="463"/>
      <c r="L28" s="463"/>
      <c r="M28" s="463"/>
      <c r="N28" s="463"/>
      <c r="O28" s="463"/>
      <c r="P28" s="463"/>
      <c r="Q28" s="463"/>
      <c r="R28" s="463"/>
      <c r="S28" s="463"/>
      <c r="T28" s="463"/>
      <c r="U28" s="463"/>
      <c r="V28" s="463"/>
      <c r="W28" s="463"/>
      <c r="X28" s="463"/>
      <c r="Y28" s="463"/>
      <c r="Z28" s="463"/>
    </row>
    <row r="29" spans="1:26" ht="15.75" customHeight="1" thickBot="1" x14ac:dyDescent="0.35">
      <c r="A29" s="470" t="s">
        <v>32</v>
      </c>
      <c r="B29" s="480">
        <f t="shared" ref="B29:C29" si="0">SUM(B16:B28)</f>
        <v>307501.76999999996</v>
      </c>
      <c r="C29" s="480">
        <f t="shared" si="0"/>
        <v>453500</v>
      </c>
      <c r="D29" s="481"/>
      <c r="E29" s="481"/>
      <c r="F29" s="482"/>
      <c r="G29" s="463"/>
      <c r="H29" s="463"/>
      <c r="I29" s="463"/>
      <c r="J29" s="463"/>
      <c r="K29" s="463"/>
      <c r="L29" s="463"/>
      <c r="M29" s="463"/>
      <c r="N29" s="463"/>
      <c r="O29" s="463"/>
      <c r="P29" s="463"/>
      <c r="Q29" s="463"/>
      <c r="R29" s="463"/>
      <c r="S29" s="463"/>
      <c r="T29" s="463"/>
      <c r="U29" s="463"/>
      <c r="V29" s="463"/>
      <c r="W29" s="463"/>
      <c r="X29" s="463"/>
      <c r="Y29" s="463"/>
      <c r="Z29" s="463"/>
    </row>
    <row r="30" spans="1:26" ht="15.75" customHeight="1" x14ac:dyDescent="0.3">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row>
    <row r="31" spans="1:26" ht="15.75" customHeight="1" x14ac:dyDescent="0.3">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row>
    <row r="32" spans="1:26" ht="15.75" customHeight="1" x14ac:dyDescent="0.3">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row>
    <row r="33" spans="1:26" ht="15.75" customHeight="1" x14ac:dyDescent="0.3">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row>
    <row r="34" spans="1:26" ht="15.75" customHeight="1" x14ac:dyDescent="0.3">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row>
    <row r="35" spans="1:26" ht="15.75" customHeight="1" x14ac:dyDescent="0.3">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row>
    <row r="36" spans="1:26" ht="15.75" customHeight="1" x14ac:dyDescent="0.3">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row>
    <row r="37" spans="1:26" ht="15.75" customHeight="1" x14ac:dyDescent="0.3">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row>
    <row r="38" spans="1:26" ht="15.75" customHeight="1" x14ac:dyDescent="0.3">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row>
    <row r="39" spans="1:26" ht="15.75" customHeight="1" x14ac:dyDescent="0.3">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row>
    <row r="40" spans="1:26" ht="15.75" customHeight="1" x14ac:dyDescent="0.3">
      <c r="A40" s="463"/>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row>
    <row r="41" spans="1:26" ht="15.75" customHeight="1" x14ac:dyDescent="0.3">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row>
    <row r="42" spans="1:26" ht="15.75" customHeight="1" x14ac:dyDescent="0.3">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row>
    <row r="43" spans="1:26" ht="15.75" customHeight="1" x14ac:dyDescent="0.3">
      <c r="A43" s="463"/>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row>
    <row r="44" spans="1:26" ht="15.75" customHeight="1" x14ac:dyDescent="0.3">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row>
    <row r="45" spans="1:26" ht="15.75" customHeight="1" x14ac:dyDescent="0.3">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row>
    <row r="46" spans="1:26" ht="15.75" customHeight="1" x14ac:dyDescent="0.3">
      <c r="A46" s="463"/>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row>
    <row r="47" spans="1:26" ht="15.75" customHeight="1" x14ac:dyDescent="0.3">
      <c r="A47" s="46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row>
    <row r="48" spans="1:26" ht="15.75" customHeight="1" x14ac:dyDescent="0.3">
      <c r="A48" s="463"/>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row>
    <row r="49" spans="1:26" ht="15.75" customHeight="1" x14ac:dyDescent="0.3">
      <c r="A49" s="463"/>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row>
    <row r="50" spans="1:26" ht="15.75" customHeight="1" x14ac:dyDescent="0.3">
      <c r="A50" s="463"/>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row>
    <row r="51" spans="1:26" ht="15.75" customHeight="1" x14ac:dyDescent="0.3">
      <c r="A51" s="463"/>
      <c r="B51" s="463"/>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row>
    <row r="52" spans="1:26" ht="15.75" customHeight="1" x14ac:dyDescent="0.3">
      <c r="A52" s="463"/>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row>
    <row r="53" spans="1:26" ht="15.75" customHeight="1" x14ac:dyDescent="0.3">
      <c r="A53" s="463"/>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row>
    <row r="54" spans="1:26" ht="15.75" customHeight="1" x14ac:dyDescent="0.3">
      <c r="A54" s="463"/>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row>
    <row r="55" spans="1:26" ht="15.75" customHeight="1" x14ac:dyDescent="0.3">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row>
    <row r="56" spans="1:26" ht="15.75" customHeight="1" x14ac:dyDescent="0.3">
      <c r="A56" s="463"/>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row>
    <row r="57" spans="1:26" ht="15.75" customHeight="1" x14ac:dyDescent="0.3">
      <c r="A57" s="463"/>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row>
    <row r="58" spans="1:26" ht="15.75" customHeight="1" x14ac:dyDescent="0.3">
      <c r="A58" s="463"/>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row>
    <row r="59" spans="1:26" ht="15.75" customHeight="1" x14ac:dyDescent="0.3">
      <c r="A59" s="463"/>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row>
    <row r="60" spans="1:26" ht="15.75" customHeight="1" x14ac:dyDescent="0.3">
      <c r="A60" s="463"/>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row>
    <row r="61" spans="1:26" ht="15.75" customHeight="1" x14ac:dyDescent="0.3">
      <c r="A61" s="463"/>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row>
    <row r="62" spans="1:26" ht="15.75" customHeight="1" x14ac:dyDescent="0.3">
      <c r="A62" s="463"/>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row>
    <row r="63" spans="1:26" ht="15.75" customHeight="1" x14ac:dyDescent="0.3">
      <c r="A63" s="463"/>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row>
    <row r="64" spans="1:26" ht="15.75" customHeight="1" x14ac:dyDescent="0.3">
      <c r="A64" s="463"/>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row>
    <row r="65" spans="1:26" ht="15.75" customHeight="1" x14ac:dyDescent="0.3">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row>
    <row r="66" spans="1:26" ht="15.75" customHeight="1" x14ac:dyDescent="0.3">
      <c r="A66" s="463"/>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row>
    <row r="67" spans="1:26" ht="15.75" customHeight="1" x14ac:dyDescent="0.3">
      <c r="A67" s="463"/>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26" ht="15.75" customHeight="1" x14ac:dyDescent="0.3">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row r="69" spans="1:26" ht="15.75" customHeight="1" x14ac:dyDescent="0.3">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row>
    <row r="70" spans="1:26" ht="15.75" customHeight="1" x14ac:dyDescent="0.3">
      <c r="A70" s="463"/>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row>
    <row r="71" spans="1:26" ht="15.75" customHeight="1" x14ac:dyDescent="0.3">
      <c r="A71" s="463"/>
      <c r="B71" s="463"/>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row>
    <row r="72" spans="1:26" ht="15.75" customHeight="1" x14ac:dyDescent="0.3">
      <c r="A72" s="463"/>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row>
    <row r="73" spans="1:26" ht="15.75" customHeight="1" x14ac:dyDescent="0.3">
      <c r="A73" s="463"/>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row>
    <row r="74" spans="1:26" ht="15.75" customHeight="1" x14ac:dyDescent="0.3">
      <c r="A74" s="463"/>
      <c r="B74" s="463"/>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row>
    <row r="75" spans="1:26" ht="15.75" customHeight="1" x14ac:dyDescent="0.3">
      <c r="A75" s="463"/>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row>
    <row r="76" spans="1:26" ht="15.75" customHeight="1" x14ac:dyDescent="0.3">
      <c r="A76" s="463"/>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row>
    <row r="77" spans="1:26" ht="15.75" customHeight="1" x14ac:dyDescent="0.3">
      <c r="A77" s="463"/>
      <c r="B77" s="463"/>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row>
    <row r="78" spans="1:26" ht="15.75" customHeight="1" x14ac:dyDescent="0.3">
      <c r="A78" s="463"/>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row>
    <row r="79" spans="1:26" ht="15.75" customHeight="1" x14ac:dyDescent="0.3">
      <c r="A79" s="463"/>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row>
    <row r="80" spans="1:26" ht="15.75" customHeight="1" x14ac:dyDescent="0.3">
      <c r="A80" s="463"/>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row>
    <row r="81" spans="1:26" ht="15.75" customHeight="1" x14ac:dyDescent="0.3">
      <c r="A81" s="463"/>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row>
    <row r="82" spans="1:26" ht="15.75" customHeight="1" x14ac:dyDescent="0.3">
      <c r="A82" s="463"/>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row>
    <row r="83" spans="1:26" ht="15.75" customHeight="1" x14ac:dyDescent="0.3">
      <c r="A83" s="463"/>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row>
    <row r="84" spans="1:26" ht="15.75" customHeight="1" x14ac:dyDescent="0.3">
      <c r="A84" s="463"/>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row>
    <row r="85" spans="1:26" ht="15.75" customHeight="1" x14ac:dyDescent="0.3">
      <c r="A85" s="463"/>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row>
    <row r="86" spans="1:26" ht="15.75" customHeight="1" x14ac:dyDescent="0.3">
      <c r="A86" s="463"/>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row>
    <row r="87" spans="1:26" ht="15.75" customHeight="1" x14ac:dyDescent="0.3">
      <c r="A87" s="463"/>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row>
    <row r="88" spans="1:26" ht="15.75" customHeight="1" x14ac:dyDescent="0.3">
      <c r="A88" s="463"/>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row>
    <row r="89" spans="1:26" ht="15.75" customHeight="1" x14ac:dyDescent="0.3">
      <c r="A89" s="463"/>
      <c r="B89" s="463"/>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row>
    <row r="90" spans="1:26" ht="15.75" customHeight="1" x14ac:dyDescent="0.3">
      <c r="A90" s="463"/>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row>
    <row r="91" spans="1:26" ht="15.75" customHeight="1" x14ac:dyDescent="0.3">
      <c r="A91" s="463"/>
      <c r="B91" s="463"/>
      <c r="C91" s="463"/>
      <c r="D91" s="463"/>
      <c r="E91" s="463"/>
      <c r="F91" s="463"/>
      <c r="G91" s="463"/>
      <c r="H91" s="463"/>
      <c r="I91" s="463"/>
      <c r="J91" s="463"/>
      <c r="K91" s="463"/>
      <c r="L91" s="463"/>
      <c r="M91" s="463"/>
      <c r="N91" s="463"/>
      <c r="O91" s="463"/>
      <c r="P91" s="463"/>
      <c r="Q91" s="463"/>
      <c r="R91" s="463"/>
      <c r="S91" s="463"/>
      <c r="T91" s="463"/>
      <c r="U91" s="463"/>
      <c r="V91" s="463"/>
      <c r="W91" s="463"/>
      <c r="X91" s="463"/>
      <c r="Y91" s="463"/>
      <c r="Z91" s="463"/>
    </row>
    <row r="92" spans="1:26" ht="15.75" customHeight="1" x14ac:dyDescent="0.3">
      <c r="A92" s="463"/>
      <c r="B92" s="463"/>
      <c r="C92" s="463"/>
      <c r="D92" s="463"/>
      <c r="E92" s="463"/>
      <c r="F92" s="463"/>
      <c r="G92" s="463"/>
      <c r="H92" s="463"/>
      <c r="I92" s="463"/>
      <c r="J92" s="463"/>
      <c r="K92" s="463"/>
      <c r="L92" s="463"/>
      <c r="M92" s="463"/>
      <c r="N92" s="463"/>
      <c r="O92" s="463"/>
      <c r="P92" s="463"/>
      <c r="Q92" s="463"/>
      <c r="R92" s="463"/>
      <c r="S92" s="463"/>
      <c r="T92" s="463"/>
      <c r="U92" s="463"/>
      <c r="V92" s="463"/>
      <c r="W92" s="463"/>
      <c r="X92" s="463"/>
      <c r="Y92" s="463"/>
      <c r="Z92" s="463"/>
    </row>
    <row r="93" spans="1:26" ht="15.75" customHeight="1" x14ac:dyDescent="0.3">
      <c r="A93" s="463"/>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row>
    <row r="94" spans="1:26" ht="15.75" customHeight="1" x14ac:dyDescent="0.3">
      <c r="A94" s="463"/>
      <c r="B94" s="463"/>
      <c r="C94" s="463"/>
      <c r="D94" s="463"/>
      <c r="E94" s="463"/>
      <c r="F94" s="463"/>
      <c r="G94" s="463"/>
      <c r="H94" s="463"/>
      <c r="I94" s="463"/>
      <c r="J94" s="463"/>
      <c r="K94" s="463"/>
      <c r="L94" s="463"/>
      <c r="M94" s="463"/>
      <c r="N94" s="463"/>
      <c r="O94" s="463"/>
      <c r="P94" s="463"/>
      <c r="Q94" s="463"/>
      <c r="R94" s="463"/>
      <c r="S94" s="463"/>
      <c r="T94" s="463"/>
      <c r="U94" s="463"/>
      <c r="V94" s="463"/>
      <c r="W94" s="463"/>
      <c r="X94" s="463"/>
      <c r="Y94" s="463"/>
      <c r="Z94" s="463"/>
    </row>
    <row r="95" spans="1:26" ht="15.75" customHeight="1" x14ac:dyDescent="0.3">
      <c r="A95" s="463"/>
      <c r="B95" s="463"/>
      <c r="C95" s="463"/>
      <c r="D95" s="463"/>
      <c r="E95" s="463"/>
      <c r="F95" s="463"/>
      <c r="G95" s="463"/>
      <c r="H95" s="463"/>
      <c r="I95" s="463"/>
      <c r="J95" s="463"/>
      <c r="K95" s="463"/>
      <c r="L95" s="463"/>
      <c r="M95" s="463"/>
      <c r="N95" s="463"/>
      <c r="O95" s="463"/>
      <c r="P95" s="463"/>
      <c r="Q95" s="463"/>
      <c r="R95" s="463"/>
      <c r="S95" s="463"/>
      <c r="T95" s="463"/>
      <c r="U95" s="463"/>
      <c r="V95" s="463"/>
      <c r="W95" s="463"/>
      <c r="X95" s="463"/>
      <c r="Y95" s="463"/>
      <c r="Z95" s="463"/>
    </row>
    <row r="96" spans="1:26" ht="15.75" customHeight="1" x14ac:dyDescent="0.3">
      <c r="A96" s="463"/>
      <c r="B96" s="463"/>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row>
    <row r="97" spans="1:26" ht="15.75" customHeight="1" x14ac:dyDescent="0.3">
      <c r="A97" s="463"/>
      <c r="B97" s="463"/>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row>
    <row r="98" spans="1:26" ht="15.75" customHeight="1" x14ac:dyDescent="0.3">
      <c r="A98" s="463"/>
      <c r="B98" s="463"/>
      <c r="C98" s="463"/>
      <c r="D98" s="463"/>
      <c r="E98" s="463"/>
      <c r="F98" s="463"/>
      <c r="G98" s="463"/>
      <c r="H98" s="463"/>
      <c r="I98" s="463"/>
      <c r="J98" s="463"/>
      <c r="K98" s="463"/>
      <c r="L98" s="463"/>
      <c r="M98" s="463"/>
      <c r="N98" s="463"/>
      <c r="O98" s="463"/>
      <c r="P98" s="463"/>
      <c r="Q98" s="463"/>
      <c r="R98" s="463"/>
      <c r="S98" s="463"/>
      <c r="T98" s="463"/>
      <c r="U98" s="463"/>
      <c r="V98" s="463"/>
      <c r="W98" s="463"/>
      <c r="X98" s="463"/>
      <c r="Y98" s="463"/>
      <c r="Z98" s="463"/>
    </row>
    <row r="99" spans="1:26" ht="15.75" customHeight="1" x14ac:dyDescent="0.3">
      <c r="A99" s="463"/>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row>
    <row r="100" spans="1:26" ht="15.75" customHeight="1" x14ac:dyDescent="0.3">
      <c r="A100" s="463"/>
      <c r="B100" s="463"/>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row>
    <row r="101" spans="1:26" ht="15.75" customHeight="1" x14ac:dyDescent="0.3">
      <c r="A101" s="463"/>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row>
    <row r="102" spans="1:26" ht="15.75" customHeight="1" x14ac:dyDescent="0.3">
      <c r="A102" s="463"/>
      <c r="B102" s="463"/>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row>
    <row r="103" spans="1:26" ht="15.75" customHeight="1" x14ac:dyDescent="0.3">
      <c r="A103" s="463"/>
      <c r="B103" s="463"/>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row>
    <row r="104" spans="1:26" ht="15.75" customHeight="1" x14ac:dyDescent="0.3">
      <c r="A104" s="463"/>
      <c r="B104" s="463"/>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row>
    <row r="105" spans="1:26" ht="15.75" customHeight="1" x14ac:dyDescent="0.3">
      <c r="A105" s="463"/>
      <c r="B105" s="463"/>
      <c r="C105" s="463"/>
      <c r="D105" s="463"/>
      <c r="E105" s="463"/>
      <c r="F105" s="463"/>
      <c r="G105" s="463"/>
      <c r="H105" s="463"/>
      <c r="I105" s="463"/>
      <c r="J105" s="463"/>
      <c r="K105" s="463"/>
      <c r="L105" s="463"/>
      <c r="M105" s="463"/>
      <c r="N105" s="463"/>
      <c r="O105" s="463"/>
      <c r="P105" s="463"/>
      <c r="Q105" s="463"/>
      <c r="R105" s="463"/>
      <c r="S105" s="463"/>
      <c r="T105" s="463"/>
      <c r="U105" s="463"/>
      <c r="V105" s="463"/>
      <c r="W105" s="463"/>
      <c r="X105" s="463"/>
      <c r="Y105" s="463"/>
      <c r="Z105" s="463"/>
    </row>
    <row r="106" spans="1:26" ht="15.75" customHeight="1" x14ac:dyDescent="0.3">
      <c r="A106" s="463"/>
      <c r="B106" s="463"/>
      <c r="C106" s="463"/>
      <c r="D106" s="463"/>
      <c r="E106" s="463"/>
      <c r="F106" s="463"/>
      <c r="G106" s="463"/>
      <c r="H106" s="463"/>
      <c r="I106" s="463"/>
      <c r="J106" s="463"/>
      <c r="K106" s="463"/>
      <c r="L106" s="463"/>
      <c r="M106" s="463"/>
      <c r="N106" s="463"/>
      <c r="O106" s="463"/>
      <c r="P106" s="463"/>
      <c r="Q106" s="463"/>
      <c r="R106" s="463"/>
      <c r="S106" s="463"/>
      <c r="T106" s="463"/>
      <c r="U106" s="463"/>
      <c r="V106" s="463"/>
      <c r="W106" s="463"/>
      <c r="X106" s="463"/>
      <c r="Y106" s="463"/>
      <c r="Z106" s="463"/>
    </row>
    <row r="107" spans="1:26" ht="15.75" customHeight="1" x14ac:dyDescent="0.3">
      <c r="A107" s="463"/>
      <c r="B107" s="463"/>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row>
    <row r="108" spans="1:26" ht="15.75" customHeight="1" x14ac:dyDescent="0.3">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row>
    <row r="109" spans="1:26" ht="15.75" customHeight="1" x14ac:dyDescent="0.3">
      <c r="A109" s="463"/>
      <c r="B109" s="463"/>
      <c r="C109" s="463"/>
      <c r="D109" s="463"/>
      <c r="E109" s="463"/>
      <c r="F109" s="463"/>
      <c r="G109" s="463"/>
      <c r="H109" s="463"/>
      <c r="I109" s="463"/>
      <c r="J109" s="463"/>
      <c r="K109" s="463"/>
      <c r="L109" s="463"/>
      <c r="M109" s="463"/>
      <c r="N109" s="463"/>
      <c r="O109" s="463"/>
      <c r="P109" s="463"/>
      <c r="Q109" s="463"/>
      <c r="R109" s="463"/>
      <c r="S109" s="463"/>
      <c r="T109" s="463"/>
      <c r="U109" s="463"/>
      <c r="V109" s="463"/>
      <c r="W109" s="463"/>
      <c r="X109" s="463"/>
      <c r="Y109" s="463"/>
      <c r="Z109" s="463"/>
    </row>
    <row r="110" spans="1:26" ht="15.75" customHeight="1" x14ac:dyDescent="0.3">
      <c r="A110" s="463"/>
      <c r="B110" s="463"/>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row>
    <row r="111" spans="1:26" ht="15.75" customHeight="1" x14ac:dyDescent="0.3">
      <c r="A111" s="463"/>
      <c r="B111" s="463"/>
      <c r="C111" s="463"/>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row>
    <row r="112" spans="1:26" ht="15.75" customHeight="1" x14ac:dyDescent="0.3">
      <c r="A112" s="463"/>
      <c r="B112" s="463"/>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row>
    <row r="113" spans="1:26" ht="15.75" customHeight="1" x14ac:dyDescent="0.3">
      <c r="A113" s="463"/>
      <c r="B113" s="463"/>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row>
    <row r="114" spans="1:26" ht="15.75" customHeight="1" x14ac:dyDescent="0.3">
      <c r="A114" s="463"/>
      <c r="B114" s="463"/>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row>
    <row r="115" spans="1:26" ht="15.75" customHeight="1" x14ac:dyDescent="0.3">
      <c r="A115" s="463"/>
      <c r="B115" s="463"/>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row>
    <row r="116" spans="1:26" ht="15.75" customHeight="1" x14ac:dyDescent="0.3">
      <c r="A116" s="463"/>
      <c r="B116" s="463"/>
      <c r="C116" s="463"/>
      <c r="D116" s="463"/>
      <c r="E116" s="463"/>
      <c r="F116" s="463"/>
      <c r="G116" s="463"/>
      <c r="H116" s="463"/>
      <c r="I116" s="463"/>
      <c r="J116" s="463"/>
      <c r="K116" s="463"/>
      <c r="L116" s="463"/>
      <c r="M116" s="463"/>
      <c r="N116" s="463"/>
      <c r="O116" s="463"/>
      <c r="P116" s="463"/>
      <c r="Q116" s="463"/>
      <c r="R116" s="463"/>
      <c r="S116" s="463"/>
      <c r="T116" s="463"/>
      <c r="U116" s="463"/>
      <c r="V116" s="463"/>
      <c r="W116" s="463"/>
      <c r="X116" s="463"/>
      <c r="Y116" s="463"/>
      <c r="Z116" s="463"/>
    </row>
    <row r="117" spans="1:26" ht="15.75" customHeight="1" x14ac:dyDescent="0.3">
      <c r="A117" s="463"/>
      <c r="B117" s="463"/>
      <c r="C117" s="463"/>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row>
    <row r="118" spans="1:26" ht="15.75" customHeight="1" x14ac:dyDescent="0.3">
      <c r="A118" s="463"/>
      <c r="B118" s="463"/>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row>
    <row r="119" spans="1:26" ht="15.75" customHeight="1" x14ac:dyDescent="0.3">
      <c r="A119" s="463"/>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row>
    <row r="120" spans="1:26" ht="15.75" customHeight="1" x14ac:dyDescent="0.3">
      <c r="A120" s="463"/>
      <c r="B120" s="463"/>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row>
    <row r="121" spans="1:26" ht="15.75" customHeight="1" x14ac:dyDescent="0.3">
      <c r="A121" s="463"/>
      <c r="B121" s="463"/>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row>
    <row r="122" spans="1:26" ht="15.75" customHeight="1" x14ac:dyDescent="0.3">
      <c r="A122" s="463"/>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row>
    <row r="123" spans="1:26" ht="15.75" customHeight="1" x14ac:dyDescent="0.3">
      <c r="A123" s="463"/>
      <c r="B123" s="463"/>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row>
    <row r="124" spans="1:26" ht="15.75" customHeight="1" x14ac:dyDescent="0.3">
      <c r="A124" s="463"/>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row>
    <row r="125" spans="1:26" ht="15.75" customHeight="1" x14ac:dyDescent="0.3">
      <c r="A125" s="463"/>
      <c r="B125" s="463"/>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row>
    <row r="126" spans="1:26" ht="15.75" customHeight="1" x14ac:dyDescent="0.3">
      <c r="A126" s="463"/>
      <c r="B126" s="463"/>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row>
    <row r="127" spans="1:26" ht="15.75" customHeight="1" x14ac:dyDescent="0.3">
      <c r="A127" s="463"/>
      <c r="B127" s="463"/>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row>
    <row r="128" spans="1:26" ht="15.75" customHeight="1" x14ac:dyDescent="0.3">
      <c r="A128" s="463"/>
      <c r="B128" s="463"/>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row>
    <row r="129" spans="1:26" ht="15.75" customHeight="1" x14ac:dyDescent="0.3">
      <c r="A129" s="463"/>
      <c r="B129" s="463"/>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row>
    <row r="130" spans="1:26" ht="15.75" customHeight="1" x14ac:dyDescent="0.3">
      <c r="A130" s="463"/>
      <c r="B130" s="463"/>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row>
    <row r="131" spans="1:26" ht="15.75" customHeight="1" x14ac:dyDescent="0.3">
      <c r="A131" s="463"/>
      <c r="B131" s="463"/>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row>
    <row r="132" spans="1:26" ht="15.75" customHeight="1" x14ac:dyDescent="0.3">
      <c r="A132" s="463"/>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row>
    <row r="133" spans="1:26" ht="15.75" customHeight="1" x14ac:dyDescent="0.3">
      <c r="A133" s="463"/>
      <c r="B133" s="463"/>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row>
    <row r="134" spans="1:26" ht="15.75" customHeight="1" x14ac:dyDescent="0.3">
      <c r="A134" s="463"/>
      <c r="B134" s="463"/>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row>
    <row r="135" spans="1:26" ht="15.75" customHeight="1" x14ac:dyDescent="0.3">
      <c r="A135" s="463"/>
      <c r="B135" s="463"/>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row>
    <row r="136" spans="1:26" ht="15.75" customHeight="1" x14ac:dyDescent="0.3">
      <c r="A136" s="463"/>
      <c r="B136" s="463"/>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row>
    <row r="137" spans="1:26" ht="15.75" customHeight="1" x14ac:dyDescent="0.3">
      <c r="A137" s="463"/>
      <c r="B137" s="463"/>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row>
    <row r="138" spans="1:26" ht="15.75" customHeight="1" x14ac:dyDescent="0.3">
      <c r="A138" s="463"/>
      <c r="B138" s="463"/>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row>
    <row r="139" spans="1:26" ht="15.75" customHeight="1" x14ac:dyDescent="0.3">
      <c r="A139" s="463"/>
      <c r="B139" s="463"/>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row>
    <row r="140" spans="1:26" ht="15.75" customHeight="1" x14ac:dyDescent="0.3">
      <c r="A140" s="463"/>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row>
    <row r="141" spans="1:26" ht="15.75" customHeight="1" x14ac:dyDescent="0.3">
      <c r="A141" s="46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row>
    <row r="142" spans="1:26" ht="15.75" customHeight="1" x14ac:dyDescent="0.3">
      <c r="A142" s="463"/>
      <c r="B142" s="463"/>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row>
    <row r="143" spans="1:26" ht="15.75" customHeight="1" x14ac:dyDescent="0.3">
      <c r="A143" s="463"/>
      <c r="B143" s="463"/>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row>
    <row r="144" spans="1:26" ht="15.75" customHeight="1" x14ac:dyDescent="0.3">
      <c r="A144" s="463"/>
      <c r="B144" s="463"/>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row>
    <row r="145" spans="1:26" ht="15.75" customHeight="1" x14ac:dyDescent="0.3">
      <c r="A145" s="463"/>
      <c r="B145" s="463"/>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row>
    <row r="146" spans="1:26" ht="15.75" customHeight="1" x14ac:dyDescent="0.3">
      <c r="A146" s="463"/>
      <c r="B146" s="463"/>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row>
    <row r="147" spans="1:26" ht="15.75" customHeight="1" x14ac:dyDescent="0.3">
      <c r="A147" s="463"/>
      <c r="B147" s="463"/>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row>
    <row r="148" spans="1:26" ht="15.75" customHeight="1" x14ac:dyDescent="0.3">
      <c r="A148" s="463"/>
      <c r="B148" s="463"/>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row>
    <row r="149" spans="1:26" ht="15.75" customHeight="1" x14ac:dyDescent="0.3">
      <c r="A149" s="463"/>
      <c r="B149" s="463"/>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row>
    <row r="150" spans="1:26" ht="15.75" customHeight="1" x14ac:dyDescent="0.3">
      <c r="A150" s="463"/>
      <c r="B150" s="463"/>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row>
    <row r="151" spans="1:26" ht="15.75" customHeight="1" x14ac:dyDescent="0.3">
      <c r="A151" s="463"/>
      <c r="B151" s="463"/>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row>
    <row r="152" spans="1:26" ht="15.75" customHeight="1" x14ac:dyDescent="0.3">
      <c r="A152" s="463"/>
      <c r="B152" s="463"/>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row>
    <row r="153" spans="1:26" ht="15.75" customHeight="1" x14ac:dyDescent="0.3">
      <c r="A153" s="463"/>
      <c r="B153" s="463"/>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row>
    <row r="154" spans="1:26" ht="15.75" customHeight="1" x14ac:dyDescent="0.3">
      <c r="A154" s="463"/>
      <c r="B154" s="463"/>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row>
    <row r="155" spans="1:26" ht="15.75" customHeight="1" x14ac:dyDescent="0.3">
      <c r="A155" s="463"/>
      <c r="B155" s="463"/>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row>
    <row r="156" spans="1:26" ht="15.75" customHeight="1" x14ac:dyDescent="0.3">
      <c r="A156" s="463"/>
      <c r="B156" s="463"/>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row>
    <row r="157" spans="1:26" ht="15.75" customHeight="1" x14ac:dyDescent="0.3">
      <c r="A157" s="463"/>
      <c r="B157" s="463"/>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row>
    <row r="158" spans="1:26" ht="15.75" customHeight="1" x14ac:dyDescent="0.3">
      <c r="A158" s="463"/>
      <c r="B158" s="46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row>
    <row r="159" spans="1:26" ht="15.75" customHeight="1" x14ac:dyDescent="0.3">
      <c r="A159" s="463"/>
      <c r="B159" s="463"/>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row>
    <row r="160" spans="1:26" ht="15.75" customHeight="1" x14ac:dyDescent="0.3">
      <c r="A160" s="463"/>
      <c r="B160" s="463"/>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row>
    <row r="161" spans="1:26" ht="15.75" customHeight="1" x14ac:dyDescent="0.3">
      <c r="A161" s="463"/>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row>
    <row r="162" spans="1:26" ht="15.75" customHeight="1" x14ac:dyDescent="0.3">
      <c r="A162" s="463"/>
      <c r="B162" s="463"/>
      <c r="C162" s="463"/>
      <c r="D162" s="463"/>
      <c r="E162" s="463"/>
      <c r="F162" s="463"/>
      <c r="G162" s="463"/>
      <c r="H162" s="463"/>
      <c r="I162" s="463"/>
      <c r="J162" s="463"/>
      <c r="K162" s="463"/>
      <c r="L162" s="463"/>
      <c r="M162" s="463"/>
      <c r="N162" s="463"/>
      <c r="O162" s="463"/>
      <c r="P162" s="463"/>
      <c r="Q162" s="463"/>
      <c r="R162" s="463"/>
      <c r="S162" s="463"/>
      <c r="T162" s="463"/>
      <c r="U162" s="463"/>
      <c r="V162" s="463"/>
      <c r="W162" s="463"/>
      <c r="X162" s="463"/>
      <c r="Y162" s="463"/>
      <c r="Z162" s="463"/>
    </row>
    <row r="163" spans="1:26" ht="15.75" customHeight="1" x14ac:dyDescent="0.3">
      <c r="A163" s="463"/>
      <c r="B163" s="463"/>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row>
    <row r="164" spans="1:26" ht="15.75" customHeight="1" x14ac:dyDescent="0.3">
      <c r="A164" s="463"/>
      <c r="B164" s="463"/>
      <c r="C164" s="463"/>
      <c r="D164" s="463"/>
      <c r="E164" s="463"/>
      <c r="F164" s="463"/>
      <c r="G164" s="463"/>
      <c r="H164" s="463"/>
      <c r="I164" s="463"/>
      <c r="J164" s="463"/>
      <c r="K164" s="463"/>
      <c r="L164" s="463"/>
      <c r="M164" s="463"/>
      <c r="N164" s="463"/>
      <c r="O164" s="463"/>
      <c r="P164" s="463"/>
      <c r="Q164" s="463"/>
      <c r="R164" s="463"/>
      <c r="S164" s="463"/>
      <c r="T164" s="463"/>
      <c r="U164" s="463"/>
      <c r="V164" s="463"/>
      <c r="W164" s="463"/>
      <c r="X164" s="463"/>
      <c r="Y164" s="463"/>
      <c r="Z164" s="463"/>
    </row>
    <row r="165" spans="1:26" ht="15.75" customHeight="1" x14ac:dyDescent="0.3">
      <c r="A165" s="463"/>
      <c r="B165" s="463"/>
      <c r="C165" s="463"/>
      <c r="D165" s="463"/>
      <c r="E165" s="463"/>
      <c r="F165" s="463"/>
      <c r="G165" s="463"/>
      <c r="H165" s="463"/>
      <c r="I165" s="463"/>
      <c r="J165" s="463"/>
      <c r="K165" s="463"/>
      <c r="L165" s="463"/>
      <c r="M165" s="463"/>
      <c r="N165" s="463"/>
      <c r="O165" s="463"/>
      <c r="P165" s="463"/>
      <c r="Q165" s="463"/>
      <c r="R165" s="463"/>
      <c r="S165" s="463"/>
      <c r="T165" s="463"/>
      <c r="U165" s="463"/>
      <c r="V165" s="463"/>
      <c r="W165" s="463"/>
      <c r="X165" s="463"/>
      <c r="Y165" s="463"/>
      <c r="Z165" s="463"/>
    </row>
    <row r="166" spans="1:26" ht="15.75" customHeight="1" x14ac:dyDescent="0.3">
      <c r="A166" s="463"/>
      <c r="B166" s="463"/>
      <c r="C166" s="463"/>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row>
    <row r="167" spans="1:26" ht="15.75" customHeight="1" x14ac:dyDescent="0.3">
      <c r="A167" s="463"/>
      <c r="B167" s="463"/>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row>
    <row r="168" spans="1:26" ht="15.75" customHeight="1" x14ac:dyDescent="0.3">
      <c r="A168" s="463"/>
      <c r="B168" s="463"/>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row>
    <row r="169" spans="1:26" ht="15.75" customHeight="1" x14ac:dyDescent="0.3">
      <c r="A169" s="463"/>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row>
    <row r="170" spans="1:26" ht="15.75" customHeight="1" x14ac:dyDescent="0.3">
      <c r="A170" s="463"/>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row>
    <row r="171" spans="1:26" ht="15.75" customHeight="1" x14ac:dyDescent="0.3">
      <c r="A171" s="463"/>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row>
    <row r="172" spans="1:26" ht="15.75" customHeight="1" x14ac:dyDescent="0.3">
      <c r="A172" s="463"/>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row>
    <row r="173" spans="1:26" ht="15.75" customHeight="1" x14ac:dyDescent="0.3">
      <c r="A173" s="463"/>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row>
    <row r="174" spans="1:26" ht="15.75" customHeight="1" x14ac:dyDescent="0.3">
      <c r="A174" s="463"/>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row>
    <row r="175" spans="1:26" ht="15.75" customHeight="1" x14ac:dyDescent="0.3">
      <c r="A175" s="463"/>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row>
    <row r="176" spans="1:26" ht="15.75" customHeight="1" x14ac:dyDescent="0.3">
      <c r="A176" s="463"/>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row>
    <row r="177" spans="1:26" ht="15.75" customHeight="1" x14ac:dyDescent="0.3">
      <c r="A177" s="463"/>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row>
    <row r="178" spans="1:26" ht="15.75" customHeight="1" x14ac:dyDescent="0.3">
      <c r="A178" s="463"/>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row>
    <row r="179" spans="1:26" ht="15.75" customHeight="1" x14ac:dyDescent="0.3">
      <c r="A179" s="463"/>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row>
    <row r="180" spans="1:26" ht="15.75" customHeight="1" x14ac:dyDescent="0.3">
      <c r="A180" s="463"/>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row>
    <row r="181" spans="1:26" ht="15.75" customHeight="1" x14ac:dyDescent="0.3">
      <c r="A181" s="463"/>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row>
    <row r="182" spans="1:26" ht="15.75" customHeight="1" x14ac:dyDescent="0.3">
      <c r="A182" s="463"/>
      <c r="B182" s="463"/>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row>
    <row r="183" spans="1:26" ht="15.75" customHeight="1" x14ac:dyDescent="0.3">
      <c r="A183" s="463"/>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3"/>
      <c r="Z183" s="463"/>
    </row>
    <row r="184" spans="1:26" ht="15.75" customHeight="1" x14ac:dyDescent="0.3">
      <c r="A184" s="463"/>
      <c r="B184" s="463"/>
      <c r="C184" s="463"/>
      <c r="D184" s="463"/>
      <c r="E184" s="463"/>
      <c r="F184" s="463"/>
      <c r="G184" s="463"/>
      <c r="H184" s="463"/>
      <c r="I184" s="463"/>
      <c r="J184" s="463"/>
      <c r="K184" s="463"/>
      <c r="L184" s="463"/>
      <c r="M184" s="463"/>
      <c r="N184" s="463"/>
      <c r="O184" s="463"/>
      <c r="P184" s="463"/>
      <c r="Q184" s="463"/>
      <c r="R184" s="463"/>
      <c r="S184" s="463"/>
      <c r="T184" s="463"/>
      <c r="U184" s="463"/>
      <c r="V184" s="463"/>
      <c r="W184" s="463"/>
      <c r="X184" s="463"/>
      <c r="Y184" s="463"/>
      <c r="Z184" s="463"/>
    </row>
    <row r="185" spans="1:26" ht="15.75" customHeight="1" x14ac:dyDescent="0.3">
      <c r="A185" s="463"/>
      <c r="B185" s="463"/>
      <c r="C185" s="463"/>
      <c r="D185" s="463"/>
      <c r="E185" s="463"/>
      <c r="F185" s="463"/>
      <c r="G185" s="463"/>
      <c r="H185" s="463"/>
      <c r="I185" s="463"/>
      <c r="J185" s="463"/>
      <c r="K185" s="463"/>
      <c r="L185" s="463"/>
      <c r="M185" s="463"/>
      <c r="N185" s="463"/>
      <c r="O185" s="463"/>
      <c r="P185" s="463"/>
      <c r="Q185" s="463"/>
      <c r="R185" s="463"/>
      <c r="S185" s="463"/>
      <c r="T185" s="463"/>
      <c r="U185" s="463"/>
      <c r="V185" s="463"/>
      <c r="W185" s="463"/>
      <c r="X185" s="463"/>
      <c r="Y185" s="463"/>
      <c r="Z185" s="463"/>
    </row>
    <row r="186" spans="1:26" ht="15.75" customHeight="1" x14ac:dyDescent="0.3">
      <c r="A186" s="463"/>
      <c r="B186" s="463"/>
      <c r="C186" s="463"/>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63"/>
      <c r="Z186" s="463"/>
    </row>
    <row r="187" spans="1:26" ht="15.75" customHeight="1" x14ac:dyDescent="0.3">
      <c r="A187" s="463"/>
      <c r="B187" s="463"/>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63"/>
      <c r="Z187" s="463"/>
    </row>
    <row r="188" spans="1:26" ht="15.75" customHeight="1" x14ac:dyDescent="0.3">
      <c r="A188" s="463"/>
      <c r="B188" s="463"/>
      <c r="C188" s="463"/>
      <c r="D188" s="463"/>
      <c r="E188" s="463"/>
      <c r="F188" s="463"/>
      <c r="G188" s="463"/>
      <c r="H188" s="463"/>
      <c r="I188" s="463"/>
      <c r="J188" s="463"/>
      <c r="K188" s="463"/>
      <c r="L188" s="463"/>
      <c r="M188" s="463"/>
      <c r="N188" s="463"/>
      <c r="O188" s="463"/>
      <c r="P188" s="463"/>
      <c r="Q188" s="463"/>
      <c r="R188" s="463"/>
      <c r="S188" s="463"/>
      <c r="T188" s="463"/>
      <c r="U188" s="463"/>
      <c r="V188" s="463"/>
      <c r="W188" s="463"/>
      <c r="X188" s="463"/>
      <c r="Y188" s="463"/>
      <c r="Z188" s="463"/>
    </row>
    <row r="189" spans="1:26" ht="15.75" customHeight="1" x14ac:dyDescent="0.3">
      <c r="A189" s="463"/>
      <c r="B189" s="463"/>
      <c r="C189" s="463"/>
      <c r="D189" s="463"/>
      <c r="E189" s="463"/>
      <c r="F189" s="463"/>
      <c r="G189" s="463"/>
      <c r="H189" s="463"/>
      <c r="I189" s="463"/>
      <c r="J189" s="463"/>
      <c r="K189" s="463"/>
      <c r="L189" s="463"/>
      <c r="M189" s="463"/>
      <c r="N189" s="463"/>
      <c r="O189" s="463"/>
      <c r="P189" s="463"/>
      <c r="Q189" s="463"/>
      <c r="R189" s="463"/>
      <c r="S189" s="463"/>
      <c r="T189" s="463"/>
      <c r="U189" s="463"/>
      <c r="V189" s="463"/>
      <c r="W189" s="463"/>
      <c r="X189" s="463"/>
      <c r="Y189" s="463"/>
      <c r="Z189" s="463"/>
    </row>
    <row r="190" spans="1:26" ht="15.75" customHeight="1" x14ac:dyDescent="0.3">
      <c r="A190" s="463"/>
      <c r="B190" s="463"/>
      <c r="C190" s="463"/>
      <c r="D190" s="463"/>
      <c r="E190" s="463"/>
      <c r="F190" s="463"/>
      <c r="G190" s="463"/>
      <c r="H190" s="463"/>
      <c r="I190" s="463"/>
      <c r="J190" s="463"/>
      <c r="K190" s="463"/>
      <c r="L190" s="463"/>
      <c r="M190" s="463"/>
      <c r="N190" s="463"/>
      <c r="O190" s="463"/>
      <c r="P190" s="463"/>
      <c r="Q190" s="463"/>
      <c r="R190" s="463"/>
      <c r="S190" s="463"/>
      <c r="T190" s="463"/>
      <c r="U190" s="463"/>
      <c r="V190" s="463"/>
      <c r="W190" s="463"/>
      <c r="X190" s="463"/>
      <c r="Y190" s="463"/>
      <c r="Z190" s="463"/>
    </row>
    <row r="191" spans="1:26" ht="15.75" customHeight="1" x14ac:dyDescent="0.3">
      <c r="A191" s="463"/>
      <c r="B191" s="463"/>
      <c r="C191" s="463"/>
      <c r="D191" s="463"/>
      <c r="E191" s="463"/>
      <c r="F191" s="463"/>
      <c r="G191" s="463"/>
      <c r="H191" s="463"/>
      <c r="I191" s="463"/>
      <c r="J191" s="463"/>
      <c r="K191" s="463"/>
      <c r="L191" s="463"/>
      <c r="M191" s="463"/>
      <c r="N191" s="463"/>
      <c r="O191" s="463"/>
      <c r="P191" s="463"/>
      <c r="Q191" s="463"/>
      <c r="R191" s="463"/>
      <c r="S191" s="463"/>
      <c r="T191" s="463"/>
      <c r="U191" s="463"/>
      <c r="V191" s="463"/>
      <c r="W191" s="463"/>
      <c r="X191" s="463"/>
      <c r="Y191" s="463"/>
      <c r="Z191" s="463"/>
    </row>
    <row r="192" spans="1:26" ht="15.75" customHeight="1" x14ac:dyDescent="0.3">
      <c r="A192" s="463"/>
      <c r="B192" s="463"/>
      <c r="C192" s="463"/>
      <c r="D192" s="463"/>
      <c r="E192" s="463"/>
      <c r="F192" s="463"/>
      <c r="G192" s="463"/>
      <c r="H192" s="463"/>
      <c r="I192" s="463"/>
      <c r="J192" s="463"/>
      <c r="K192" s="463"/>
      <c r="L192" s="463"/>
      <c r="M192" s="463"/>
      <c r="N192" s="463"/>
      <c r="O192" s="463"/>
      <c r="P192" s="463"/>
      <c r="Q192" s="463"/>
      <c r="R192" s="463"/>
      <c r="S192" s="463"/>
      <c r="T192" s="463"/>
      <c r="U192" s="463"/>
      <c r="V192" s="463"/>
      <c r="W192" s="463"/>
      <c r="X192" s="463"/>
      <c r="Y192" s="463"/>
      <c r="Z192" s="463"/>
    </row>
    <row r="193" spans="1:26" ht="15.75" customHeight="1" x14ac:dyDescent="0.3">
      <c r="A193" s="463"/>
      <c r="B193" s="463"/>
      <c r="C193" s="463"/>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row>
    <row r="194" spans="1:26" ht="15.75" customHeight="1" x14ac:dyDescent="0.3">
      <c r="A194" s="463"/>
      <c r="B194" s="463"/>
      <c r="C194" s="463"/>
      <c r="D194" s="463"/>
      <c r="E194" s="463"/>
      <c r="F194" s="463"/>
      <c r="G194" s="463"/>
      <c r="H194" s="463"/>
      <c r="I194" s="463"/>
      <c r="J194" s="463"/>
      <c r="K194" s="463"/>
      <c r="L194" s="463"/>
      <c r="M194" s="463"/>
      <c r="N194" s="463"/>
      <c r="O194" s="463"/>
      <c r="P194" s="463"/>
      <c r="Q194" s="463"/>
      <c r="R194" s="463"/>
      <c r="S194" s="463"/>
      <c r="T194" s="463"/>
      <c r="U194" s="463"/>
      <c r="V194" s="463"/>
      <c r="W194" s="463"/>
      <c r="X194" s="463"/>
      <c r="Y194" s="463"/>
      <c r="Z194" s="463"/>
    </row>
    <row r="195" spans="1:26" ht="15.75" customHeight="1" x14ac:dyDescent="0.3">
      <c r="A195" s="463"/>
      <c r="B195" s="463"/>
      <c r="C195" s="463"/>
      <c r="D195" s="463"/>
      <c r="E195" s="463"/>
      <c r="F195" s="463"/>
      <c r="G195" s="463"/>
      <c r="H195" s="463"/>
      <c r="I195" s="463"/>
      <c r="J195" s="463"/>
      <c r="K195" s="463"/>
      <c r="L195" s="463"/>
      <c r="M195" s="463"/>
      <c r="N195" s="463"/>
      <c r="O195" s="463"/>
      <c r="P195" s="463"/>
      <c r="Q195" s="463"/>
      <c r="R195" s="463"/>
      <c r="S195" s="463"/>
      <c r="T195" s="463"/>
      <c r="U195" s="463"/>
      <c r="V195" s="463"/>
      <c r="W195" s="463"/>
      <c r="X195" s="463"/>
      <c r="Y195" s="463"/>
      <c r="Z195" s="463"/>
    </row>
    <row r="196" spans="1:26" ht="15.75" customHeight="1" x14ac:dyDescent="0.3">
      <c r="A196" s="463"/>
      <c r="B196" s="463"/>
      <c r="C196" s="463"/>
      <c r="D196" s="463"/>
      <c r="E196" s="463"/>
      <c r="F196" s="463"/>
      <c r="G196" s="463"/>
      <c r="H196" s="463"/>
      <c r="I196" s="463"/>
      <c r="J196" s="463"/>
      <c r="K196" s="463"/>
      <c r="L196" s="463"/>
      <c r="M196" s="463"/>
      <c r="N196" s="463"/>
      <c r="O196" s="463"/>
      <c r="P196" s="463"/>
      <c r="Q196" s="463"/>
      <c r="R196" s="463"/>
      <c r="S196" s="463"/>
      <c r="T196" s="463"/>
      <c r="U196" s="463"/>
      <c r="V196" s="463"/>
      <c r="W196" s="463"/>
      <c r="X196" s="463"/>
      <c r="Y196" s="463"/>
      <c r="Z196" s="463"/>
    </row>
    <row r="197" spans="1:26" ht="15.75" customHeight="1" x14ac:dyDescent="0.3">
      <c r="A197" s="463"/>
      <c r="B197" s="463"/>
      <c r="C197" s="463"/>
      <c r="D197" s="463"/>
      <c r="E197" s="463"/>
      <c r="F197" s="463"/>
      <c r="G197" s="463"/>
      <c r="H197" s="463"/>
      <c r="I197" s="463"/>
      <c r="J197" s="463"/>
      <c r="K197" s="463"/>
      <c r="L197" s="463"/>
      <c r="M197" s="463"/>
      <c r="N197" s="463"/>
      <c r="O197" s="463"/>
      <c r="P197" s="463"/>
      <c r="Q197" s="463"/>
      <c r="R197" s="463"/>
      <c r="S197" s="463"/>
      <c r="T197" s="463"/>
      <c r="U197" s="463"/>
      <c r="V197" s="463"/>
      <c r="W197" s="463"/>
      <c r="X197" s="463"/>
      <c r="Y197" s="463"/>
      <c r="Z197" s="463"/>
    </row>
    <row r="198" spans="1:26" ht="15.75" customHeight="1" x14ac:dyDescent="0.3">
      <c r="A198" s="463"/>
      <c r="B198" s="463"/>
      <c r="C198" s="463"/>
      <c r="D198" s="463"/>
      <c r="E198" s="463"/>
      <c r="F198" s="463"/>
      <c r="G198" s="463"/>
      <c r="H198" s="463"/>
      <c r="I198" s="463"/>
      <c r="J198" s="463"/>
      <c r="K198" s="463"/>
      <c r="L198" s="463"/>
      <c r="M198" s="463"/>
      <c r="N198" s="463"/>
      <c r="O198" s="463"/>
      <c r="P198" s="463"/>
      <c r="Q198" s="463"/>
      <c r="R198" s="463"/>
      <c r="S198" s="463"/>
      <c r="T198" s="463"/>
      <c r="U198" s="463"/>
      <c r="V198" s="463"/>
      <c r="W198" s="463"/>
      <c r="X198" s="463"/>
      <c r="Y198" s="463"/>
      <c r="Z198" s="463"/>
    </row>
    <row r="199" spans="1:26" ht="15.75" customHeight="1" x14ac:dyDescent="0.3">
      <c r="A199" s="463"/>
      <c r="B199" s="463"/>
      <c r="C199" s="463"/>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row>
    <row r="200" spans="1:26" ht="15.75" customHeight="1" x14ac:dyDescent="0.3">
      <c r="A200" s="463"/>
      <c r="B200" s="463"/>
      <c r="C200" s="463"/>
      <c r="D200" s="463"/>
      <c r="E200" s="463"/>
      <c r="F200" s="463"/>
      <c r="G200" s="463"/>
      <c r="H200" s="463"/>
      <c r="I200" s="463"/>
      <c r="J200" s="463"/>
      <c r="K200" s="463"/>
      <c r="L200" s="463"/>
      <c r="M200" s="463"/>
      <c r="N200" s="463"/>
      <c r="O200" s="463"/>
      <c r="P200" s="463"/>
      <c r="Q200" s="463"/>
      <c r="R200" s="463"/>
      <c r="S200" s="463"/>
      <c r="T200" s="463"/>
      <c r="U200" s="463"/>
      <c r="V200" s="463"/>
      <c r="W200" s="463"/>
      <c r="X200" s="463"/>
      <c r="Y200" s="463"/>
      <c r="Z200" s="463"/>
    </row>
    <row r="201" spans="1:26" ht="15.75" customHeight="1" x14ac:dyDescent="0.3">
      <c r="A201" s="463"/>
      <c r="B201" s="463"/>
      <c r="C201" s="463"/>
      <c r="D201" s="463"/>
      <c r="E201" s="463"/>
      <c r="F201" s="463"/>
      <c r="G201" s="463"/>
      <c r="H201" s="463"/>
      <c r="I201" s="463"/>
      <c r="J201" s="463"/>
      <c r="K201" s="463"/>
      <c r="L201" s="463"/>
      <c r="M201" s="463"/>
      <c r="N201" s="463"/>
      <c r="O201" s="463"/>
      <c r="P201" s="463"/>
      <c r="Q201" s="463"/>
      <c r="R201" s="463"/>
      <c r="S201" s="463"/>
      <c r="T201" s="463"/>
      <c r="U201" s="463"/>
      <c r="V201" s="463"/>
      <c r="W201" s="463"/>
      <c r="X201" s="463"/>
      <c r="Y201" s="463"/>
      <c r="Z201" s="463"/>
    </row>
    <row r="202" spans="1:26" ht="15.75" customHeight="1" x14ac:dyDescent="0.3">
      <c r="A202" s="463"/>
      <c r="B202" s="463"/>
      <c r="C202" s="463"/>
      <c r="D202" s="463"/>
      <c r="E202" s="463"/>
      <c r="F202" s="463"/>
      <c r="G202" s="463"/>
      <c r="H202" s="463"/>
      <c r="I202" s="463"/>
      <c r="J202" s="463"/>
      <c r="K202" s="463"/>
      <c r="L202" s="463"/>
      <c r="M202" s="463"/>
      <c r="N202" s="463"/>
      <c r="O202" s="463"/>
      <c r="P202" s="463"/>
      <c r="Q202" s="463"/>
      <c r="R202" s="463"/>
      <c r="S202" s="463"/>
      <c r="T202" s="463"/>
      <c r="U202" s="463"/>
      <c r="V202" s="463"/>
      <c r="W202" s="463"/>
      <c r="X202" s="463"/>
      <c r="Y202" s="463"/>
      <c r="Z202" s="463"/>
    </row>
    <row r="203" spans="1:26" ht="15.75" customHeight="1" x14ac:dyDescent="0.3">
      <c r="A203" s="463"/>
      <c r="B203" s="463"/>
      <c r="C203" s="463"/>
      <c r="D203" s="463"/>
      <c r="E203" s="463"/>
      <c r="F203" s="463"/>
      <c r="G203" s="463"/>
      <c r="H203" s="463"/>
      <c r="I203" s="463"/>
      <c r="J203" s="463"/>
      <c r="K203" s="463"/>
      <c r="L203" s="463"/>
      <c r="M203" s="463"/>
      <c r="N203" s="463"/>
      <c r="O203" s="463"/>
      <c r="P203" s="463"/>
      <c r="Q203" s="463"/>
      <c r="R203" s="463"/>
      <c r="S203" s="463"/>
      <c r="T203" s="463"/>
      <c r="U203" s="463"/>
      <c r="V203" s="463"/>
      <c r="W203" s="463"/>
      <c r="X203" s="463"/>
      <c r="Y203" s="463"/>
      <c r="Z203" s="463"/>
    </row>
    <row r="204" spans="1:26" ht="15.75" customHeight="1" x14ac:dyDescent="0.3">
      <c r="A204" s="463"/>
      <c r="B204" s="463"/>
      <c r="C204" s="463"/>
      <c r="D204" s="463"/>
      <c r="E204" s="463"/>
      <c r="F204" s="463"/>
      <c r="G204" s="463"/>
      <c r="H204" s="463"/>
      <c r="I204" s="463"/>
      <c r="J204" s="463"/>
      <c r="K204" s="463"/>
      <c r="L204" s="463"/>
      <c r="M204" s="463"/>
      <c r="N204" s="463"/>
      <c r="O204" s="463"/>
      <c r="P204" s="463"/>
      <c r="Q204" s="463"/>
      <c r="R204" s="463"/>
      <c r="S204" s="463"/>
      <c r="T204" s="463"/>
      <c r="U204" s="463"/>
      <c r="V204" s="463"/>
      <c r="W204" s="463"/>
      <c r="X204" s="463"/>
      <c r="Y204" s="463"/>
      <c r="Z204" s="463"/>
    </row>
    <row r="205" spans="1:26" ht="15.75" customHeight="1" x14ac:dyDescent="0.3">
      <c r="A205" s="463"/>
      <c r="B205" s="463"/>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row>
    <row r="206" spans="1:26" ht="15.75" customHeight="1" x14ac:dyDescent="0.3">
      <c r="A206" s="463"/>
      <c r="B206" s="463"/>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3"/>
      <c r="Z206" s="463"/>
    </row>
    <row r="207" spans="1:26" ht="15.75" customHeight="1" x14ac:dyDescent="0.3">
      <c r="A207" s="463"/>
      <c r="B207" s="463"/>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3"/>
      <c r="Z207" s="463"/>
    </row>
    <row r="208" spans="1:26" ht="15.75" customHeight="1" x14ac:dyDescent="0.3">
      <c r="A208" s="463"/>
      <c r="B208" s="463"/>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3"/>
      <c r="Z208" s="463"/>
    </row>
    <row r="209" spans="1:26" ht="15.75" customHeight="1" x14ac:dyDescent="0.3">
      <c r="A209" s="463"/>
      <c r="B209" s="463"/>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3"/>
      <c r="Z209" s="463"/>
    </row>
    <row r="210" spans="1:26" ht="15.75" customHeight="1" x14ac:dyDescent="0.3">
      <c r="A210" s="463"/>
      <c r="B210" s="463"/>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3"/>
      <c r="Z210" s="463"/>
    </row>
    <row r="211" spans="1:26" ht="15.75" customHeight="1" x14ac:dyDescent="0.3">
      <c r="A211" s="463"/>
      <c r="B211" s="463"/>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3"/>
      <c r="Z211" s="463"/>
    </row>
    <row r="212" spans="1:26" ht="15.75" customHeight="1" x14ac:dyDescent="0.3">
      <c r="A212" s="463"/>
      <c r="B212" s="463"/>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row>
    <row r="213" spans="1:26" ht="15.75" customHeight="1" x14ac:dyDescent="0.3">
      <c r="A213" s="463"/>
      <c r="B213" s="463"/>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3"/>
      <c r="Z213" s="463"/>
    </row>
    <row r="214" spans="1:26" ht="15.75" customHeight="1" x14ac:dyDescent="0.3">
      <c r="A214" s="463"/>
      <c r="B214" s="463"/>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3"/>
      <c r="Z214" s="463"/>
    </row>
    <row r="215" spans="1:26" ht="15.75" customHeight="1" x14ac:dyDescent="0.3">
      <c r="A215" s="463"/>
      <c r="B215" s="463"/>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3"/>
      <c r="Z215" s="463"/>
    </row>
    <row r="216" spans="1:26" ht="15.75" customHeight="1" x14ac:dyDescent="0.3">
      <c r="A216" s="463"/>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row>
    <row r="217" spans="1:26" ht="15.75" customHeight="1" x14ac:dyDescent="0.3">
      <c r="A217" s="463"/>
      <c r="B217" s="463"/>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3"/>
      <c r="Z217" s="463"/>
    </row>
    <row r="218" spans="1:26" ht="15.75" customHeight="1" x14ac:dyDescent="0.3">
      <c r="A218" s="463"/>
      <c r="B218" s="463"/>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3"/>
      <c r="Z218" s="463"/>
    </row>
    <row r="219" spans="1:26" ht="15.75" customHeight="1" x14ac:dyDescent="0.3">
      <c r="A219" s="463"/>
      <c r="B219" s="463"/>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row>
    <row r="220" spans="1:26" ht="15.75" customHeight="1" x14ac:dyDescent="0.3">
      <c r="A220" s="463"/>
      <c r="B220" s="463"/>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row>
    <row r="221" spans="1:26" ht="15.75" customHeight="1" x14ac:dyDescent="0.3">
      <c r="A221" s="463"/>
      <c r="B221" s="463"/>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3"/>
      <c r="Z221" s="463"/>
    </row>
    <row r="222" spans="1:26" ht="15.75" customHeight="1" x14ac:dyDescent="0.3">
      <c r="A222" s="463"/>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row>
    <row r="223" spans="1:26" ht="15.75" customHeight="1" x14ac:dyDescent="0.3">
      <c r="A223" s="463"/>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row>
    <row r="224" spans="1:26" ht="15.75" customHeight="1" x14ac:dyDescent="0.3">
      <c r="A224" s="463"/>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row>
    <row r="225" spans="1:26" ht="15.75" customHeight="1" x14ac:dyDescent="0.3">
      <c r="A225" s="463"/>
      <c r="B225" s="463"/>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row>
    <row r="226" spans="1:26" ht="15.75" customHeight="1" x14ac:dyDescent="0.3">
      <c r="A226" s="463"/>
      <c r="B226" s="463"/>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3"/>
      <c r="Z226" s="463"/>
    </row>
    <row r="227" spans="1:26" ht="15.75" customHeight="1" x14ac:dyDescent="0.3">
      <c r="A227" s="463"/>
      <c r="B227" s="463"/>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3"/>
      <c r="Z227" s="463"/>
    </row>
    <row r="228" spans="1:26" ht="15.75" customHeight="1" x14ac:dyDescent="0.3">
      <c r="A228" s="463"/>
      <c r="B228" s="463"/>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3"/>
      <c r="Z228" s="463"/>
    </row>
    <row r="229" spans="1:26" ht="15.75" customHeight="1" x14ac:dyDescent="0.3">
      <c r="A229" s="463"/>
      <c r="B229" s="463"/>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row>
    <row r="230" spans="1:26" ht="15.75" customHeight="1" x14ac:dyDescent="0.3">
      <c r="A230" s="463"/>
      <c r="B230" s="463"/>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row>
    <row r="231" spans="1:26" ht="15.75" customHeight="1" x14ac:dyDescent="0.3">
      <c r="A231" s="463"/>
      <c r="B231" s="463"/>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3"/>
      <c r="Z231" s="463"/>
    </row>
    <row r="232" spans="1:26" ht="15.75" customHeight="1" x14ac:dyDescent="0.3">
      <c r="A232" s="463"/>
      <c r="B232" s="463"/>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3"/>
      <c r="Z232" s="463"/>
    </row>
    <row r="233" spans="1:26" ht="15.75" customHeight="1" x14ac:dyDescent="0.3">
      <c r="A233" s="463"/>
      <c r="B233" s="463"/>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3"/>
      <c r="Z233" s="463"/>
    </row>
    <row r="234" spans="1:26" ht="15.75" customHeight="1" x14ac:dyDescent="0.3">
      <c r="A234" s="463"/>
      <c r="B234" s="463"/>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row>
    <row r="235" spans="1:26" ht="15.75" customHeight="1" x14ac:dyDescent="0.3">
      <c r="A235" s="463"/>
      <c r="B235" s="463"/>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3"/>
      <c r="Z235" s="463"/>
    </row>
    <row r="236" spans="1:26" ht="15.75" customHeight="1" x14ac:dyDescent="0.3">
      <c r="A236" s="463"/>
      <c r="B236" s="463"/>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row>
    <row r="237" spans="1:26" ht="15.75" customHeight="1" x14ac:dyDescent="0.3">
      <c r="A237" s="463"/>
      <c r="B237" s="463"/>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3"/>
      <c r="Z237" s="463"/>
    </row>
    <row r="238" spans="1:26" ht="15.75" customHeight="1" x14ac:dyDescent="0.3">
      <c r="A238" s="463"/>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row>
    <row r="239" spans="1:26" ht="15.75" customHeight="1" x14ac:dyDescent="0.3">
      <c r="A239" s="463"/>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row>
    <row r="240" spans="1:26" ht="15.75" customHeight="1" x14ac:dyDescent="0.3">
      <c r="A240" s="463"/>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row>
    <row r="241" spans="1:26" ht="15.75" customHeight="1" x14ac:dyDescent="0.3">
      <c r="A241" s="463"/>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row>
    <row r="242" spans="1:26" ht="15.75" customHeight="1" x14ac:dyDescent="0.3">
      <c r="A242" s="463"/>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row>
    <row r="243" spans="1:26" ht="15.75" customHeight="1" x14ac:dyDescent="0.3">
      <c r="A243" s="463"/>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row>
    <row r="244" spans="1:26" ht="15.75" customHeight="1" x14ac:dyDescent="0.3">
      <c r="A244" s="463"/>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row>
    <row r="245" spans="1:26" ht="15.75" customHeight="1" x14ac:dyDescent="0.3">
      <c r="A245" s="463"/>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row>
    <row r="246" spans="1:26" ht="15.75" customHeight="1" x14ac:dyDescent="0.3">
      <c r="A246" s="463"/>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row>
    <row r="247" spans="1:26" ht="15.75" customHeight="1" x14ac:dyDescent="0.3">
      <c r="A247" s="463"/>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row>
    <row r="248" spans="1:26" ht="15.75" customHeight="1" x14ac:dyDescent="0.3">
      <c r="A248" s="463"/>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row>
    <row r="249" spans="1:26" ht="15.75" customHeight="1" x14ac:dyDescent="0.3">
      <c r="A249" s="463"/>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row>
    <row r="250" spans="1:26" ht="15.75" customHeight="1" x14ac:dyDescent="0.3">
      <c r="A250" s="463"/>
      <c r="B250" s="463"/>
      <c r="C250" s="463"/>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row>
    <row r="251" spans="1:26" ht="15.75" customHeight="1" x14ac:dyDescent="0.3">
      <c r="A251" s="463"/>
      <c r="B251" s="463"/>
      <c r="C251" s="463"/>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row>
    <row r="252" spans="1:26" ht="15.75" customHeight="1" x14ac:dyDescent="0.3">
      <c r="A252" s="463"/>
      <c r="B252" s="463"/>
      <c r="C252" s="463"/>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row>
    <row r="253" spans="1:26" ht="15.75" customHeight="1" x14ac:dyDescent="0.3">
      <c r="A253" s="463"/>
      <c r="B253" s="463"/>
      <c r="C253" s="463"/>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row>
    <row r="254" spans="1:26" ht="15.75" customHeight="1" x14ac:dyDescent="0.3">
      <c r="A254" s="463"/>
      <c r="B254" s="463"/>
      <c r="C254" s="463"/>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row>
    <row r="255" spans="1:26" ht="15.75" customHeight="1" x14ac:dyDescent="0.3">
      <c r="A255" s="463"/>
      <c r="B255" s="463"/>
      <c r="C255" s="463"/>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row>
    <row r="256" spans="1:26" ht="15.75" customHeight="1" x14ac:dyDescent="0.3">
      <c r="A256" s="463"/>
      <c r="B256" s="463"/>
      <c r="C256" s="463"/>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row>
    <row r="257" spans="1:26" ht="15.75" customHeight="1" x14ac:dyDescent="0.3">
      <c r="A257" s="463"/>
      <c r="B257" s="463"/>
      <c r="C257" s="463"/>
      <c r="D257" s="463"/>
      <c r="E257" s="463"/>
      <c r="F257" s="463"/>
      <c r="G257" s="463"/>
      <c r="H257" s="463"/>
      <c r="I257" s="463"/>
      <c r="J257" s="463"/>
      <c r="K257" s="463"/>
      <c r="L257" s="463"/>
      <c r="M257" s="463"/>
      <c r="N257" s="463"/>
      <c r="O257" s="463"/>
      <c r="P257" s="463"/>
      <c r="Q257" s="463"/>
      <c r="R257" s="463"/>
      <c r="S257" s="463"/>
      <c r="T257" s="463"/>
      <c r="U257" s="463"/>
      <c r="V257" s="463"/>
      <c r="W257" s="463"/>
      <c r="X257" s="463"/>
      <c r="Y257" s="463"/>
      <c r="Z257" s="463"/>
    </row>
    <row r="258" spans="1:26" ht="15.75" customHeight="1" x14ac:dyDescent="0.3">
      <c r="A258" s="463"/>
      <c r="B258" s="463"/>
      <c r="C258" s="463"/>
      <c r="D258" s="463"/>
      <c r="E258" s="463"/>
      <c r="F258" s="463"/>
      <c r="G258" s="463"/>
      <c r="H258" s="463"/>
      <c r="I258" s="463"/>
      <c r="J258" s="463"/>
      <c r="K258" s="463"/>
      <c r="L258" s="463"/>
      <c r="M258" s="463"/>
      <c r="N258" s="463"/>
      <c r="O258" s="463"/>
      <c r="P258" s="463"/>
      <c r="Q258" s="463"/>
      <c r="R258" s="463"/>
      <c r="S258" s="463"/>
      <c r="T258" s="463"/>
      <c r="U258" s="463"/>
      <c r="V258" s="463"/>
      <c r="W258" s="463"/>
      <c r="X258" s="463"/>
      <c r="Y258" s="463"/>
      <c r="Z258" s="463"/>
    </row>
    <row r="259" spans="1:26" ht="15.75" customHeight="1" x14ac:dyDescent="0.3">
      <c r="A259" s="463"/>
      <c r="B259" s="463"/>
      <c r="C259" s="463"/>
      <c r="D259" s="463"/>
      <c r="E259" s="463"/>
      <c r="F259" s="463"/>
      <c r="G259" s="463"/>
      <c r="H259" s="463"/>
      <c r="I259" s="463"/>
      <c r="J259" s="463"/>
      <c r="K259" s="463"/>
      <c r="L259" s="463"/>
      <c r="M259" s="463"/>
      <c r="N259" s="463"/>
      <c r="O259" s="463"/>
      <c r="P259" s="463"/>
      <c r="Q259" s="463"/>
      <c r="R259" s="463"/>
      <c r="S259" s="463"/>
      <c r="T259" s="463"/>
      <c r="U259" s="463"/>
      <c r="V259" s="463"/>
      <c r="W259" s="463"/>
      <c r="X259" s="463"/>
      <c r="Y259" s="463"/>
      <c r="Z259" s="463"/>
    </row>
    <row r="260" spans="1:26" ht="15.75" customHeight="1" x14ac:dyDescent="0.3">
      <c r="A260" s="463"/>
      <c r="B260" s="463"/>
      <c r="C260" s="463"/>
      <c r="D260" s="463"/>
      <c r="E260" s="463"/>
      <c r="F260" s="463"/>
      <c r="G260" s="463"/>
      <c r="H260" s="463"/>
      <c r="I260" s="463"/>
      <c r="J260" s="463"/>
      <c r="K260" s="463"/>
      <c r="L260" s="463"/>
      <c r="M260" s="463"/>
      <c r="N260" s="463"/>
      <c r="O260" s="463"/>
      <c r="P260" s="463"/>
      <c r="Q260" s="463"/>
      <c r="R260" s="463"/>
      <c r="S260" s="463"/>
      <c r="T260" s="463"/>
      <c r="U260" s="463"/>
      <c r="V260" s="463"/>
      <c r="W260" s="463"/>
      <c r="X260" s="463"/>
      <c r="Y260" s="463"/>
      <c r="Z260" s="463"/>
    </row>
    <row r="261" spans="1:26" ht="15.75" customHeight="1" x14ac:dyDescent="0.3">
      <c r="A261" s="463"/>
      <c r="B261" s="463"/>
      <c r="C261" s="463"/>
      <c r="D261" s="463"/>
      <c r="E261" s="463"/>
      <c r="F261" s="463"/>
      <c r="G261" s="463"/>
      <c r="H261" s="463"/>
      <c r="I261" s="463"/>
      <c r="J261" s="463"/>
      <c r="K261" s="463"/>
      <c r="L261" s="463"/>
      <c r="M261" s="463"/>
      <c r="N261" s="463"/>
      <c r="O261" s="463"/>
      <c r="P261" s="463"/>
      <c r="Q261" s="463"/>
      <c r="R261" s="463"/>
      <c r="S261" s="463"/>
      <c r="T261" s="463"/>
      <c r="U261" s="463"/>
      <c r="V261" s="463"/>
      <c r="W261" s="463"/>
      <c r="X261" s="463"/>
      <c r="Y261" s="463"/>
      <c r="Z261" s="463"/>
    </row>
    <row r="262" spans="1:26" ht="15.75" customHeight="1" x14ac:dyDescent="0.3">
      <c r="A262" s="463"/>
      <c r="B262" s="463"/>
      <c r="C262" s="463"/>
      <c r="D262" s="463"/>
      <c r="E262" s="463"/>
      <c r="F262" s="463"/>
      <c r="G262" s="463"/>
      <c r="H262" s="463"/>
      <c r="I262" s="463"/>
      <c r="J262" s="463"/>
      <c r="K262" s="463"/>
      <c r="L262" s="463"/>
      <c r="M262" s="463"/>
      <c r="N262" s="463"/>
      <c r="O262" s="463"/>
      <c r="P262" s="463"/>
      <c r="Q262" s="463"/>
      <c r="R262" s="463"/>
      <c r="S262" s="463"/>
      <c r="T262" s="463"/>
      <c r="U262" s="463"/>
      <c r="V262" s="463"/>
      <c r="W262" s="463"/>
      <c r="X262" s="463"/>
      <c r="Y262" s="463"/>
      <c r="Z262" s="463"/>
    </row>
    <row r="263" spans="1:26" ht="15.75" customHeight="1" x14ac:dyDescent="0.3">
      <c r="A263" s="463"/>
      <c r="B263" s="463"/>
      <c r="C263" s="463"/>
      <c r="D263" s="463"/>
      <c r="E263" s="463"/>
      <c r="F263" s="463"/>
      <c r="G263" s="463"/>
      <c r="H263" s="463"/>
      <c r="I263" s="463"/>
      <c r="J263" s="463"/>
      <c r="K263" s="463"/>
      <c r="L263" s="463"/>
      <c r="M263" s="463"/>
      <c r="N263" s="463"/>
      <c r="O263" s="463"/>
      <c r="P263" s="463"/>
      <c r="Q263" s="463"/>
      <c r="R263" s="463"/>
      <c r="S263" s="463"/>
      <c r="T263" s="463"/>
      <c r="U263" s="463"/>
      <c r="V263" s="463"/>
      <c r="W263" s="463"/>
      <c r="X263" s="463"/>
      <c r="Y263" s="463"/>
      <c r="Z263" s="463"/>
    </row>
    <row r="264" spans="1:26" ht="15.75" customHeight="1" x14ac:dyDescent="0.3">
      <c r="A264" s="463"/>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3"/>
      <c r="Z264" s="463"/>
    </row>
    <row r="265" spans="1:26" ht="15.75" customHeight="1" x14ac:dyDescent="0.3">
      <c r="A265" s="463"/>
      <c r="B265" s="463"/>
      <c r="C265" s="463"/>
      <c r="D265" s="463"/>
      <c r="E265" s="463"/>
      <c r="F265" s="463"/>
      <c r="G265" s="463"/>
      <c r="H265" s="463"/>
      <c r="I265" s="463"/>
      <c r="J265" s="463"/>
      <c r="K265" s="463"/>
      <c r="L265" s="463"/>
      <c r="M265" s="463"/>
      <c r="N265" s="463"/>
      <c r="O265" s="463"/>
      <c r="P265" s="463"/>
      <c r="Q265" s="463"/>
      <c r="R265" s="463"/>
      <c r="S265" s="463"/>
      <c r="T265" s="463"/>
      <c r="U265" s="463"/>
      <c r="V265" s="463"/>
      <c r="W265" s="463"/>
      <c r="X265" s="463"/>
      <c r="Y265" s="463"/>
      <c r="Z265" s="463"/>
    </row>
    <row r="266" spans="1:26" ht="15.75" customHeight="1" x14ac:dyDescent="0.3">
      <c r="A266" s="463"/>
      <c r="B266" s="463"/>
      <c r="C266" s="463"/>
      <c r="D266" s="463"/>
      <c r="E266" s="463"/>
      <c r="F266" s="463"/>
      <c r="G266" s="463"/>
      <c r="H266" s="463"/>
      <c r="I266" s="463"/>
      <c r="J266" s="463"/>
      <c r="K266" s="463"/>
      <c r="L266" s="463"/>
      <c r="M266" s="463"/>
      <c r="N266" s="463"/>
      <c r="O266" s="463"/>
      <c r="P266" s="463"/>
      <c r="Q266" s="463"/>
      <c r="R266" s="463"/>
      <c r="S266" s="463"/>
      <c r="T266" s="463"/>
      <c r="U266" s="463"/>
      <c r="V266" s="463"/>
      <c r="W266" s="463"/>
      <c r="X266" s="463"/>
      <c r="Y266" s="463"/>
      <c r="Z266" s="463"/>
    </row>
    <row r="267" spans="1:26" ht="15.75" customHeight="1" x14ac:dyDescent="0.3">
      <c r="A267" s="463"/>
      <c r="B267" s="463"/>
      <c r="C267" s="463"/>
      <c r="D267" s="463"/>
      <c r="E267" s="463"/>
      <c r="F267" s="463"/>
      <c r="G267" s="463"/>
      <c r="H267" s="463"/>
      <c r="I267" s="463"/>
      <c r="J267" s="463"/>
      <c r="K267" s="463"/>
      <c r="L267" s="463"/>
      <c r="M267" s="463"/>
      <c r="N267" s="463"/>
      <c r="O267" s="463"/>
      <c r="P267" s="463"/>
      <c r="Q267" s="463"/>
      <c r="R267" s="463"/>
      <c r="S267" s="463"/>
      <c r="T267" s="463"/>
      <c r="U267" s="463"/>
      <c r="V267" s="463"/>
      <c r="W267" s="463"/>
      <c r="X267" s="463"/>
      <c r="Y267" s="463"/>
      <c r="Z267" s="463"/>
    </row>
    <row r="268" spans="1:26" ht="15.75" customHeight="1" x14ac:dyDescent="0.3">
      <c r="A268" s="463"/>
      <c r="B268" s="463"/>
      <c r="C268" s="463"/>
      <c r="D268" s="463"/>
      <c r="E268" s="463"/>
      <c r="F268" s="463"/>
      <c r="G268" s="463"/>
      <c r="H268" s="463"/>
      <c r="I268" s="463"/>
      <c r="J268" s="463"/>
      <c r="K268" s="463"/>
      <c r="L268" s="463"/>
      <c r="M268" s="463"/>
      <c r="N268" s="463"/>
      <c r="O268" s="463"/>
      <c r="P268" s="463"/>
      <c r="Q268" s="463"/>
      <c r="R268" s="463"/>
      <c r="S268" s="463"/>
      <c r="T268" s="463"/>
      <c r="U268" s="463"/>
      <c r="V268" s="463"/>
      <c r="W268" s="463"/>
      <c r="X268" s="463"/>
      <c r="Y268" s="463"/>
      <c r="Z268" s="463"/>
    </row>
    <row r="269" spans="1:26" ht="15.75" customHeight="1" x14ac:dyDescent="0.3">
      <c r="A269" s="46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row>
    <row r="270" spans="1:26" ht="15.75" customHeight="1" x14ac:dyDescent="0.3">
      <c r="A270" s="463"/>
      <c r="B270" s="463"/>
      <c r="C270" s="463"/>
      <c r="D270" s="463"/>
      <c r="E270" s="463"/>
      <c r="F270" s="463"/>
      <c r="G270" s="463"/>
      <c r="H270" s="463"/>
      <c r="I270" s="463"/>
      <c r="J270" s="463"/>
      <c r="K270" s="463"/>
      <c r="L270" s="463"/>
      <c r="M270" s="463"/>
      <c r="N270" s="463"/>
      <c r="O270" s="463"/>
      <c r="P270" s="463"/>
      <c r="Q270" s="463"/>
      <c r="R270" s="463"/>
      <c r="S270" s="463"/>
      <c r="T270" s="463"/>
      <c r="U270" s="463"/>
      <c r="V270" s="463"/>
      <c r="W270" s="463"/>
      <c r="X270" s="463"/>
      <c r="Y270" s="463"/>
      <c r="Z270" s="463"/>
    </row>
    <row r="271" spans="1:26" ht="15.75" customHeight="1" x14ac:dyDescent="0.3">
      <c r="A271" s="463"/>
      <c r="B271" s="463"/>
      <c r="C271" s="463"/>
      <c r="D271" s="463"/>
      <c r="E271" s="463"/>
      <c r="F271" s="463"/>
      <c r="G271" s="463"/>
      <c r="H271" s="463"/>
      <c r="I271" s="463"/>
      <c r="J271" s="463"/>
      <c r="K271" s="463"/>
      <c r="L271" s="463"/>
      <c r="M271" s="463"/>
      <c r="N271" s="463"/>
      <c r="O271" s="463"/>
      <c r="P271" s="463"/>
      <c r="Q271" s="463"/>
      <c r="R271" s="463"/>
      <c r="S271" s="463"/>
      <c r="T271" s="463"/>
      <c r="U271" s="463"/>
      <c r="V271" s="463"/>
      <c r="W271" s="463"/>
      <c r="X271" s="463"/>
      <c r="Y271" s="463"/>
      <c r="Z271" s="463"/>
    </row>
    <row r="272" spans="1:26" ht="15.75" customHeight="1" x14ac:dyDescent="0.3">
      <c r="A272" s="463"/>
      <c r="B272" s="463"/>
      <c r="C272" s="463"/>
      <c r="D272" s="463"/>
      <c r="E272" s="463"/>
      <c r="F272" s="463"/>
      <c r="G272" s="463"/>
      <c r="H272" s="463"/>
      <c r="I272" s="463"/>
      <c r="J272" s="463"/>
      <c r="K272" s="463"/>
      <c r="L272" s="463"/>
      <c r="M272" s="463"/>
      <c r="N272" s="463"/>
      <c r="O272" s="463"/>
      <c r="P272" s="463"/>
      <c r="Q272" s="463"/>
      <c r="R272" s="463"/>
      <c r="S272" s="463"/>
      <c r="T272" s="463"/>
      <c r="U272" s="463"/>
      <c r="V272" s="463"/>
      <c r="W272" s="463"/>
      <c r="X272" s="463"/>
      <c r="Y272" s="463"/>
      <c r="Z272" s="463"/>
    </row>
    <row r="273" spans="1:26" ht="15.75" customHeight="1" x14ac:dyDescent="0.3">
      <c r="A273" s="463"/>
      <c r="B273" s="463"/>
      <c r="C273" s="463"/>
      <c r="D273" s="463"/>
      <c r="E273" s="463"/>
      <c r="F273" s="463"/>
      <c r="G273" s="463"/>
      <c r="H273" s="463"/>
      <c r="I273" s="463"/>
      <c r="J273" s="463"/>
      <c r="K273" s="463"/>
      <c r="L273" s="463"/>
      <c r="M273" s="463"/>
      <c r="N273" s="463"/>
      <c r="O273" s="463"/>
      <c r="P273" s="463"/>
      <c r="Q273" s="463"/>
      <c r="R273" s="463"/>
      <c r="S273" s="463"/>
      <c r="T273" s="463"/>
      <c r="U273" s="463"/>
      <c r="V273" s="463"/>
      <c r="W273" s="463"/>
      <c r="X273" s="463"/>
      <c r="Y273" s="463"/>
      <c r="Z273" s="463"/>
    </row>
    <row r="274" spans="1:26" ht="15.75" customHeight="1" x14ac:dyDescent="0.3">
      <c r="A274" s="463"/>
      <c r="B274" s="463"/>
      <c r="C274" s="463"/>
      <c r="D274" s="463"/>
      <c r="E274" s="463"/>
      <c r="F274" s="463"/>
      <c r="G274" s="463"/>
      <c r="H274" s="463"/>
      <c r="I274" s="463"/>
      <c r="J274" s="463"/>
      <c r="K274" s="463"/>
      <c r="L274" s="463"/>
      <c r="M274" s="463"/>
      <c r="N274" s="463"/>
      <c r="O274" s="463"/>
      <c r="P274" s="463"/>
      <c r="Q274" s="463"/>
      <c r="R274" s="463"/>
      <c r="S274" s="463"/>
      <c r="T274" s="463"/>
      <c r="U274" s="463"/>
      <c r="V274" s="463"/>
      <c r="W274" s="463"/>
      <c r="X274" s="463"/>
      <c r="Y274" s="463"/>
      <c r="Z274" s="463"/>
    </row>
    <row r="275" spans="1:26" ht="15.75" customHeight="1" x14ac:dyDescent="0.3">
      <c r="A275" s="463"/>
      <c r="B275" s="463"/>
      <c r="C275" s="463"/>
      <c r="D275" s="463"/>
      <c r="E275" s="463"/>
      <c r="F275" s="463"/>
      <c r="G275" s="463"/>
      <c r="H275" s="463"/>
      <c r="I275" s="463"/>
      <c r="J275" s="463"/>
      <c r="K275" s="463"/>
      <c r="L275" s="463"/>
      <c r="M275" s="463"/>
      <c r="N275" s="463"/>
      <c r="O275" s="463"/>
      <c r="P275" s="463"/>
      <c r="Q275" s="463"/>
      <c r="R275" s="463"/>
      <c r="S275" s="463"/>
      <c r="T275" s="463"/>
      <c r="U275" s="463"/>
      <c r="V275" s="463"/>
      <c r="W275" s="463"/>
      <c r="X275" s="463"/>
      <c r="Y275" s="463"/>
      <c r="Z275" s="463"/>
    </row>
    <row r="276" spans="1:26" ht="15.75" customHeight="1" x14ac:dyDescent="0.3">
      <c r="A276" s="463"/>
      <c r="B276" s="463"/>
      <c r="C276" s="463"/>
      <c r="D276" s="463"/>
      <c r="E276" s="463"/>
      <c r="F276" s="463"/>
      <c r="G276" s="463"/>
      <c r="H276" s="463"/>
      <c r="I276" s="463"/>
      <c r="J276" s="463"/>
      <c r="K276" s="463"/>
      <c r="L276" s="463"/>
      <c r="M276" s="463"/>
      <c r="N276" s="463"/>
      <c r="O276" s="463"/>
      <c r="P276" s="463"/>
      <c r="Q276" s="463"/>
      <c r="R276" s="463"/>
      <c r="S276" s="463"/>
      <c r="T276" s="463"/>
      <c r="U276" s="463"/>
      <c r="V276" s="463"/>
      <c r="W276" s="463"/>
      <c r="X276" s="463"/>
      <c r="Y276" s="463"/>
      <c r="Z276" s="463"/>
    </row>
    <row r="277" spans="1:26" ht="15.75" customHeight="1" x14ac:dyDescent="0.3">
      <c r="A277" s="463"/>
      <c r="B277" s="463"/>
      <c r="C277" s="463"/>
      <c r="D277" s="46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row>
    <row r="278" spans="1:26" ht="15.75" customHeight="1" x14ac:dyDescent="0.3">
      <c r="A278" s="463"/>
      <c r="B278" s="463"/>
      <c r="C278" s="463"/>
      <c r="D278" s="463"/>
      <c r="E278" s="463"/>
      <c r="F278" s="463"/>
      <c r="G278" s="463"/>
      <c r="H278" s="463"/>
      <c r="I278" s="463"/>
      <c r="J278" s="463"/>
      <c r="K278" s="463"/>
      <c r="L278" s="463"/>
      <c r="M278" s="463"/>
      <c r="N278" s="463"/>
      <c r="O278" s="463"/>
      <c r="P278" s="463"/>
      <c r="Q278" s="463"/>
      <c r="R278" s="463"/>
      <c r="S278" s="463"/>
      <c r="T278" s="463"/>
      <c r="U278" s="463"/>
      <c r="V278" s="463"/>
      <c r="W278" s="463"/>
      <c r="X278" s="463"/>
      <c r="Y278" s="463"/>
      <c r="Z278" s="463"/>
    </row>
    <row r="279" spans="1:26" ht="15.75" customHeight="1" x14ac:dyDescent="0.3">
      <c r="A279" s="463"/>
      <c r="B279" s="463"/>
      <c r="C279" s="463"/>
      <c r="D279" s="463"/>
      <c r="E279" s="463"/>
      <c r="F279" s="463"/>
      <c r="G279" s="463"/>
      <c r="H279" s="463"/>
      <c r="I279" s="463"/>
      <c r="J279" s="463"/>
      <c r="K279" s="463"/>
      <c r="L279" s="463"/>
      <c r="M279" s="463"/>
      <c r="N279" s="463"/>
      <c r="O279" s="463"/>
      <c r="P279" s="463"/>
      <c r="Q279" s="463"/>
      <c r="R279" s="463"/>
      <c r="S279" s="463"/>
      <c r="T279" s="463"/>
      <c r="U279" s="463"/>
      <c r="V279" s="463"/>
      <c r="W279" s="463"/>
      <c r="X279" s="463"/>
      <c r="Y279" s="463"/>
      <c r="Z279" s="463"/>
    </row>
    <row r="280" spans="1:26" ht="15.75" customHeight="1" x14ac:dyDescent="0.3">
      <c r="A280" s="463"/>
      <c r="B280" s="463"/>
      <c r="C280" s="463"/>
      <c r="D280" s="463"/>
      <c r="E280" s="463"/>
      <c r="F280" s="463"/>
      <c r="G280" s="463"/>
      <c r="H280" s="463"/>
      <c r="I280" s="463"/>
      <c r="J280" s="463"/>
      <c r="K280" s="463"/>
      <c r="L280" s="463"/>
      <c r="M280" s="463"/>
      <c r="N280" s="463"/>
      <c r="O280" s="463"/>
      <c r="P280" s="463"/>
      <c r="Q280" s="463"/>
      <c r="R280" s="463"/>
      <c r="S280" s="463"/>
      <c r="T280" s="463"/>
      <c r="U280" s="463"/>
      <c r="V280" s="463"/>
      <c r="W280" s="463"/>
      <c r="X280" s="463"/>
      <c r="Y280" s="463"/>
      <c r="Z280" s="463"/>
    </row>
    <row r="281" spans="1:26" ht="15.75" customHeight="1" x14ac:dyDescent="0.3">
      <c r="A281" s="463"/>
      <c r="B281" s="463"/>
      <c r="C281" s="463"/>
      <c r="D281" s="463"/>
      <c r="E281" s="463"/>
      <c r="F281" s="463"/>
      <c r="G281" s="463"/>
      <c r="H281" s="463"/>
      <c r="I281" s="463"/>
      <c r="J281" s="463"/>
      <c r="K281" s="463"/>
      <c r="L281" s="463"/>
      <c r="M281" s="463"/>
      <c r="N281" s="463"/>
      <c r="O281" s="463"/>
      <c r="P281" s="463"/>
      <c r="Q281" s="463"/>
      <c r="R281" s="463"/>
      <c r="S281" s="463"/>
      <c r="T281" s="463"/>
      <c r="U281" s="463"/>
      <c r="V281" s="463"/>
      <c r="W281" s="463"/>
      <c r="X281" s="463"/>
      <c r="Y281" s="463"/>
      <c r="Z281" s="463"/>
    </row>
    <row r="282" spans="1:26" ht="15.75" customHeight="1" x14ac:dyDescent="0.3">
      <c r="A282" s="463"/>
      <c r="B282" s="463"/>
      <c r="C282" s="463"/>
      <c r="D282" s="463"/>
      <c r="E282" s="463"/>
      <c r="F282" s="463"/>
      <c r="G282" s="463"/>
      <c r="H282" s="463"/>
      <c r="I282" s="463"/>
      <c r="J282" s="463"/>
      <c r="K282" s="463"/>
      <c r="L282" s="463"/>
      <c r="M282" s="463"/>
      <c r="N282" s="463"/>
      <c r="O282" s="463"/>
      <c r="P282" s="463"/>
      <c r="Q282" s="463"/>
      <c r="R282" s="463"/>
      <c r="S282" s="463"/>
      <c r="T282" s="463"/>
      <c r="U282" s="463"/>
      <c r="V282" s="463"/>
      <c r="W282" s="463"/>
      <c r="X282" s="463"/>
      <c r="Y282" s="463"/>
      <c r="Z282" s="463"/>
    </row>
    <row r="283" spans="1:26" ht="15.75" customHeight="1" x14ac:dyDescent="0.3">
      <c r="A283" s="463"/>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3"/>
      <c r="Z283" s="463"/>
    </row>
    <row r="284" spans="1:26" ht="15.75" customHeight="1" x14ac:dyDescent="0.3">
      <c r="A284" s="463"/>
      <c r="B284" s="463"/>
      <c r="C284" s="463"/>
      <c r="D284" s="463"/>
      <c r="E284" s="463"/>
      <c r="F284" s="463"/>
      <c r="G284" s="463"/>
      <c r="H284" s="463"/>
      <c r="I284" s="463"/>
      <c r="J284" s="463"/>
      <c r="K284" s="463"/>
      <c r="L284" s="463"/>
      <c r="M284" s="463"/>
      <c r="N284" s="463"/>
      <c r="O284" s="463"/>
      <c r="P284" s="463"/>
      <c r="Q284" s="463"/>
      <c r="R284" s="463"/>
      <c r="S284" s="463"/>
      <c r="T284" s="463"/>
      <c r="U284" s="463"/>
      <c r="V284" s="463"/>
      <c r="W284" s="463"/>
      <c r="X284" s="463"/>
      <c r="Y284" s="463"/>
      <c r="Z284" s="463"/>
    </row>
    <row r="285" spans="1:26" ht="15.75" customHeight="1" x14ac:dyDescent="0.3">
      <c r="A285" s="463"/>
      <c r="B285" s="463"/>
      <c r="C285" s="463"/>
      <c r="D285" s="463"/>
      <c r="E285" s="463"/>
      <c r="F285" s="463"/>
      <c r="G285" s="463"/>
      <c r="H285" s="463"/>
      <c r="I285" s="463"/>
      <c r="J285" s="463"/>
      <c r="K285" s="463"/>
      <c r="L285" s="463"/>
      <c r="M285" s="463"/>
      <c r="N285" s="463"/>
      <c r="O285" s="463"/>
      <c r="P285" s="463"/>
      <c r="Q285" s="463"/>
      <c r="R285" s="463"/>
      <c r="S285" s="463"/>
      <c r="T285" s="463"/>
      <c r="U285" s="463"/>
      <c r="V285" s="463"/>
      <c r="W285" s="463"/>
      <c r="X285" s="463"/>
      <c r="Y285" s="463"/>
      <c r="Z285" s="463"/>
    </row>
    <row r="286" spans="1:26" ht="15.75" customHeight="1" x14ac:dyDescent="0.3">
      <c r="A286" s="463"/>
      <c r="B286" s="463"/>
      <c r="C286" s="463"/>
      <c r="D286" s="463"/>
      <c r="E286" s="463"/>
      <c r="F286" s="463"/>
      <c r="G286" s="463"/>
      <c r="H286" s="463"/>
      <c r="I286" s="463"/>
      <c r="J286" s="463"/>
      <c r="K286" s="463"/>
      <c r="L286" s="463"/>
      <c r="M286" s="463"/>
      <c r="N286" s="463"/>
      <c r="O286" s="463"/>
      <c r="P286" s="463"/>
      <c r="Q286" s="463"/>
      <c r="R286" s="463"/>
      <c r="S286" s="463"/>
      <c r="T286" s="463"/>
      <c r="U286" s="463"/>
      <c r="V286" s="463"/>
      <c r="W286" s="463"/>
      <c r="X286" s="463"/>
      <c r="Y286" s="463"/>
      <c r="Z286" s="463"/>
    </row>
    <row r="287" spans="1:26" ht="15.75" customHeight="1" x14ac:dyDescent="0.3">
      <c r="A287" s="463"/>
      <c r="B287" s="463"/>
      <c r="C287" s="463"/>
      <c r="D287" s="463"/>
      <c r="E287" s="463"/>
      <c r="F287" s="463"/>
      <c r="G287" s="463"/>
      <c r="H287" s="463"/>
      <c r="I287" s="463"/>
      <c r="J287" s="463"/>
      <c r="K287" s="463"/>
      <c r="L287" s="463"/>
      <c r="M287" s="463"/>
      <c r="N287" s="463"/>
      <c r="O287" s="463"/>
      <c r="P287" s="463"/>
      <c r="Q287" s="463"/>
      <c r="R287" s="463"/>
      <c r="S287" s="463"/>
      <c r="T287" s="463"/>
      <c r="U287" s="463"/>
      <c r="V287" s="463"/>
      <c r="W287" s="463"/>
      <c r="X287" s="463"/>
      <c r="Y287" s="463"/>
      <c r="Z287" s="463"/>
    </row>
    <row r="288" spans="1:26" ht="15.75" customHeight="1" x14ac:dyDescent="0.3">
      <c r="A288" s="463"/>
      <c r="B288" s="463"/>
      <c r="C288" s="463"/>
      <c r="D288" s="463"/>
      <c r="E288" s="463"/>
      <c r="F288" s="463"/>
      <c r="G288" s="463"/>
      <c r="H288" s="463"/>
      <c r="I288" s="463"/>
      <c r="J288" s="463"/>
      <c r="K288" s="463"/>
      <c r="L288" s="463"/>
      <c r="M288" s="463"/>
      <c r="N288" s="463"/>
      <c r="O288" s="463"/>
      <c r="P288" s="463"/>
      <c r="Q288" s="463"/>
      <c r="R288" s="463"/>
      <c r="S288" s="463"/>
      <c r="T288" s="463"/>
      <c r="U288" s="463"/>
      <c r="V288" s="463"/>
      <c r="W288" s="463"/>
      <c r="X288" s="463"/>
      <c r="Y288" s="463"/>
      <c r="Z288" s="463"/>
    </row>
    <row r="289" spans="1:26" ht="15.75" customHeight="1" x14ac:dyDescent="0.3">
      <c r="A289" s="463"/>
      <c r="B289" s="463"/>
      <c r="C289" s="463"/>
      <c r="D289" s="463"/>
      <c r="E289" s="463"/>
      <c r="F289" s="463"/>
      <c r="G289" s="463"/>
      <c r="H289" s="463"/>
      <c r="I289" s="463"/>
      <c r="J289" s="463"/>
      <c r="K289" s="463"/>
      <c r="L289" s="463"/>
      <c r="M289" s="463"/>
      <c r="N289" s="463"/>
      <c r="O289" s="463"/>
      <c r="P289" s="463"/>
      <c r="Q289" s="463"/>
      <c r="R289" s="463"/>
      <c r="S289" s="463"/>
      <c r="T289" s="463"/>
      <c r="U289" s="463"/>
      <c r="V289" s="463"/>
      <c r="W289" s="463"/>
      <c r="X289" s="463"/>
      <c r="Y289" s="463"/>
      <c r="Z289" s="463"/>
    </row>
    <row r="290" spans="1:26" ht="15.75" customHeight="1" x14ac:dyDescent="0.3">
      <c r="A290" s="463"/>
      <c r="B290" s="463"/>
      <c r="C290" s="463"/>
      <c r="D290" s="463"/>
      <c r="E290" s="463"/>
      <c r="F290" s="463"/>
      <c r="G290" s="463"/>
      <c r="H290" s="463"/>
      <c r="I290" s="463"/>
      <c r="J290" s="463"/>
      <c r="K290" s="463"/>
      <c r="L290" s="463"/>
      <c r="M290" s="463"/>
      <c r="N290" s="463"/>
      <c r="O290" s="463"/>
      <c r="P290" s="463"/>
      <c r="Q290" s="463"/>
      <c r="R290" s="463"/>
      <c r="S290" s="463"/>
      <c r="T290" s="463"/>
      <c r="U290" s="463"/>
      <c r="V290" s="463"/>
      <c r="W290" s="463"/>
      <c r="X290" s="463"/>
      <c r="Y290" s="463"/>
      <c r="Z290" s="463"/>
    </row>
    <row r="291" spans="1:26" ht="15.75" customHeight="1" x14ac:dyDescent="0.3">
      <c r="A291" s="463"/>
      <c r="B291" s="463"/>
      <c r="C291" s="463"/>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row>
    <row r="292" spans="1:26" ht="15.75" customHeight="1" x14ac:dyDescent="0.3">
      <c r="A292" s="463"/>
      <c r="B292" s="463"/>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row>
    <row r="293" spans="1:26" ht="15.75" customHeight="1" x14ac:dyDescent="0.3">
      <c r="A293" s="463"/>
      <c r="B293" s="463"/>
      <c r="C293" s="463"/>
      <c r="D293" s="463"/>
      <c r="E293" s="463"/>
      <c r="F293" s="463"/>
      <c r="G293" s="463"/>
      <c r="H293" s="463"/>
      <c r="I293" s="463"/>
      <c r="J293" s="463"/>
      <c r="K293" s="463"/>
      <c r="L293" s="463"/>
      <c r="M293" s="463"/>
      <c r="N293" s="463"/>
      <c r="O293" s="463"/>
      <c r="P293" s="463"/>
      <c r="Q293" s="463"/>
      <c r="R293" s="463"/>
      <c r="S293" s="463"/>
      <c r="T293" s="463"/>
      <c r="U293" s="463"/>
      <c r="V293" s="463"/>
      <c r="W293" s="463"/>
      <c r="X293" s="463"/>
      <c r="Y293" s="463"/>
      <c r="Z293" s="463"/>
    </row>
    <row r="294" spans="1:26" ht="15.75" customHeight="1" x14ac:dyDescent="0.3">
      <c r="A294" s="463"/>
      <c r="B294" s="463"/>
      <c r="C294" s="46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row>
    <row r="295" spans="1:26" ht="15.75" customHeight="1" x14ac:dyDescent="0.3">
      <c r="A295" s="463"/>
      <c r="B295" s="463"/>
      <c r="C295" s="463"/>
      <c r="D295" s="463"/>
      <c r="E295" s="463"/>
      <c r="F295" s="463"/>
      <c r="G295" s="463"/>
      <c r="H295" s="463"/>
      <c r="I295" s="463"/>
      <c r="J295" s="463"/>
      <c r="K295" s="463"/>
      <c r="L295" s="463"/>
      <c r="M295" s="463"/>
      <c r="N295" s="463"/>
      <c r="O295" s="463"/>
      <c r="P295" s="463"/>
      <c r="Q295" s="463"/>
      <c r="R295" s="463"/>
      <c r="S295" s="463"/>
      <c r="T295" s="463"/>
      <c r="U295" s="463"/>
      <c r="V295" s="463"/>
      <c r="W295" s="463"/>
      <c r="X295" s="463"/>
      <c r="Y295" s="463"/>
      <c r="Z295" s="463"/>
    </row>
    <row r="296" spans="1:26" ht="15.75" customHeight="1" x14ac:dyDescent="0.3">
      <c r="A296" s="463"/>
      <c r="B296" s="463"/>
      <c r="C296" s="463"/>
      <c r="D296" s="463"/>
      <c r="E296" s="463"/>
      <c r="F296" s="463"/>
      <c r="G296" s="463"/>
      <c r="H296" s="463"/>
      <c r="I296" s="463"/>
      <c r="J296" s="463"/>
      <c r="K296" s="463"/>
      <c r="L296" s="463"/>
      <c r="M296" s="463"/>
      <c r="N296" s="463"/>
      <c r="O296" s="463"/>
      <c r="P296" s="463"/>
      <c r="Q296" s="463"/>
      <c r="R296" s="463"/>
      <c r="S296" s="463"/>
      <c r="T296" s="463"/>
      <c r="U296" s="463"/>
      <c r="V296" s="463"/>
      <c r="W296" s="463"/>
      <c r="X296" s="463"/>
      <c r="Y296" s="463"/>
      <c r="Z296" s="463"/>
    </row>
    <row r="297" spans="1:26" ht="15.75" customHeight="1" x14ac:dyDescent="0.3">
      <c r="A297" s="463"/>
      <c r="B297" s="463"/>
      <c r="C297" s="463"/>
      <c r="D297" s="463"/>
      <c r="E297" s="463"/>
      <c r="F297" s="463"/>
      <c r="G297" s="463"/>
      <c r="H297" s="463"/>
      <c r="I297" s="463"/>
      <c r="J297" s="463"/>
      <c r="K297" s="463"/>
      <c r="L297" s="463"/>
      <c r="M297" s="463"/>
      <c r="N297" s="463"/>
      <c r="O297" s="463"/>
      <c r="P297" s="463"/>
      <c r="Q297" s="463"/>
      <c r="R297" s="463"/>
      <c r="S297" s="463"/>
      <c r="T297" s="463"/>
      <c r="U297" s="463"/>
      <c r="V297" s="463"/>
      <c r="W297" s="463"/>
      <c r="X297" s="463"/>
      <c r="Y297" s="463"/>
      <c r="Z297" s="463"/>
    </row>
    <row r="298" spans="1:26" ht="15.75" customHeight="1" x14ac:dyDescent="0.3">
      <c r="A298" s="463"/>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c r="Y298" s="463"/>
      <c r="Z298" s="463"/>
    </row>
    <row r="299" spans="1:26" ht="15.75" customHeight="1" x14ac:dyDescent="0.3">
      <c r="A299" s="463"/>
      <c r="B299" s="463"/>
      <c r="C299" s="463"/>
      <c r="D299" s="463"/>
      <c r="E299" s="463"/>
      <c r="F299" s="463"/>
      <c r="G299" s="463"/>
      <c r="H299" s="463"/>
      <c r="I299" s="463"/>
      <c r="J299" s="463"/>
      <c r="K299" s="463"/>
      <c r="L299" s="463"/>
      <c r="M299" s="463"/>
      <c r="N299" s="463"/>
      <c r="O299" s="463"/>
      <c r="P299" s="463"/>
      <c r="Q299" s="463"/>
      <c r="R299" s="463"/>
      <c r="S299" s="463"/>
      <c r="T299" s="463"/>
      <c r="U299" s="463"/>
      <c r="V299" s="463"/>
      <c r="W299" s="463"/>
      <c r="X299" s="463"/>
      <c r="Y299" s="463"/>
      <c r="Z299" s="463"/>
    </row>
    <row r="300" spans="1:26" ht="15.75" customHeight="1" x14ac:dyDescent="0.3">
      <c r="A300" s="463"/>
      <c r="B300" s="463"/>
      <c r="C300" s="463"/>
      <c r="D300" s="463"/>
      <c r="E300" s="463"/>
      <c r="F300" s="463"/>
      <c r="G300" s="463"/>
      <c r="H300" s="463"/>
      <c r="I300" s="463"/>
      <c r="J300" s="463"/>
      <c r="K300" s="463"/>
      <c r="L300" s="463"/>
      <c r="M300" s="463"/>
      <c r="N300" s="463"/>
      <c r="O300" s="463"/>
      <c r="P300" s="463"/>
      <c r="Q300" s="463"/>
      <c r="R300" s="463"/>
      <c r="S300" s="463"/>
      <c r="T300" s="463"/>
      <c r="U300" s="463"/>
      <c r="V300" s="463"/>
      <c r="W300" s="463"/>
      <c r="X300" s="463"/>
      <c r="Y300" s="463"/>
      <c r="Z300" s="463"/>
    </row>
    <row r="301" spans="1:26" ht="15.75" customHeight="1" x14ac:dyDescent="0.3">
      <c r="A301" s="463"/>
      <c r="B301" s="463"/>
      <c r="C301" s="463"/>
      <c r="D301" s="463"/>
      <c r="E301" s="463"/>
      <c r="F301" s="463"/>
      <c r="G301" s="463"/>
      <c r="H301" s="463"/>
      <c r="I301" s="463"/>
      <c r="J301" s="463"/>
      <c r="K301" s="463"/>
      <c r="L301" s="463"/>
      <c r="M301" s="463"/>
      <c r="N301" s="463"/>
      <c r="O301" s="463"/>
      <c r="P301" s="463"/>
      <c r="Q301" s="463"/>
      <c r="R301" s="463"/>
      <c r="S301" s="463"/>
      <c r="T301" s="463"/>
      <c r="U301" s="463"/>
      <c r="V301" s="463"/>
      <c r="W301" s="463"/>
      <c r="X301" s="463"/>
      <c r="Y301" s="463"/>
      <c r="Z301" s="463"/>
    </row>
    <row r="302" spans="1:26" ht="15.75" customHeight="1" x14ac:dyDescent="0.3">
      <c r="A302" s="463"/>
      <c r="B302" s="463"/>
      <c r="C302" s="463"/>
      <c r="D302" s="463"/>
      <c r="E302" s="463"/>
      <c r="F302" s="463"/>
      <c r="G302" s="463"/>
      <c r="H302" s="463"/>
      <c r="I302" s="463"/>
      <c r="J302" s="463"/>
      <c r="K302" s="463"/>
      <c r="L302" s="463"/>
      <c r="M302" s="463"/>
      <c r="N302" s="463"/>
      <c r="O302" s="463"/>
      <c r="P302" s="463"/>
      <c r="Q302" s="463"/>
      <c r="R302" s="463"/>
      <c r="S302" s="463"/>
      <c r="T302" s="463"/>
      <c r="U302" s="463"/>
      <c r="V302" s="463"/>
      <c r="W302" s="463"/>
      <c r="X302" s="463"/>
      <c r="Y302" s="463"/>
      <c r="Z302" s="463"/>
    </row>
    <row r="303" spans="1:26" ht="15.75" customHeight="1" x14ac:dyDescent="0.3">
      <c r="A303" s="463"/>
      <c r="B303" s="463"/>
      <c r="C303" s="463"/>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3"/>
      <c r="Z303" s="463"/>
    </row>
    <row r="304" spans="1:26" ht="15.75" customHeight="1" x14ac:dyDescent="0.3">
      <c r="A304" s="463"/>
      <c r="B304" s="463"/>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3"/>
      <c r="Z304" s="463"/>
    </row>
    <row r="305" spans="1:26" ht="15.75" customHeight="1" x14ac:dyDescent="0.3">
      <c r="A305" s="463"/>
      <c r="B305" s="463"/>
      <c r="C305" s="463"/>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63"/>
      <c r="Z305" s="463"/>
    </row>
    <row r="306" spans="1:26" ht="15.75" customHeight="1" x14ac:dyDescent="0.3">
      <c r="A306" s="463"/>
      <c r="B306" s="463"/>
      <c r="C306" s="463"/>
      <c r="D306" s="463"/>
      <c r="E306" s="463"/>
      <c r="F306" s="463"/>
      <c r="G306" s="463"/>
      <c r="H306" s="463"/>
      <c r="I306" s="463"/>
      <c r="J306" s="463"/>
      <c r="K306" s="463"/>
      <c r="L306" s="463"/>
      <c r="M306" s="463"/>
      <c r="N306" s="463"/>
      <c r="O306" s="463"/>
      <c r="P306" s="463"/>
      <c r="Q306" s="463"/>
      <c r="R306" s="463"/>
      <c r="S306" s="463"/>
      <c r="T306" s="463"/>
      <c r="U306" s="463"/>
      <c r="V306" s="463"/>
      <c r="W306" s="463"/>
      <c r="X306" s="463"/>
      <c r="Y306" s="463"/>
      <c r="Z306" s="463"/>
    </row>
    <row r="307" spans="1:26" ht="15.75" customHeight="1" x14ac:dyDescent="0.3">
      <c r="A307" s="463"/>
      <c r="B307" s="463"/>
      <c r="C307" s="463"/>
      <c r="D307" s="463"/>
      <c r="E307" s="463"/>
      <c r="F307" s="463"/>
      <c r="G307" s="463"/>
      <c r="H307" s="463"/>
      <c r="I307" s="463"/>
      <c r="J307" s="463"/>
      <c r="K307" s="463"/>
      <c r="L307" s="463"/>
      <c r="M307" s="463"/>
      <c r="N307" s="463"/>
      <c r="O307" s="463"/>
      <c r="P307" s="463"/>
      <c r="Q307" s="463"/>
      <c r="R307" s="463"/>
      <c r="S307" s="463"/>
      <c r="T307" s="463"/>
      <c r="U307" s="463"/>
      <c r="V307" s="463"/>
      <c r="W307" s="463"/>
      <c r="X307" s="463"/>
      <c r="Y307" s="463"/>
      <c r="Z307" s="463"/>
    </row>
    <row r="308" spans="1:26" ht="15.75" customHeight="1" x14ac:dyDescent="0.3">
      <c r="A308" s="463"/>
      <c r="B308" s="463"/>
      <c r="C308" s="463"/>
      <c r="D308" s="463"/>
      <c r="E308" s="463"/>
      <c r="F308" s="463"/>
      <c r="G308" s="463"/>
      <c r="H308" s="463"/>
      <c r="I308" s="463"/>
      <c r="J308" s="463"/>
      <c r="K308" s="463"/>
      <c r="L308" s="463"/>
      <c r="M308" s="463"/>
      <c r="N308" s="463"/>
      <c r="O308" s="463"/>
      <c r="P308" s="463"/>
      <c r="Q308" s="463"/>
      <c r="R308" s="463"/>
      <c r="S308" s="463"/>
      <c r="T308" s="463"/>
      <c r="U308" s="463"/>
      <c r="V308" s="463"/>
      <c r="W308" s="463"/>
      <c r="X308" s="463"/>
      <c r="Y308" s="463"/>
      <c r="Z308" s="463"/>
    </row>
    <row r="309" spans="1:26" ht="15.75" customHeight="1" x14ac:dyDescent="0.3">
      <c r="A309" s="463"/>
      <c r="B309" s="463"/>
      <c r="C309" s="463"/>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row>
    <row r="310" spans="1:26" ht="15.75" customHeight="1" x14ac:dyDescent="0.3">
      <c r="A310" s="463"/>
      <c r="B310" s="463"/>
      <c r="C310" s="463"/>
      <c r="D310" s="463"/>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row>
    <row r="311" spans="1:26" ht="15.75" customHeight="1" x14ac:dyDescent="0.3">
      <c r="A311" s="463"/>
      <c r="B311" s="463"/>
      <c r="C311" s="463"/>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63"/>
      <c r="Z311" s="463"/>
    </row>
    <row r="312" spans="1:26" ht="15.75" customHeight="1" x14ac:dyDescent="0.3">
      <c r="A312" s="463"/>
      <c r="B312" s="463"/>
      <c r="C312" s="463"/>
      <c r="D312" s="463"/>
      <c r="E312" s="463"/>
      <c r="F312" s="463"/>
      <c r="G312" s="463"/>
      <c r="H312" s="463"/>
      <c r="I312" s="463"/>
      <c r="J312" s="463"/>
      <c r="K312" s="463"/>
      <c r="L312" s="463"/>
      <c r="M312" s="463"/>
      <c r="N312" s="463"/>
      <c r="O312" s="463"/>
      <c r="P312" s="463"/>
      <c r="Q312" s="463"/>
      <c r="R312" s="463"/>
      <c r="S312" s="463"/>
      <c r="T312" s="463"/>
      <c r="U312" s="463"/>
      <c r="V312" s="463"/>
      <c r="W312" s="463"/>
      <c r="X312" s="463"/>
      <c r="Y312" s="463"/>
      <c r="Z312" s="463"/>
    </row>
    <row r="313" spans="1:26" ht="15.75" customHeight="1" x14ac:dyDescent="0.3">
      <c r="A313" s="463"/>
      <c r="B313" s="463"/>
      <c r="C313" s="463"/>
      <c r="D313" s="463"/>
      <c r="E313" s="463"/>
      <c r="F313" s="463"/>
      <c r="G313" s="463"/>
      <c r="H313" s="463"/>
      <c r="I313" s="463"/>
      <c r="J313" s="463"/>
      <c r="K313" s="463"/>
      <c r="L313" s="463"/>
      <c r="M313" s="463"/>
      <c r="N313" s="463"/>
      <c r="O313" s="463"/>
      <c r="P313" s="463"/>
      <c r="Q313" s="463"/>
      <c r="R313" s="463"/>
      <c r="S313" s="463"/>
      <c r="T313" s="463"/>
      <c r="U313" s="463"/>
      <c r="V313" s="463"/>
      <c r="W313" s="463"/>
      <c r="X313" s="463"/>
      <c r="Y313" s="463"/>
      <c r="Z313" s="463"/>
    </row>
    <row r="314" spans="1:26" ht="15.75" customHeight="1" x14ac:dyDescent="0.3">
      <c r="A314" s="463"/>
      <c r="B314" s="463"/>
      <c r="C314" s="463"/>
      <c r="D314" s="463"/>
      <c r="E314" s="463"/>
      <c r="F314" s="463"/>
      <c r="G314" s="463"/>
      <c r="H314" s="463"/>
      <c r="I314" s="463"/>
      <c r="J314" s="463"/>
      <c r="K314" s="463"/>
      <c r="L314" s="463"/>
      <c r="M314" s="463"/>
      <c r="N314" s="463"/>
      <c r="O314" s="463"/>
      <c r="P314" s="463"/>
      <c r="Q314" s="463"/>
      <c r="R314" s="463"/>
      <c r="S314" s="463"/>
      <c r="T314" s="463"/>
      <c r="U314" s="463"/>
      <c r="V314" s="463"/>
      <c r="W314" s="463"/>
      <c r="X314" s="463"/>
      <c r="Y314" s="463"/>
      <c r="Z314" s="463"/>
    </row>
    <row r="315" spans="1:26" ht="15.75" customHeight="1" x14ac:dyDescent="0.3">
      <c r="A315" s="463"/>
      <c r="B315" s="463"/>
      <c r="C315" s="463"/>
      <c r="D315" s="463"/>
      <c r="E315" s="463"/>
      <c r="F315" s="463"/>
      <c r="G315" s="463"/>
      <c r="H315" s="463"/>
      <c r="I315" s="463"/>
      <c r="J315" s="463"/>
      <c r="K315" s="463"/>
      <c r="L315" s="463"/>
      <c r="M315" s="463"/>
      <c r="N315" s="463"/>
      <c r="O315" s="463"/>
      <c r="P315" s="463"/>
      <c r="Q315" s="463"/>
      <c r="R315" s="463"/>
      <c r="S315" s="463"/>
      <c r="T315" s="463"/>
      <c r="U315" s="463"/>
      <c r="V315" s="463"/>
      <c r="W315" s="463"/>
      <c r="X315" s="463"/>
      <c r="Y315" s="463"/>
      <c r="Z315" s="463"/>
    </row>
    <row r="316" spans="1:26" ht="15.75" customHeight="1" x14ac:dyDescent="0.3">
      <c r="A316" s="463"/>
      <c r="B316" s="463"/>
      <c r="C316" s="463"/>
      <c r="D316" s="463"/>
      <c r="E316" s="463"/>
      <c r="F316" s="463"/>
      <c r="G316" s="463"/>
      <c r="H316" s="463"/>
      <c r="I316" s="463"/>
      <c r="J316" s="463"/>
      <c r="K316" s="463"/>
      <c r="L316" s="463"/>
      <c r="M316" s="463"/>
      <c r="N316" s="463"/>
      <c r="O316" s="463"/>
      <c r="P316" s="463"/>
      <c r="Q316" s="463"/>
      <c r="R316" s="463"/>
      <c r="S316" s="463"/>
      <c r="T316" s="463"/>
      <c r="U316" s="463"/>
      <c r="V316" s="463"/>
      <c r="W316" s="463"/>
      <c r="X316" s="463"/>
      <c r="Y316" s="463"/>
      <c r="Z316" s="463"/>
    </row>
    <row r="317" spans="1:26" ht="15.75" customHeight="1" x14ac:dyDescent="0.3">
      <c r="A317" s="463"/>
      <c r="B317" s="463"/>
      <c r="C317" s="463"/>
      <c r="D317" s="463"/>
      <c r="E317" s="463"/>
      <c r="F317" s="463"/>
      <c r="G317" s="463"/>
      <c r="H317" s="463"/>
      <c r="I317" s="463"/>
      <c r="J317" s="463"/>
      <c r="K317" s="463"/>
      <c r="L317" s="463"/>
      <c r="M317" s="463"/>
      <c r="N317" s="463"/>
      <c r="O317" s="463"/>
      <c r="P317" s="463"/>
      <c r="Q317" s="463"/>
      <c r="R317" s="463"/>
      <c r="S317" s="463"/>
      <c r="T317" s="463"/>
      <c r="U317" s="463"/>
      <c r="V317" s="463"/>
      <c r="W317" s="463"/>
      <c r="X317" s="463"/>
      <c r="Y317" s="463"/>
      <c r="Z317" s="463"/>
    </row>
    <row r="318" spans="1:26" ht="15.75" customHeight="1" x14ac:dyDescent="0.3">
      <c r="A318" s="463"/>
      <c r="B318" s="463"/>
      <c r="C318" s="463"/>
      <c r="D318" s="463"/>
      <c r="E318" s="463"/>
      <c r="F318" s="463"/>
      <c r="G318" s="463"/>
      <c r="H318" s="463"/>
      <c r="I318" s="463"/>
      <c r="J318" s="463"/>
      <c r="K318" s="463"/>
      <c r="L318" s="463"/>
      <c r="M318" s="463"/>
      <c r="N318" s="463"/>
      <c r="O318" s="463"/>
      <c r="P318" s="463"/>
      <c r="Q318" s="463"/>
      <c r="R318" s="463"/>
      <c r="S318" s="463"/>
      <c r="T318" s="463"/>
      <c r="U318" s="463"/>
      <c r="V318" s="463"/>
      <c r="W318" s="463"/>
      <c r="X318" s="463"/>
      <c r="Y318" s="463"/>
      <c r="Z318" s="463"/>
    </row>
    <row r="319" spans="1:26" ht="15.75" customHeight="1" x14ac:dyDescent="0.3">
      <c r="A319" s="463"/>
      <c r="B319" s="463"/>
      <c r="C319" s="463"/>
      <c r="D319" s="463"/>
      <c r="E319" s="463"/>
      <c r="F319" s="463"/>
      <c r="G319" s="463"/>
      <c r="H319" s="463"/>
      <c r="I319" s="463"/>
      <c r="J319" s="463"/>
      <c r="K319" s="463"/>
      <c r="L319" s="463"/>
      <c r="M319" s="463"/>
      <c r="N319" s="463"/>
      <c r="O319" s="463"/>
      <c r="P319" s="463"/>
      <c r="Q319" s="463"/>
      <c r="R319" s="463"/>
      <c r="S319" s="463"/>
      <c r="T319" s="463"/>
      <c r="U319" s="463"/>
      <c r="V319" s="463"/>
      <c r="W319" s="463"/>
      <c r="X319" s="463"/>
      <c r="Y319" s="463"/>
      <c r="Z319" s="463"/>
    </row>
    <row r="320" spans="1:26" ht="15.75" customHeight="1" x14ac:dyDescent="0.3">
      <c r="A320" s="463"/>
      <c r="B320" s="463"/>
      <c r="C320" s="463"/>
      <c r="D320" s="463"/>
      <c r="E320" s="463"/>
      <c r="F320" s="463"/>
      <c r="G320" s="463"/>
      <c r="H320" s="463"/>
      <c r="I320" s="463"/>
      <c r="J320" s="463"/>
      <c r="K320" s="463"/>
      <c r="L320" s="463"/>
      <c r="M320" s="463"/>
      <c r="N320" s="463"/>
      <c r="O320" s="463"/>
      <c r="P320" s="463"/>
      <c r="Q320" s="463"/>
      <c r="R320" s="463"/>
      <c r="S320" s="463"/>
      <c r="T320" s="463"/>
      <c r="U320" s="463"/>
      <c r="V320" s="463"/>
      <c r="W320" s="463"/>
      <c r="X320" s="463"/>
      <c r="Y320" s="463"/>
      <c r="Z320" s="463"/>
    </row>
    <row r="321" spans="1:26" ht="15.75" customHeight="1" x14ac:dyDescent="0.3">
      <c r="A321" s="463"/>
      <c r="B321" s="463"/>
      <c r="C321" s="463"/>
      <c r="D321" s="463"/>
      <c r="E321" s="463"/>
      <c r="F321" s="463"/>
      <c r="G321" s="463"/>
      <c r="H321" s="463"/>
      <c r="I321" s="463"/>
      <c r="J321" s="463"/>
      <c r="K321" s="463"/>
      <c r="L321" s="463"/>
      <c r="M321" s="463"/>
      <c r="N321" s="463"/>
      <c r="O321" s="463"/>
      <c r="P321" s="463"/>
      <c r="Q321" s="463"/>
      <c r="R321" s="463"/>
      <c r="S321" s="463"/>
      <c r="T321" s="463"/>
      <c r="U321" s="463"/>
      <c r="V321" s="463"/>
      <c r="W321" s="463"/>
      <c r="X321" s="463"/>
      <c r="Y321" s="463"/>
      <c r="Z321" s="463"/>
    </row>
    <row r="322" spans="1:26" ht="15.75" customHeight="1" x14ac:dyDescent="0.3">
      <c r="A322" s="463"/>
      <c r="B322" s="463"/>
      <c r="C322" s="463"/>
      <c r="D322" s="463"/>
      <c r="E322" s="463"/>
      <c r="F322" s="463"/>
      <c r="G322" s="463"/>
      <c r="H322" s="463"/>
      <c r="I322" s="463"/>
      <c r="J322" s="463"/>
      <c r="K322" s="463"/>
      <c r="L322" s="463"/>
      <c r="M322" s="463"/>
      <c r="N322" s="463"/>
      <c r="O322" s="463"/>
      <c r="P322" s="463"/>
      <c r="Q322" s="463"/>
      <c r="R322" s="463"/>
      <c r="S322" s="463"/>
      <c r="T322" s="463"/>
      <c r="U322" s="463"/>
      <c r="V322" s="463"/>
      <c r="W322" s="463"/>
      <c r="X322" s="463"/>
      <c r="Y322" s="463"/>
      <c r="Z322" s="463"/>
    </row>
    <row r="323" spans="1:26" ht="15.75" customHeight="1" x14ac:dyDescent="0.3">
      <c r="A323" s="463"/>
      <c r="B323" s="463"/>
      <c r="C323" s="463"/>
      <c r="D323" s="463"/>
      <c r="E323" s="463"/>
      <c r="F323" s="463"/>
      <c r="G323" s="463"/>
      <c r="H323" s="463"/>
      <c r="I323" s="463"/>
      <c r="J323" s="463"/>
      <c r="K323" s="463"/>
      <c r="L323" s="463"/>
      <c r="M323" s="463"/>
      <c r="N323" s="463"/>
      <c r="O323" s="463"/>
      <c r="P323" s="463"/>
      <c r="Q323" s="463"/>
      <c r="R323" s="463"/>
      <c r="S323" s="463"/>
      <c r="T323" s="463"/>
      <c r="U323" s="463"/>
      <c r="V323" s="463"/>
      <c r="W323" s="463"/>
      <c r="X323" s="463"/>
      <c r="Y323" s="463"/>
      <c r="Z323" s="463"/>
    </row>
    <row r="324" spans="1:26" ht="15.75" customHeight="1" x14ac:dyDescent="0.3">
      <c r="A324" s="463"/>
      <c r="B324" s="463"/>
      <c r="C324" s="463"/>
      <c r="D324" s="463"/>
      <c r="E324" s="463"/>
      <c r="F324" s="463"/>
      <c r="G324" s="463"/>
      <c r="H324" s="463"/>
      <c r="I324" s="463"/>
      <c r="J324" s="463"/>
      <c r="K324" s="463"/>
      <c r="L324" s="463"/>
      <c r="M324" s="463"/>
      <c r="N324" s="463"/>
      <c r="O324" s="463"/>
      <c r="P324" s="463"/>
      <c r="Q324" s="463"/>
      <c r="R324" s="463"/>
      <c r="S324" s="463"/>
      <c r="T324" s="463"/>
      <c r="U324" s="463"/>
      <c r="V324" s="463"/>
      <c r="W324" s="463"/>
      <c r="X324" s="463"/>
      <c r="Y324" s="463"/>
      <c r="Z324" s="463"/>
    </row>
    <row r="325" spans="1:26" ht="15.75" customHeight="1" x14ac:dyDescent="0.3">
      <c r="A325" s="463"/>
      <c r="B325" s="463"/>
      <c r="C325" s="463"/>
      <c r="D325" s="463"/>
      <c r="E325" s="463"/>
      <c r="F325" s="463"/>
      <c r="G325" s="463"/>
      <c r="H325" s="463"/>
      <c r="I325" s="463"/>
      <c r="J325" s="463"/>
      <c r="K325" s="463"/>
      <c r="L325" s="463"/>
      <c r="M325" s="463"/>
      <c r="N325" s="463"/>
      <c r="O325" s="463"/>
      <c r="P325" s="463"/>
      <c r="Q325" s="463"/>
      <c r="R325" s="463"/>
      <c r="S325" s="463"/>
      <c r="T325" s="463"/>
      <c r="U325" s="463"/>
      <c r="V325" s="463"/>
      <c r="W325" s="463"/>
      <c r="X325" s="463"/>
      <c r="Y325" s="463"/>
      <c r="Z325" s="463"/>
    </row>
    <row r="326" spans="1:26" ht="15.75" customHeight="1" x14ac:dyDescent="0.3">
      <c r="A326" s="463"/>
      <c r="B326" s="463"/>
      <c r="C326" s="463"/>
      <c r="D326" s="463"/>
      <c r="E326" s="463"/>
      <c r="F326" s="463"/>
      <c r="G326" s="463"/>
      <c r="H326" s="463"/>
      <c r="I326" s="463"/>
      <c r="J326" s="463"/>
      <c r="K326" s="463"/>
      <c r="L326" s="463"/>
      <c r="M326" s="463"/>
      <c r="N326" s="463"/>
      <c r="O326" s="463"/>
      <c r="P326" s="463"/>
      <c r="Q326" s="463"/>
      <c r="R326" s="463"/>
      <c r="S326" s="463"/>
      <c r="T326" s="463"/>
      <c r="U326" s="463"/>
      <c r="V326" s="463"/>
      <c r="W326" s="463"/>
      <c r="X326" s="463"/>
      <c r="Y326" s="463"/>
      <c r="Z326" s="463"/>
    </row>
    <row r="327" spans="1:26" ht="15.75" customHeight="1" x14ac:dyDescent="0.3">
      <c r="A327" s="463"/>
      <c r="B327" s="463"/>
      <c r="C327" s="463"/>
      <c r="D327" s="463"/>
      <c r="E327" s="463"/>
      <c r="F327" s="463"/>
      <c r="G327" s="463"/>
      <c r="H327" s="463"/>
      <c r="I327" s="463"/>
      <c r="J327" s="463"/>
      <c r="K327" s="463"/>
      <c r="L327" s="463"/>
      <c r="M327" s="463"/>
      <c r="N327" s="463"/>
      <c r="O327" s="463"/>
      <c r="P327" s="463"/>
      <c r="Q327" s="463"/>
      <c r="R327" s="463"/>
      <c r="S327" s="463"/>
      <c r="T327" s="463"/>
      <c r="U327" s="463"/>
      <c r="V327" s="463"/>
      <c r="W327" s="463"/>
      <c r="X327" s="463"/>
      <c r="Y327" s="463"/>
      <c r="Z327" s="463"/>
    </row>
    <row r="328" spans="1:26" ht="15.75" customHeight="1" x14ac:dyDescent="0.3">
      <c r="A328" s="463"/>
      <c r="B328" s="463"/>
      <c r="C328" s="463"/>
      <c r="D328" s="463"/>
      <c r="E328" s="463"/>
      <c r="F328" s="463"/>
      <c r="G328" s="463"/>
      <c r="H328" s="463"/>
      <c r="I328" s="463"/>
      <c r="J328" s="463"/>
      <c r="K328" s="463"/>
      <c r="L328" s="463"/>
      <c r="M328" s="463"/>
      <c r="N328" s="463"/>
      <c r="O328" s="463"/>
      <c r="P328" s="463"/>
      <c r="Q328" s="463"/>
      <c r="R328" s="463"/>
      <c r="S328" s="463"/>
      <c r="T328" s="463"/>
      <c r="U328" s="463"/>
      <c r="V328" s="463"/>
      <c r="W328" s="463"/>
      <c r="X328" s="463"/>
      <c r="Y328" s="463"/>
      <c r="Z328" s="463"/>
    </row>
    <row r="329" spans="1:26" ht="15.75" customHeight="1" x14ac:dyDescent="0.3">
      <c r="A329" s="463"/>
      <c r="B329" s="463"/>
      <c r="C329" s="463"/>
      <c r="D329" s="463"/>
      <c r="E329" s="463"/>
      <c r="F329" s="463"/>
      <c r="G329" s="463"/>
      <c r="H329" s="463"/>
      <c r="I329" s="463"/>
      <c r="J329" s="463"/>
      <c r="K329" s="463"/>
      <c r="L329" s="463"/>
      <c r="M329" s="463"/>
      <c r="N329" s="463"/>
      <c r="O329" s="463"/>
      <c r="P329" s="463"/>
      <c r="Q329" s="463"/>
      <c r="R329" s="463"/>
      <c r="S329" s="463"/>
      <c r="T329" s="463"/>
      <c r="U329" s="463"/>
      <c r="V329" s="463"/>
      <c r="W329" s="463"/>
      <c r="X329" s="463"/>
      <c r="Y329" s="463"/>
      <c r="Z329" s="463"/>
    </row>
    <row r="330" spans="1:26" ht="15.75" customHeight="1" x14ac:dyDescent="0.3">
      <c r="A330" s="463"/>
      <c r="B330" s="463"/>
      <c r="C330" s="463"/>
      <c r="D330" s="463"/>
      <c r="E330" s="463"/>
      <c r="F330" s="463"/>
      <c r="G330" s="463"/>
      <c r="H330" s="463"/>
      <c r="I330" s="463"/>
      <c r="J330" s="463"/>
      <c r="K330" s="463"/>
      <c r="L330" s="463"/>
      <c r="M330" s="463"/>
      <c r="N330" s="463"/>
      <c r="O330" s="463"/>
      <c r="P330" s="463"/>
      <c r="Q330" s="463"/>
      <c r="R330" s="463"/>
      <c r="S330" s="463"/>
      <c r="T330" s="463"/>
      <c r="U330" s="463"/>
      <c r="V330" s="463"/>
      <c r="W330" s="463"/>
      <c r="X330" s="463"/>
      <c r="Y330" s="463"/>
      <c r="Z330" s="463"/>
    </row>
    <row r="331" spans="1:26" ht="15.75" customHeight="1" x14ac:dyDescent="0.3">
      <c r="A331" s="463"/>
      <c r="B331" s="463"/>
      <c r="C331" s="463"/>
      <c r="D331" s="463"/>
      <c r="E331" s="463"/>
      <c r="F331" s="463"/>
      <c r="G331" s="463"/>
      <c r="H331" s="463"/>
      <c r="I331" s="463"/>
      <c r="J331" s="463"/>
      <c r="K331" s="463"/>
      <c r="L331" s="463"/>
      <c r="M331" s="463"/>
      <c r="N331" s="463"/>
      <c r="O331" s="463"/>
      <c r="P331" s="463"/>
      <c r="Q331" s="463"/>
      <c r="R331" s="463"/>
      <c r="S331" s="463"/>
      <c r="T331" s="463"/>
      <c r="U331" s="463"/>
      <c r="V331" s="463"/>
      <c r="W331" s="463"/>
      <c r="X331" s="463"/>
      <c r="Y331" s="463"/>
      <c r="Z331" s="463"/>
    </row>
    <row r="332" spans="1:26" ht="15.75" customHeight="1" x14ac:dyDescent="0.3">
      <c r="A332" s="463"/>
      <c r="B332" s="463"/>
      <c r="C332" s="463"/>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row>
    <row r="333" spans="1:26" ht="15.75" customHeight="1" x14ac:dyDescent="0.3">
      <c r="A333" s="463"/>
      <c r="B333" s="463"/>
      <c r="C333" s="463"/>
      <c r="D333" s="463"/>
      <c r="E333" s="463"/>
      <c r="F333" s="463"/>
      <c r="G333" s="463"/>
      <c r="H333" s="463"/>
      <c r="I333" s="463"/>
      <c r="J333" s="463"/>
      <c r="K333" s="463"/>
      <c r="L333" s="463"/>
      <c r="M333" s="463"/>
      <c r="N333" s="463"/>
      <c r="O333" s="463"/>
      <c r="P333" s="463"/>
      <c r="Q333" s="463"/>
      <c r="R333" s="463"/>
      <c r="S333" s="463"/>
      <c r="T333" s="463"/>
      <c r="U333" s="463"/>
      <c r="V333" s="463"/>
      <c r="W333" s="463"/>
      <c r="X333" s="463"/>
      <c r="Y333" s="463"/>
      <c r="Z333" s="463"/>
    </row>
    <row r="334" spans="1:26" ht="15.75" customHeight="1" x14ac:dyDescent="0.3">
      <c r="A334" s="463"/>
      <c r="B334" s="463"/>
      <c r="C334" s="463"/>
      <c r="D334" s="463"/>
      <c r="E334" s="463"/>
      <c r="F334" s="463"/>
      <c r="G334" s="463"/>
      <c r="H334" s="463"/>
      <c r="I334" s="463"/>
      <c r="J334" s="463"/>
      <c r="K334" s="463"/>
      <c r="L334" s="463"/>
      <c r="M334" s="463"/>
      <c r="N334" s="463"/>
      <c r="O334" s="463"/>
      <c r="P334" s="463"/>
      <c r="Q334" s="463"/>
      <c r="R334" s="463"/>
      <c r="S334" s="463"/>
      <c r="T334" s="463"/>
      <c r="U334" s="463"/>
      <c r="V334" s="463"/>
      <c r="W334" s="463"/>
      <c r="X334" s="463"/>
      <c r="Y334" s="463"/>
      <c r="Z334" s="463"/>
    </row>
    <row r="335" spans="1:26" ht="15.75" customHeight="1" x14ac:dyDescent="0.3">
      <c r="A335" s="463"/>
      <c r="B335" s="463"/>
      <c r="C335" s="463"/>
      <c r="D335" s="463"/>
      <c r="E335" s="463"/>
      <c r="F335" s="463"/>
      <c r="G335" s="463"/>
      <c r="H335" s="463"/>
      <c r="I335" s="463"/>
      <c r="J335" s="463"/>
      <c r="K335" s="463"/>
      <c r="L335" s="463"/>
      <c r="M335" s="463"/>
      <c r="N335" s="463"/>
      <c r="O335" s="463"/>
      <c r="P335" s="463"/>
      <c r="Q335" s="463"/>
      <c r="R335" s="463"/>
      <c r="S335" s="463"/>
      <c r="T335" s="463"/>
      <c r="U335" s="463"/>
      <c r="V335" s="463"/>
      <c r="W335" s="463"/>
      <c r="X335" s="463"/>
      <c r="Y335" s="463"/>
      <c r="Z335" s="463"/>
    </row>
    <row r="336" spans="1:26" ht="15.75" customHeight="1" x14ac:dyDescent="0.3">
      <c r="A336" s="463"/>
      <c r="B336" s="463"/>
      <c r="C336" s="463"/>
      <c r="D336" s="463"/>
      <c r="E336" s="463"/>
      <c r="F336" s="463"/>
      <c r="G336" s="463"/>
      <c r="H336" s="463"/>
      <c r="I336" s="463"/>
      <c r="J336" s="463"/>
      <c r="K336" s="463"/>
      <c r="L336" s="463"/>
      <c r="M336" s="463"/>
      <c r="N336" s="463"/>
      <c r="O336" s="463"/>
      <c r="P336" s="463"/>
      <c r="Q336" s="463"/>
      <c r="R336" s="463"/>
      <c r="S336" s="463"/>
      <c r="T336" s="463"/>
      <c r="U336" s="463"/>
      <c r="V336" s="463"/>
      <c r="W336" s="463"/>
      <c r="X336" s="463"/>
      <c r="Y336" s="463"/>
      <c r="Z336" s="463"/>
    </row>
    <row r="337" spans="1:26" ht="15.75" customHeight="1" x14ac:dyDescent="0.3">
      <c r="A337" s="463"/>
      <c r="B337" s="463"/>
      <c r="C337" s="463"/>
      <c r="D337" s="463"/>
      <c r="E337" s="463"/>
      <c r="F337" s="463"/>
      <c r="G337" s="463"/>
      <c r="H337" s="463"/>
      <c r="I337" s="463"/>
      <c r="J337" s="463"/>
      <c r="K337" s="463"/>
      <c r="L337" s="463"/>
      <c r="M337" s="463"/>
      <c r="N337" s="463"/>
      <c r="O337" s="463"/>
      <c r="P337" s="463"/>
      <c r="Q337" s="463"/>
      <c r="R337" s="463"/>
      <c r="S337" s="463"/>
      <c r="T337" s="463"/>
      <c r="U337" s="463"/>
      <c r="V337" s="463"/>
      <c r="W337" s="463"/>
      <c r="X337" s="463"/>
      <c r="Y337" s="463"/>
      <c r="Z337" s="463"/>
    </row>
    <row r="338" spans="1:26" ht="15.75" customHeight="1" x14ac:dyDescent="0.3">
      <c r="A338" s="463"/>
      <c r="B338" s="463"/>
      <c r="C338" s="463"/>
      <c r="D338" s="463"/>
      <c r="E338" s="463"/>
      <c r="F338" s="463"/>
      <c r="G338" s="463"/>
      <c r="H338" s="463"/>
      <c r="I338" s="463"/>
      <c r="J338" s="463"/>
      <c r="K338" s="463"/>
      <c r="L338" s="463"/>
      <c r="M338" s="463"/>
      <c r="N338" s="463"/>
      <c r="O338" s="463"/>
      <c r="P338" s="463"/>
      <c r="Q338" s="463"/>
      <c r="R338" s="463"/>
      <c r="S338" s="463"/>
      <c r="T338" s="463"/>
      <c r="U338" s="463"/>
      <c r="V338" s="463"/>
      <c r="W338" s="463"/>
      <c r="X338" s="463"/>
      <c r="Y338" s="463"/>
      <c r="Z338" s="463"/>
    </row>
    <row r="339" spans="1:26" ht="15.75" customHeight="1" x14ac:dyDescent="0.3">
      <c r="A339" s="463"/>
      <c r="B339" s="463"/>
      <c r="C339" s="463"/>
      <c r="D339" s="463"/>
      <c r="E339" s="463"/>
      <c r="F339" s="463"/>
      <c r="G339" s="463"/>
      <c r="H339" s="463"/>
      <c r="I339" s="463"/>
      <c r="J339" s="463"/>
      <c r="K339" s="463"/>
      <c r="L339" s="463"/>
      <c r="M339" s="463"/>
      <c r="N339" s="463"/>
      <c r="O339" s="463"/>
      <c r="P339" s="463"/>
      <c r="Q339" s="463"/>
      <c r="R339" s="463"/>
      <c r="S339" s="463"/>
      <c r="T339" s="463"/>
      <c r="U339" s="463"/>
      <c r="V339" s="463"/>
      <c r="W339" s="463"/>
      <c r="X339" s="463"/>
      <c r="Y339" s="463"/>
      <c r="Z339" s="463"/>
    </row>
    <row r="340" spans="1:26" ht="15.75" customHeight="1" x14ac:dyDescent="0.3">
      <c r="A340" s="463"/>
      <c r="B340" s="463"/>
      <c r="C340" s="463"/>
      <c r="D340" s="463"/>
      <c r="E340" s="463"/>
      <c r="F340" s="463"/>
      <c r="G340" s="463"/>
      <c r="H340" s="463"/>
      <c r="I340" s="463"/>
      <c r="J340" s="463"/>
      <c r="K340" s="463"/>
      <c r="L340" s="463"/>
      <c r="M340" s="463"/>
      <c r="N340" s="463"/>
      <c r="O340" s="463"/>
      <c r="P340" s="463"/>
      <c r="Q340" s="463"/>
      <c r="R340" s="463"/>
      <c r="S340" s="463"/>
      <c r="T340" s="463"/>
      <c r="U340" s="463"/>
      <c r="V340" s="463"/>
      <c r="W340" s="463"/>
      <c r="X340" s="463"/>
      <c r="Y340" s="463"/>
      <c r="Z340" s="463"/>
    </row>
    <row r="341" spans="1:26" ht="15.75" customHeight="1" x14ac:dyDescent="0.3">
      <c r="A341" s="463"/>
      <c r="B341" s="463"/>
      <c r="C341" s="463"/>
      <c r="D341" s="463"/>
      <c r="E341" s="463"/>
      <c r="F341" s="463"/>
      <c r="G341" s="463"/>
      <c r="H341" s="463"/>
      <c r="I341" s="463"/>
      <c r="J341" s="463"/>
      <c r="K341" s="463"/>
      <c r="L341" s="463"/>
      <c r="M341" s="463"/>
      <c r="N341" s="463"/>
      <c r="O341" s="463"/>
      <c r="P341" s="463"/>
      <c r="Q341" s="463"/>
      <c r="R341" s="463"/>
      <c r="S341" s="463"/>
      <c r="T341" s="463"/>
      <c r="U341" s="463"/>
      <c r="V341" s="463"/>
      <c r="W341" s="463"/>
      <c r="X341" s="463"/>
      <c r="Y341" s="463"/>
      <c r="Z341" s="463"/>
    </row>
    <row r="342" spans="1:26" ht="15.75" customHeight="1" x14ac:dyDescent="0.3">
      <c r="A342" s="463"/>
      <c r="B342" s="463"/>
      <c r="C342" s="463"/>
      <c r="D342" s="463"/>
      <c r="E342" s="463"/>
      <c r="F342" s="463"/>
      <c r="G342" s="463"/>
      <c r="H342" s="463"/>
      <c r="I342" s="463"/>
      <c r="J342" s="463"/>
      <c r="K342" s="463"/>
      <c r="L342" s="463"/>
      <c r="M342" s="463"/>
      <c r="N342" s="463"/>
      <c r="O342" s="463"/>
      <c r="P342" s="463"/>
      <c r="Q342" s="463"/>
      <c r="R342" s="463"/>
      <c r="S342" s="463"/>
      <c r="T342" s="463"/>
      <c r="U342" s="463"/>
      <c r="V342" s="463"/>
      <c r="W342" s="463"/>
      <c r="X342" s="463"/>
      <c r="Y342" s="463"/>
      <c r="Z342" s="463"/>
    </row>
    <row r="343" spans="1:26" ht="15.75" customHeight="1" x14ac:dyDescent="0.3">
      <c r="A343" s="463"/>
      <c r="B343" s="463"/>
      <c r="C343" s="463"/>
      <c r="D343" s="463"/>
      <c r="E343" s="463"/>
      <c r="F343" s="463"/>
      <c r="G343" s="463"/>
      <c r="H343" s="463"/>
      <c r="I343" s="463"/>
      <c r="J343" s="463"/>
      <c r="K343" s="463"/>
      <c r="L343" s="463"/>
      <c r="M343" s="463"/>
      <c r="N343" s="463"/>
      <c r="O343" s="463"/>
      <c r="P343" s="463"/>
      <c r="Q343" s="463"/>
      <c r="R343" s="463"/>
      <c r="S343" s="463"/>
      <c r="T343" s="463"/>
      <c r="U343" s="463"/>
      <c r="V343" s="463"/>
      <c r="W343" s="463"/>
      <c r="X343" s="463"/>
      <c r="Y343" s="463"/>
      <c r="Z343" s="463"/>
    </row>
    <row r="344" spans="1:26" ht="15.75" customHeight="1" x14ac:dyDescent="0.3">
      <c r="A344" s="463"/>
      <c r="B344" s="463"/>
      <c r="C344" s="463"/>
      <c r="D344" s="463"/>
      <c r="E344" s="463"/>
      <c r="F344" s="463"/>
      <c r="G344" s="463"/>
      <c r="H344" s="463"/>
      <c r="I344" s="463"/>
      <c r="J344" s="463"/>
      <c r="K344" s="463"/>
      <c r="L344" s="463"/>
      <c r="M344" s="463"/>
      <c r="N344" s="463"/>
      <c r="O344" s="463"/>
      <c r="P344" s="463"/>
      <c r="Q344" s="463"/>
      <c r="R344" s="463"/>
      <c r="S344" s="463"/>
      <c r="T344" s="463"/>
      <c r="U344" s="463"/>
      <c r="V344" s="463"/>
      <c r="W344" s="463"/>
      <c r="X344" s="463"/>
      <c r="Y344" s="463"/>
      <c r="Z344" s="463"/>
    </row>
    <row r="345" spans="1:26" ht="15.75" customHeight="1" x14ac:dyDescent="0.3">
      <c r="A345" s="463"/>
      <c r="B345" s="463"/>
      <c r="C345" s="463"/>
      <c r="D345" s="463"/>
      <c r="E345" s="463"/>
      <c r="F345" s="463"/>
      <c r="G345" s="463"/>
      <c r="H345" s="463"/>
      <c r="I345" s="463"/>
      <c r="J345" s="463"/>
      <c r="K345" s="463"/>
      <c r="L345" s="463"/>
      <c r="M345" s="463"/>
      <c r="N345" s="463"/>
      <c r="O345" s="463"/>
      <c r="P345" s="463"/>
      <c r="Q345" s="463"/>
      <c r="R345" s="463"/>
      <c r="S345" s="463"/>
      <c r="T345" s="463"/>
      <c r="U345" s="463"/>
      <c r="V345" s="463"/>
      <c r="W345" s="463"/>
      <c r="X345" s="463"/>
      <c r="Y345" s="463"/>
      <c r="Z345" s="463"/>
    </row>
    <row r="346" spans="1:26" ht="15.75" customHeight="1" x14ac:dyDescent="0.3">
      <c r="A346" s="463"/>
      <c r="B346" s="463"/>
      <c r="C346" s="463"/>
      <c r="D346" s="463"/>
      <c r="E346" s="463"/>
      <c r="F346" s="463"/>
      <c r="G346" s="463"/>
      <c r="H346" s="463"/>
      <c r="I346" s="463"/>
      <c r="J346" s="463"/>
      <c r="K346" s="463"/>
      <c r="L346" s="463"/>
      <c r="M346" s="463"/>
      <c r="N346" s="463"/>
      <c r="O346" s="463"/>
      <c r="P346" s="463"/>
      <c r="Q346" s="463"/>
      <c r="R346" s="463"/>
      <c r="S346" s="463"/>
      <c r="T346" s="463"/>
      <c r="U346" s="463"/>
      <c r="V346" s="463"/>
      <c r="W346" s="463"/>
      <c r="X346" s="463"/>
      <c r="Y346" s="463"/>
      <c r="Z346" s="463"/>
    </row>
    <row r="347" spans="1:26" ht="15.75" customHeight="1" x14ac:dyDescent="0.3">
      <c r="A347" s="463"/>
      <c r="B347" s="463"/>
      <c r="C347" s="463"/>
      <c r="D347" s="463"/>
      <c r="E347" s="463"/>
      <c r="F347" s="463"/>
      <c r="G347" s="463"/>
      <c r="H347" s="463"/>
      <c r="I347" s="463"/>
      <c r="J347" s="463"/>
      <c r="K347" s="463"/>
      <c r="L347" s="463"/>
      <c r="M347" s="463"/>
      <c r="N347" s="463"/>
      <c r="O347" s="463"/>
      <c r="P347" s="463"/>
      <c r="Q347" s="463"/>
      <c r="R347" s="463"/>
      <c r="S347" s="463"/>
      <c r="T347" s="463"/>
      <c r="U347" s="463"/>
      <c r="V347" s="463"/>
      <c r="W347" s="463"/>
      <c r="X347" s="463"/>
      <c r="Y347" s="463"/>
      <c r="Z347" s="463"/>
    </row>
    <row r="348" spans="1:26" ht="15.75" customHeight="1" x14ac:dyDescent="0.3">
      <c r="A348" s="463"/>
      <c r="B348" s="463"/>
      <c r="C348" s="463"/>
      <c r="D348" s="463"/>
      <c r="E348" s="463"/>
      <c r="F348" s="463"/>
      <c r="G348" s="463"/>
      <c r="H348" s="463"/>
      <c r="I348" s="463"/>
      <c r="J348" s="463"/>
      <c r="K348" s="463"/>
      <c r="L348" s="463"/>
      <c r="M348" s="463"/>
      <c r="N348" s="463"/>
      <c r="O348" s="463"/>
      <c r="P348" s="463"/>
      <c r="Q348" s="463"/>
      <c r="R348" s="463"/>
      <c r="S348" s="463"/>
      <c r="T348" s="463"/>
      <c r="U348" s="463"/>
      <c r="V348" s="463"/>
      <c r="W348" s="463"/>
      <c r="X348" s="463"/>
      <c r="Y348" s="463"/>
      <c r="Z348" s="463"/>
    </row>
    <row r="349" spans="1:26" ht="15.75" customHeight="1" x14ac:dyDescent="0.3">
      <c r="A349" s="463"/>
      <c r="B349" s="463"/>
      <c r="C349" s="463"/>
      <c r="D349" s="463"/>
      <c r="E349" s="463"/>
      <c r="F349" s="463"/>
      <c r="G349" s="463"/>
      <c r="H349" s="463"/>
      <c r="I349" s="463"/>
      <c r="J349" s="463"/>
      <c r="K349" s="463"/>
      <c r="L349" s="463"/>
      <c r="M349" s="463"/>
      <c r="N349" s="463"/>
      <c r="O349" s="463"/>
      <c r="P349" s="463"/>
      <c r="Q349" s="463"/>
      <c r="R349" s="463"/>
      <c r="S349" s="463"/>
      <c r="T349" s="463"/>
      <c r="U349" s="463"/>
      <c r="V349" s="463"/>
      <c r="W349" s="463"/>
      <c r="X349" s="463"/>
      <c r="Y349" s="463"/>
      <c r="Z349" s="463"/>
    </row>
    <row r="350" spans="1:26" ht="15.75" customHeight="1" x14ac:dyDescent="0.3">
      <c r="A350" s="463"/>
      <c r="B350" s="463"/>
      <c r="C350" s="463"/>
      <c r="D350" s="463"/>
      <c r="E350" s="463"/>
      <c r="F350" s="463"/>
      <c r="G350" s="463"/>
      <c r="H350" s="463"/>
      <c r="I350" s="463"/>
      <c r="J350" s="463"/>
      <c r="K350" s="463"/>
      <c r="L350" s="463"/>
      <c r="M350" s="463"/>
      <c r="N350" s="463"/>
      <c r="O350" s="463"/>
      <c r="P350" s="463"/>
      <c r="Q350" s="463"/>
      <c r="R350" s="463"/>
      <c r="S350" s="463"/>
      <c r="T350" s="463"/>
      <c r="U350" s="463"/>
      <c r="V350" s="463"/>
      <c r="W350" s="463"/>
      <c r="X350" s="463"/>
      <c r="Y350" s="463"/>
      <c r="Z350" s="463"/>
    </row>
    <row r="351" spans="1:26" ht="15.75" customHeight="1" x14ac:dyDescent="0.3">
      <c r="A351" s="463"/>
      <c r="B351" s="463"/>
      <c r="C351" s="463"/>
      <c r="D351" s="463"/>
      <c r="E351" s="463"/>
      <c r="F351" s="463"/>
      <c r="G351" s="463"/>
      <c r="H351" s="463"/>
      <c r="I351" s="463"/>
      <c r="J351" s="463"/>
      <c r="K351" s="463"/>
      <c r="L351" s="463"/>
      <c r="M351" s="463"/>
      <c r="N351" s="463"/>
      <c r="O351" s="463"/>
      <c r="P351" s="463"/>
      <c r="Q351" s="463"/>
      <c r="R351" s="463"/>
      <c r="S351" s="463"/>
      <c r="T351" s="463"/>
      <c r="U351" s="463"/>
      <c r="V351" s="463"/>
      <c r="W351" s="463"/>
      <c r="X351" s="463"/>
      <c r="Y351" s="463"/>
      <c r="Z351" s="463"/>
    </row>
    <row r="352" spans="1:26" ht="15.75" customHeight="1" x14ac:dyDescent="0.3">
      <c r="A352" s="463"/>
      <c r="B352" s="463"/>
      <c r="C352" s="463"/>
      <c r="D352" s="463"/>
      <c r="E352" s="463"/>
      <c r="F352" s="463"/>
      <c r="G352" s="463"/>
      <c r="H352" s="463"/>
      <c r="I352" s="463"/>
      <c r="J352" s="463"/>
      <c r="K352" s="463"/>
      <c r="L352" s="463"/>
      <c r="M352" s="463"/>
      <c r="N352" s="463"/>
      <c r="O352" s="463"/>
      <c r="P352" s="463"/>
      <c r="Q352" s="463"/>
      <c r="R352" s="463"/>
      <c r="S352" s="463"/>
      <c r="T352" s="463"/>
      <c r="U352" s="463"/>
      <c r="V352" s="463"/>
      <c r="W352" s="463"/>
      <c r="X352" s="463"/>
      <c r="Y352" s="463"/>
      <c r="Z352" s="463"/>
    </row>
    <row r="353" spans="1:26" ht="15.75" customHeight="1" x14ac:dyDescent="0.3">
      <c r="A353" s="463"/>
      <c r="B353" s="463"/>
      <c r="C353" s="463"/>
      <c r="D353" s="463"/>
      <c r="E353" s="463"/>
      <c r="F353" s="463"/>
      <c r="G353" s="463"/>
      <c r="H353" s="463"/>
      <c r="I353" s="463"/>
      <c r="J353" s="463"/>
      <c r="K353" s="463"/>
      <c r="L353" s="463"/>
      <c r="M353" s="463"/>
      <c r="N353" s="463"/>
      <c r="O353" s="463"/>
      <c r="P353" s="463"/>
      <c r="Q353" s="463"/>
      <c r="R353" s="463"/>
      <c r="S353" s="463"/>
      <c r="T353" s="463"/>
      <c r="U353" s="463"/>
      <c r="V353" s="463"/>
      <c r="W353" s="463"/>
      <c r="X353" s="463"/>
      <c r="Y353" s="463"/>
      <c r="Z353" s="463"/>
    </row>
    <row r="354" spans="1:26" ht="15.75" customHeight="1" x14ac:dyDescent="0.3">
      <c r="A354" s="463"/>
      <c r="B354" s="463"/>
      <c r="C354" s="463"/>
      <c r="D354" s="463"/>
      <c r="E354" s="463"/>
      <c r="F354" s="463"/>
      <c r="G354" s="463"/>
      <c r="H354" s="463"/>
      <c r="I354" s="463"/>
      <c r="J354" s="463"/>
      <c r="K354" s="463"/>
      <c r="L354" s="463"/>
      <c r="M354" s="463"/>
      <c r="N354" s="463"/>
      <c r="O354" s="463"/>
      <c r="P354" s="463"/>
      <c r="Q354" s="463"/>
      <c r="R354" s="463"/>
      <c r="S354" s="463"/>
      <c r="T354" s="463"/>
      <c r="U354" s="463"/>
      <c r="V354" s="463"/>
      <c r="W354" s="463"/>
      <c r="X354" s="463"/>
      <c r="Y354" s="463"/>
      <c r="Z354" s="463"/>
    </row>
    <row r="355" spans="1:26" ht="15.75" customHeight="1" x14ac:dyDescent="0.3">
      <c r="A355" s="463"/>
      <c r="B355" s="463"/>
      <c r="C355" s="463"/>
      <c r="D355" s="463"/>
      <c r="E355" s="463"/>
      <c r="F355" s="463"/>
      <c r="G355" s="463"/>
      <c r="H355" s="463"/>
      <c r="I355" s="463"/>
      <c r="J355" s="463"/>
      <c r="K355" s="463"/>
      <c r="L355" s="463"/>
      <c r="M355" s="463"/>
      <c r="N355" s="463"/>
      <c r="O355" s="463"/>
      <c r="P355" s="463"/>
      <c r="Q355" s="463"/>
      <c r="R355" s="463"/>
      <c r="S355" s="463"/>
      <c r="T355" s="463"/>
      <c r="U355" s="463"/>
      <c r="V355" s="463"/>
      <c r="W355" s="463"/>
      <c r="X355" s="463"/>
      <c r="Y355" s="463"/>
      <c r="Z355" s="463"/>
    </row>
    <row r="356" spans="1:26" ht="15.75" customHeight="1" x14ac:dyDescent="0.3">
      <c r="A356" s="463"/>
      <c r="B356" s="463"/>
      <c r="C356" s="463"/>
      <c r="D356" s="463"/>
      <c r="E356" s="463"/>
      <c r="F356" s="463"/>
      <c r="G356" s="463"/>
      <c r="H356" s="463"/>
      <c r="I356" s="463"/>
      <c r="J356" s="463"/>
      <c r="K356" s="463"/>
      <c r="L356" s="463"/>
      <c r="M356" s="463"/>
      <c r="N356" s="463"/>
      <c r="O356" s="463"/>
      <c r="P356" s="463"/>
      <c r="Q356" s="463"/>
      <c r="R356" s="463"/>
      <c r="S356" s="463"/>
      <c r="T356" s="463"/>
      <c r="U356" s="463"/>
      <c r="V356" s="463"/>
      <c r="W356" s="463"/>
      <c r="X356" s="463"/>
      <c r="Y356" s="463"/>
      <c r="Z356" s="463"/>
    </row>
    <row r="357" spans="1:26" ht="15.75" customHeight="1" x14ac:dyDescent="0.3">
      <c r="A357" s="463"/>
      <c r="B357" s="463"/>
      <c r="C357" s="463"/>
      <c r="D357" s="463"/>
      <c r="E357" s="463"/>
      <c r="F357" s="463"/>
      <c r="G357" s="463"/>
      <c r="H357" s="463"/>
      <c r="I357" s="463"/>
      <c r="J357" s="463"/>
      <c r="K357" s="463"/>
      <c r="L357" s="463"/>
      <c r="M357" s="463"/>
      <c r="N357" s="463"/>
      <c r="O357" s="463"/>
      <c r="P357" s="463"/>
      <c r="Q357" s="463"/>
      <c r="R357" s="463"/>
      <c r="S357" s="463"/>
      <c r="T357" s="463"/>
      <c r="U357" s="463"/>
      <c r="V357" s="463"/>
      <c r="W357" s="463"/>
      <c r="X357" s="463"/>
      <c r="Y357" s="463"/>
      <c r="Z357" s="463"/>
    </row>
    <row r="358" spans="1:26" ht="15.75" customHeight="1" x14ac:dyDescent="0.3">
      <c r="A358" s="463"/>
      <c r="B358" s="463"/>
      <c r="C358" s="463"/>
      <c r="D358" s="463"/>
      <c r="E358" s="463"/>
      <c r="F358" s="463"/>
      <c r="G358" s="463"/>
      <c r="H358" s="463"/>
      <c r="I358" s="463"/>
      <c r="J358" s="463"/>
      <c r="K358" s="463"/>
      <c r="L358" s="463"/>
      <c r="M358" s="463"/>
      <c r="N358" s="463"/>
      <c r="O358" s="463"/>
      <c r="P358" s="463"/>
      <c r="Q358" s="463"/>
      <c r="R358" s="463"/>
      <c r="S358" s="463"/>
      <c r="T358" s="463"/>
      <c r="U358" s="463"/>
      <c r="V358" s="463"/>
      <c r="W358" s="463"/>
      <c r="X358" s="463"/>
      <c r="Y358" s="463"/>
      <c r="Z358" s="463"/>
    </row>
    <row r="359" spans="1:26" ht="15.75" customHeight="1" x14ac:dyDescent="0.3">
      <c r="A359" s="463"/>
      <c r="B359" s="463"/>
      <c r="C359" s="463"/>
      <c r="D359" s="463"/>
      <c r="E359" s="463"/>
      <c r="F359" s="463"/>
      <c r="G359" s="463"/>
      <c r="H359" s="463"/>
      <c r="I359" s="463"/>
      <c r="J359" s="463"/>
      <c r="K359" s="463"/>
      <c r="L359" s="463"/>
      <c r="M359" s="463"/>
      <c r="N359" s="463"/>
      <c r="O359" s="463"/>
      <c r="P359" s="463"/>
      <c r="Q359" s="463"/>
      <c r="R359" s="463"/>
      <c r="S359" s="463"/>
      <c r="T359" s="463"/>
      <c r="U359" s="463"/>
      <c r="V359" s="463"/>
      <c r="W359" s="463"/>
      <c r="X359" s="463"/>
      <c r="Y359" s="463"/>
      <c r="Z359" s="463"/>
    </row>
    <row r="360" spans="1:26" ht="15.75" customHeight="1" x14ac:dyDescent="0.3">
      <c r="A360" s="463"/>
      <c r="B360" s="463"/>
      <c r="C360" s="463"/>
      <c r="D360" s="463"/>
      <c r="E360" s="463"/>
      <c r="F360" s="463"/>
      <c r="G360" s="463"/>
      <c r="H360" s="463"/>
      <c r="I360" s="463"/>
      <c r="J360" s="463"/>
      <c r="K360" s="463"/>
      <c r="L360" s="463"/>
      <c r="M360" s="463"/>
      <c r="N360" s="463"/>
      <c r="O360" s="463"/>
      <c r="P360" s="463"/>
      <c r="Q360" s="463"/>
      <c r="R360" s="463"/>
      <c r="S360" s="463"/>
      <c r="T360" s="463"/>
      <c r="U360" s="463"/>
      <c r="V360" s="463"/>
      <c r="W360" s="463"/>
      <c r="X360" s="463"/>
      <c r="Y360" s="463"/>
      <c r="Z360" s="463"/>
    </row>
    <row r="361" spans="1:26" ht="15.75" customHeight="1" x14ac:dyDescent="0.3">
      <c r="A361" s="463"/>
      <c r="B361" s="463"/>
      <c r="C361" s="463"/>
      <c r="D361" s="463"/>
      <c r="E361" s="463"/>
      <c r="F361" s="463"/>
      <c r="G361" s="463"/>
      <c r="H361" s="463"/>
      <c r="I361" s="463"/>
      <c r="J361" s="463"/>
      <c r="K361" s="463"/>
      <c r="L361" s="463"/>
      <c r="M361" s="463"/>
      <c r="N361" s="463"/>
      <c r="O361" s="463"/>
      <c r="P361" s="463"/>
      <c r="Q361" s="463"/>
      <c r="R361" s="463"/>
      <c r="S361" s="463"/>
      <c r="T361" s="463"/>
      <c r="U361" s="463"/>
      <c r="V361" s="463"/>
      <c r="W361" s="463"/>
      <c r="X361" s="463"/>
      <c r="Y361" s="463"/>
      <c r="Z361" s="463"/>
    </row>
    <row r="362" spans="1:26" ht="15.75" customHeight="1" x14ac:dyDescent="0.3">
      <c r="A362" s="463"/>
      <c r="B362" s="463"/>
      <c r="C362" s="463"/>
      <c r="D362" s="463"/>
      <c r="E362" s="463"/>
      <c r="F362" s="463"/>
      <c r="G362" s="463"/>
      <c r="H362" s="463"/>
      <c r="I362" s="463"/>
      <c r="J362" s="463"/>
      <c r="K362" s="463"/>
      <c r="L362" s="463"/>
      <c r="M362" s="463"/>
      <c r="N362" s="463"/>
      <c r="O362" s="463"/>
      <c r="P362" s="463"/>
      <c r="Q362" s="463"/>
      <c r="R362" s="463"/>
      <c r="S362" s="463"/>
      <c r="T362" s="463"/>
      <c r="U362" s="463"/>
      <c r="V362" s="463"/>
      <c r="W362" s="463"/>
      <c r="X362" s="463"/>
      <c r="Y362" s="463"/>
      <c r="Z362" s="463"/>
    </row>
    <row r="363" spans="1:26" ht="15.75" customHeight="1" x14ac:dyDescent="0.3">
      <c r="A363" s="463"/>
      <c r="B363" s="463"/>
      <c r="C363" s="463"/>
      <c r="D363" s="463"/>
      <c r="E363" s="463"/>
      <c r="F363" s="463"/>
      <c r="G363" s="463"/>
      <c r="H363" s="463"/>
      <c r="I363" s="463"/>
      <c r="J363" s="463"/>
      <c r="K363" s="463"/>
      <c r="L363" s="463"/>
      <c r="M363" s="463"/>
      <c r="N363" s="463"/>
      <c r="O363" s="463"/>
      <c r="P363" s="463"/>
      <c r="Q363" s="463"/>
      <c r="R363" s="463"/>
      <c r="S363" s="463"/>
      <c r="T363" s="463"/>
      <c r="U363" s="463"/>
      <c r="V363" s="463"/>
      <c r="W363" s="463"/>
      <c r="X363" s="463"/>
      <c r="Y363" s="463"/>
      <c r="Z363" s="463"/>
    </row>
    <row r="364" spans="1:26" ht="15.75" customHeight="1" x14ac:dyDescent="0.3">
      <c r="A364" s="463"/>
      <c r="B364" s="463"/>
      <c r="C364" s="463"/>
      <c r="D364" s="463"/>
      <c r="E364" s="463"/>
      <c r="F364" s="463"/>
      <c r="G364" s="463"/>
      <c r="H364" s="463"/>
      <c r="I364" s="463"/>
      <c r="J364" s="463"/>
      <c r="K364" s="463"/>
      <c r="L364" s="463"/>
      <c r="M364" s="463"/>
      <c r="N364" s="463"/>
      <c r="O364" s="463"/>
      <c r="P364" s="463"/>
      <c r="Q364" s="463"/>
      <c r="R364" s="463"/>
      <c r="S364" s="463"/>
      <c r="T364" s="463"/>
      <c r="U364" s="463"/>
      <c r="V364" s="463"/>
      <c r="W364" s="463"/>
      <c r="X364" s="463"/>
      <c r="Y364" s="463"/>
      <c r="Z364" s="463"/>
    </row>
    <row r="365" spans="1:26" ht="15.75" customHeight="1" x14ac:dyDescent="0.3">
      <c r="A365" s="463"/>
      <c r="B365" s="463"/>
      <c r="C365" s="463"/>
      <c r="D365" s="463"/>
      <c r="E365" s="463"/>
      <c r="F365" s="463"/>
      <c r="G365" s="463"/>
      <c r="H365" s="463"/>
      <c r="I365" s="463"/>
      <c r="J365" s="463"/>
      <c r="K365" s="463"/>
      <c r="L365" s="463"/>
      <c r="M365" s="463"/>
      <c r="N365" s="463"/>
      <c r="O365" s="463"/>
      <c r="P365" s="463"/>
      <c r="Q365" s="463"/>
      <c r="R365" s="463"/>
      <c r="S365" s="463"/>
      <c r="T365" s="463"/>
      <c r="U365" s="463"/>
      <c r="V365" s="463"/>
      <c r="W365" s="463"/>
      <c r="X365" s="463"/>
      <c r="Y365" s="463"/>
      <c r="Z365" s="463"/>
    </row>
    <row r="366" spans="1:26" ht="15.75" customHeight="1" x14ac:dyDescent="0.3">
      <c r="A366" s="463"/>
      <c r="B366" s="463"/>
      <c r="C366" s="463"/>
      <c r="D366" s="463"/>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row>
    <row r="367" spans="1:26" ht="15.75" customHeight="1" x14ac:dyDescent="0.3">
      <c r="A367" s="463"/>
      <c r="B367" s="463"/>
      <c r="C367" s="463"/>
      <c r="D367" s="463"/>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row>
    <row r="368" spans="1:26" ht="15.75" customHeight="1" x14ac:dyDescent="0.3">
      <c r="A368" s="463"/>
      <c r="B368" s="463"/>
      <c r="C368" s="463"/>
      <c r="D368" s="463"/>
      <c r="E368" s="463"/>
      <c r="F368" s="463"/>
      <c r="G368" s="463"/>
      <c r="H368" s="463"/>
      <c r="I368" s="463"/>
      <c r="J368" s="463"/>
      <c r="K368" s="463"/>
      <c r="L368" s="463"/>
      <c r="M368" s="463"/>
      <c r="N368" s="463"/>
      <c r="O368" s="463"/>
      <c r="P368" s="463"/>
      <c r="Q368" s="463"/>
      <c r="R368" s="463"/>
      <c r="S368" s="463"/>
      <c r="T368" s="463"/>
      <c r="U368" s="463"/>
      <c r="V368" s="463"/>
      <c r="W368" s="463"/>
      <c r="X368" s="463"/>
      <c r="Y368" s="463"/>
      <c r="Z368" s="463"/>
    </row>
    <row r="369" spans="1:26" ht="15.75" customHeight="1" x14ac:dyDescent="0.3">
      <c r="A369" s="463"/>
      <c r="B369" s="463"/>
      <c r="C369" s="463"/>
      <c r="D369" s="463"/>
      <c r="E369" s="463"/>
      <c r="F369" s="463"/>
      <c r="G369" s="463"/>
      <c r="H369" s="463"/>
      <c r="I369" s="463"/>
      <c r="J369" s="463"/>
      <c r="K369" s="463"/>
      <c r="L369" s="463"/>
      <c r="M369" s="463"/>
      <c r="N369" s="463"/>
      <c r="O369" s="463"/>
      <c r="P369" s="463"/>
      <c r="Q369" s="463"/>
      <c r="R369" s="463"/>
      <c r="S369" s="463"/>
      <c r="T369" s="463"/>
      <c r="U369" s="463"/>
      <c r="V369" s="463"/>
      <c r="W369" s="463"/>
      <c r="X369" s="463"/>
      <c r="Y369" s="463"/>
      <c r="Z369" s="463"/>
    </row>
    <row r="370" spans="1:26" ht="15.75" customHeight="1" x14ac:dyDescent="0.3">
      <c r="A370" s="463"/>
      <c r="B370" s="463"/>
      <c r="C370" s="463"/>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row>
    <row r="371" spans="1:26" ht="15.75" customHeight="1" x14ac:dyDescent="0.3">
      <c r="A371" s="463"/>
      <c r="B371" s="463"/>
      <c r="C371" s="463"/>
      <c r="D371" s="463"/>
      <c r="E371" s="463"/>
      <c r="F371" s="463"/>
      <c r="G371" s="463"/>
      <c r="H371" s="463"/>
      <c r="I371" s="463"/>
      <c r="J371" s="463"/>
      <c r="K371" s="463"/>
      <c r="L371" s="463"/>
      <c r="M371" s="463"/>
      <c r="N371" s="463"/>
      <c r="O371" s="463"/>
      <c r="P371" s="463"/>
      <c r="Q371" s="463"/>
      <c r="R371" s="463"/>
      <c r="S371" s="463"/>
      <c r="T371" s="463"/>
      <c r="U371" s="463"/>
      <c r="V371" s="463"/>
      <c r="W371" s="463"/>
      <c r="X371" s="463"/>
      <c r="Y371" s="463"/>
      <c r="Z371" s="463"/>
    </row>
    <row r="372" spans="1:26" ht="15.75" customHeight="1" x14ac:dyDescent="0.3">
      <c r="A372" s="463"/>
      <c r="B372" s="463"/>
      <c r="C372" s="463"/>
      <c r="D372" s="463"/>
      <c r="E372" s="463"/>
      <c r="F372" s="463"/>
      <c r="G372" s="463"/>
      <c r="H372" s="463"/>
      <c r="I372" s="463"/>
      <c r="J372" s="463"/>
      <c r="K372" s="463"/>
      <c r="L372" s="463"/>
      <c r="M372" s="463"/>
      <c r="N372" s="463"/>
      <c r="O372" s="463"/>
      <c r="P372" s="463"/>
      <c r="Q372" s="463"/>
      <c r="R372" s="463"/>
      <c r="S372" s="463"/>
      <c r="T372" s="463"/>
      <c r="U372" s="463"/>
      <c r="V372" s="463"/>
      <c r="W372" s="463"/>
      <c r="X372" s="463"/>
      <c r="Y372" s="463"/>
      <c r="Z372" s="463"/>
    </row>
    <row r="373" spans="1:26" ht="15.75" customHeight="1" x14ac:dyDescent="0.3">
      <c r="A373" s="463"/>
      <c r="B373" s="463"/>
      <c r="C373" s="463"/>
      <c r="D373" s="463"/>
      <c r="E373" s="463"/>
      <c r="F373" s="463"/>
      <c r="G373" s="463"/>
      <c r="H373" s="463"/>
      <c r="I373" s="463"/>
      <c r="J373" s="463"/>
      <c r="K373" s="463"/>
      <c r="L373" s="463"/>
      <c r="M373" s="463"/>
      <c r="N373" s="463"/>
      <c r="O373" s="463"/>
      <c r="P373" s="463"/>
      <c r="Q373" s="463"/>
      <c r="R373" s="463"/>
      <c r="S373" s="463"/>
      <c r="T373" s="463"/>
      <c r="U373" s="463"/>
      <c r="V373" s="463"/>
      <c r="W373" s="463"/>
      <c r="X373" s="463"/>
      <c r="Y373" s="463"/>
      <c r="Z373" s="463"/>
    </row>
    <row r="374" spans="1:26" ht="15.75" customHeight="1" x14ac:dyDescent="0.3">
      <c r="A374" s="463"/>
      <c r="B374" s="463"/>
      <c r="C374" s="463"/>
      <c r="D374" s="463"/>
      <c r="E374" s="463"/>
      <c r="F374" s="463"/>
      <c r="G374" s="463"/>
      <c r="H374" s="463"/>
      <c r="I374" s="463"/>
      <c r="J374" s="463"/>
      <c r="K374" s="463"/>
      <c r="L374" s="463"/>
      <c r="M374" s="463"/>
      <c r="N374" s="463"/>
      <c r="O374" s="463"/>
      <c r="P374" s="463"/>
      <c r="Q374" s="463"/>
      <c r="R374" s="463"/>
      <c r="S374" s="463"/>
      <c r="T374" s="463"/>
      <c r="U374" s="463"/>
      <c r="V374" s="463"/>
      <c r="W374" s="463"/>
      <c r="X374" s="463"/>
      <c r="Y374" s="463"/>
      <c r="Z374" s="463"/>
    </row>
    <row r="375" spans="1:26" ht="15.75" customHeight="1" x14ac:dyDescent="0.3">
      <c r="A375" s="463"/>
      <c r="B375" s="463"/>
      <c r="C375" s="463"/>
      <c r="D375" s="463"/>
      <c r="E375" s="463"/>
      <c r="F375" s="463"/>
      <c r="G375" s="463"/>
      <c r="H375" s="463"/>
      <c r="I375" s="463"/>
      <c r="J375" s="463"/>
      <c r="K375" s="463"/>
      <c r="L375" s="463"/>
      <c r="M375" s="463"/>
      <c r="N375" s="463"/>
      <c r="O375" s="463"/>
      <c r="P375" s="463"/>
      <c r="Q375" s="463"/>
      <c r="R375" s="463"/>
      <c r="S375" s="463"/>
      <c r="T375" s="463"/>
      <c r="U375" s="463"/>
      <c r="V375" s="463"/>
      <c r="W375" s="463"/>
      <c r="X375" s="463"/>
      <c r="Y375" s="463"/>
      <c r="Z375" s="463"/>
    </row>
    <row r="376" spans="1:26" ht="15.75" customHeight="1" x14ac:dyDescent="0.3">
      <c r="A376" s="463"/>
      <c r="B376" s="463"/>
      <c r="C376" s="463"/>
      <c r="D376" s="463"/>
      <c r="E376" s="463"/>
      <c r="F376" s="463"/>
      <c r="G376" s="463"/>
      <c r="H376" s="463"/>
      <c r="I376" s="463"/>
      <c r="J376" s="463"/>
      <c r="K376" s="463"/>
      <c r="L376" s="463"/>
      <c r="M376" s="463"/>
      <c r="N376" s="463"/>
      <c r="O376" s="463"/>
      <c r="P376" s="463"/>
      <c r="Q376" s="463"/>
      <c r="R376" s="463"/>
      <c r="S376" s="463"/>
      <c r="T376" s="463"/>
      <c r="U376" s="463"/>
      <c r="V376" s="463"/>
      <c r="W376" s="463"/>
      <c r="X376" s="463"/>
      <c r="Y376" s="463"/>
      <c r="Z376" s="463"/>
    </row>
    <row r="377" spans="1:26" ht="15.75" customHeight="1" x14ac:dyDescent="0.3">
      <c r="A377" s="463"/>
      <c r="B377" s="463"/>
      <c r="C377" s="463"/>
      <c r="D377" s="463"/>
      <c r="E377" s="463"/>
      <c r="F377" s="463"/>
      <c r="G377" s="463"/>
      <c r="H377" s="463"/>
      <c r="I377" s="463"/>
      <c r="J377" s="463"/>
      <c r="K377" s="463"/>
      <c r="L377" s="463"/>
      <c r="M377" s="463"/>
      <c r="N377" s="463"/>
      <c r="O377" s="463"/>
      <c r="P377" s="463"/>
      <c r="Q377" s="463"/>
      <c r="R377" s="463"/>
      <c r="S377" s="463"/>
      <c r="T377" s="463"/>
      <c r="U377" s="463"/>
      <c r="V377" s="463"/>
      <c r="W377" s="463"/>
      <c r="X377" s="463"/>
      <c r="Y377" s="463"/>
      <c r="Z377" s="463"/>
    </row>
    <row r="378" spans="1:26" ht="15.75" customHeight="1" x14ac:dyDescent="0.3">
      <c r="A378" s="463"/>
      <c r="B378" s="463"/>
      <c r="C378" s="463"/>
      <c r="D378" s="463"/>
      <c r="E378" s="463"/>
      <c r="F378" s="463"/>
      <c r="G378" s="463"/>
      <c r="H378" s="463"/>
      <c r="I378" s="463"/>
      <c r="J378" s="463"/>
      <c r="K378" s="463"/>
      <c r="L378" s="463"/>
      <c r="M378" s="463"/>
      <c r="N378" s="463"/>
      <c r="O378" s="463"/>
      <c r="P378" s="463"/>
      <c r="Q378" s="463"/>
      <c r="R378" s="463"/>
      <c r="S378" s="463"/>
      <c r="T378" s="463"/>
      <c r="U378" s="463"/>
      <c r="V378" s="463"/>
      <c r="W378" s="463"/>
      <c r="X378" s="463"/>
      <c r="Y378" s="463"/>
      <c r="Z378" s="463"/>
    </row>
    <row r="379" spans="1:26" ht="15.75" customHeight="1" x14ac:dyDescent="0.3">
      <c r="A379" s="463"/>
      <c r="B379" s="463"/>
      <c r="C379" s="463"/>
      <c r="D379" s="463"/>
      <c r="E379" s="463"/>
      <c r="F379" s="463"/>
      <c r="G379" s="463"/>
      <c r="H379" s="463"/>
      <c r="I379" s="463"/>
      <c r="J379" s="463"/>
      <c r="K379" s="463"/>
      <c r="L379" s="463"/>
      <c r="M379" s="463"/>
      <c r="N379" s="463"/>
      <c r="O379" s="463"/>
      <c r="P379" s="463"/>
      <c r="Q379" s="463"/>
      <c r="R379" s="463"/>
      <c r="S379" s="463"/>
      <c r="T379" s="463"/>
      <c r="U379" s="463"/>
      <c r="V379" s="463"/>
      <c r="W379" s="463"/>
      <c r="X379" s="463"/>
      <c r="Y379" s="463"/>
      <c r="Z379" s="463"/>
    </row>
    <row r="380" spans="1:26" ht="15.75" customHeight="1" x14ac:dyDescent="0.3">
      <c r="A380" s="463"/>
      <c r="B380" s="463"/>
      <c r="C380" s="463"/>
      <c r="D380" s="463"/>
      <c r="E380" s="463"/>
      <c r="F380" s="463"/>
      <c r="G380" s="463"/>
      <c r="H380" s="463"/>
      <c r="I380" s="463"/>
      <c r="J380" s="463"/>
      <c r="K380" s="463"/>
      <c r="L380" s="463"/>
      <c r="M380" s="463"/>
      <c r="N380" s="463"/>
      <c r="O380" s="463"/>
      <c r="P380" s="463"/>
      <c r="Q380" s="463"/>
      <c r="R380" s="463"/>
      <c r="S380" s="463"/>
      <c r="T380" s="463"/>
      <c r="U380" s="463"/>
      <c r="V380" s="463"/>
      <c r="W380" s="463"/>
      <c r="X380" s="463"/>
      <c r="Y380" s="463"/>
      <c r="Z380" s="463"/>
    </row>
    <row r="381" spans="1:26" ht="15.75" customHeight="1" x14ac:dyDescent="0.3">
      <c r="A381" s="463"/>
      <c r="B381" s="463"/>
      <c r="C381" s="463"/>
      <c r="D381" s="463"/>
      <c r="E381" s="463"/>
      <c r="F381" s="463"/>
      <c r="G381" s="463"/>
      <c r="H381" s="463"/>
      <c r="I381" s="463"/>
      <c r="J381" s="463"/>
      <c r="K381" s="463"/>
      <c r="L381" s="463"/>
      <c r="M381" s="463"/>
      <c r="N381" s="463"/>
      <c r="O381" s="463"/>
      <c r="P381" s="463"/>
      <c r="Q381" s="463"/>
      <c r="R381" s="463"/>
      <c r="S381" s="463"/>
      <c r="T381" s="463"/>
      <c r="U381" s="463"/>
      <c r="V381" s="463"/>
      <c r="W381" s="463"/>
      <c r="X381" s="463"/>
      <c r="Y381" s="463"/>
      <c r="Z381" s="463"/>
    </row>
    <row r="382" spans="1:26" ht="15.75" customHeight="1" x14ac:dyDescent="0.3">
      <c r="A382" s="463"/>
      <c r="B382" s="463"/>
      <c r="C382" s="463"/>
      <c r="D382" s="463"/>
      <c r="E382" s="463"/>
      <c r="F382" s="463"/>
      <c r="G382" s="463"/>
      <c r="H382" s="463"/>
      <c r="I382" s="463"/>
      <c r="J382" s="463"/>
      <c r="K382" s="463"/>
      <c r="L382" s="463"/>
      <c r="M382" s="463"/>
      <c r="N382" s="463"/>
      <c r="O382" s="463"/>
      <c r="P382" s="463"/>
      <c r="Q382" s="463"/>
      <c r="R382" s="463"/>
      <c r="S382" s="463"/>
      <c r="T382" s="463"/>
      <c r="U382" s="463"/>
      <c r="V382" s="463"/>
      <c r="W382" s="463"/>
      <c r="X382" s="463"/>
      <c r="Y382" s="463"/>
      <c r="Z382" s="463"/>
    </row>
    <row r="383" spans="1:26" ht="15.75" customHeight="1" x14ac:dyDescent="0.3">
      <c r="A383" s="463"/>
      <c r="B383" s="463"/>
      <c r="C383" s="463"/>
      <c r="D383" s="463"/>
      <c r="E383" s="463"/>
      <c r="F383" s="463"/>
      <c r="G383" s="463"/>
      <c r="H383" s="463"/>
      <c r="I383" s="463"/>
      <c r="J383" s="463"/>
      <c r="K383" s="463"/>
      <c r="L383" s="463"/>
      <c r="M383" s="463"/>
      <c r="N383" s="463"/>
      <c r="O383" s="463"/>
      <c r="P383" s="463"/>
      <c r="Q383" s="463"/>
      <c r="R383" s="463"/>
      <c r="S383" s="463"/>
      <c r="T383" s="463"/>
      <c r="U383" s="463"/>
      <c r="V383" s="463"/>
      <c r="W383" s="463"/>
      <c r="X383" s="463"/>
      <c r="Y383" s="463"/>
      <c r="Z383" s="463"/>
    </row>
    <row r="384" spans="1:26" ht="15.75" customHeight="1" x14ac:dyDescent="0.3">
      <c r="A384" s="463"/>
      <c r="B384" s="463"/>
      <c r="C384" s="463"/>
      <c r="D384" s="463"/>
      <c r="E384" s="463"/>
      <c r="F384" s="463"/>
      <c r="G384" s="463"/>
      <c r="H384" s="463"/>
      <c r="I384" s="463"/>
      <c r="J384" s="463"/>
      <c r="K384" s="463"/>
      <c r="L384" s="463"/>
      <c r="M384" s="463"/>
      <c r="N384" s="463"/>
      <c r="O384" s="463"/>
      <c r="P384" s="463"/>
      <c r="Q384" s="463"/>
      <c r="R384" s="463"/>
      <c r="S384" s="463"/>
      <c r="T384" s="463"/>
      <c r="U384" s="463"/>
      <c r="V384" s="463"/>
      <c r="W384" s="463"/>
      <c r="X384" s="463"/>
      <c r="Y384" s="463"/>
      <c r="Z384" s="463"/>
    </row>
    <row r="385" spans="1:26" ht="15.75" customHeight="1" x14ac:dyDescent="0.3">
      <c r="A385" s="463"/>
      <c r="B385" s="463"/>
      <c r="C385" s="463"/>
      <c r="D385" s="463"/>
      <c r="E385" s="463"/>
      <c r="F385" s="463"/>
      <c r="G385" s="463"/>
      <c r="H385" s="463"/>
      <c r="I385" s="463"/>
      <c r="J385" s="463"/>
      <c r="K385" s="463"/>
      <c r="L385" s="463"/>
      <c r="M385" s="463"/>
      <c r="N385" s="463"/>
      <c r="O385" s="463"/>
      <c r="P385" s="463"/>
      <c r="Q385" s="463"/>
      <c r="R385" s="463"/>
      <c r="S385" s="463"/>
      <c r="T385" s="463"/>
      <c r="U385" s="463"/>
      <c r="V385" s="463"/>
      <c r="W385" s="463"/>
      <c r="X385" s="463"/>
      <c r="Y385" s="463"/>
      <c r="Z385" s="463"/>
    </row>
    <row r="386" spans="1:26" ht="15.75" customHeight="1" x14ac:dyDescent="0.3">
      <c r="A386" s="463"/>
      <c r="B386" s="463"/>
      <c r="C386" s="463"/>
      <c r="D386" s="463"/>
      <c r="E386" s="463"/>
      <c r="F386" s="463"/>
      <c r="G386" s="463"/>
      <c r="H386" s="463"/>
      <c r="I386" s="463"/>
      <c r="J386" s="463"/>
      <c r="K386" s="463"/>
      <c r="L386" s="463"/>
      <c r="M386" s="463"/>
      <c r="N386" s="463"/>
      <c r="O386" s="463"/>
      <c r="P386" s="463"/>
      <c r="Q386" s="463"/>
      <c r="R386" s="463"/>
      <c r="S386" s="463"/>
      <c r="T386" s="463"/>
      <c r="U386" s="463"/>
      <c r="V386" s="463"/>
      <c r="W386" s="463"/>
      <c r="X386" s="463"/>
      <c r="Y386" s="463"/>
      <c r="Z386" s="463"/>
    </row>
    <row r="387" spans="1:26" ht="15.75" customHeight="1" x14ac:dyDescent="0.3">
      <c r="A387" s="463"/>
      <c r="B387" s="463"/>
      <c r="C387" s="463"/>
      <c r="D387" s="463"/>
      <c r="E387" s="463"/>
      <c r="F387" s="463"/>
      <c r="G387" s="463"/>
      <c r="H387" s="463"/>
      <c r="I387" s="463"/>
      <c r="J387" s="463"/>
      <c r="K387" s="463"/>
      <c r="L387" s="463"/>
      <c r="M387" s="463"/>
      <c r="N387" s="463"/>
      <c r="O387" s="463"/>
      <c r="P387" s="463"/>
      <c r="Q387" s="463"/>
      <c r="R387" s="463"/>
      <c r="S387" s="463"/>
      <c r="T387" s="463"/>
      <c r="U387" s="463"/>
      <c r="V387" s="463"/>
      <c r="W387" s="463"/>
      <c r="X387" s="463"/>
      <c r="Y387" s="463"/>
      <c r="Z387" s="463"/>
    </row>
    <row r="388" spans="1:26" ht="15.75" customHeight="1" x14ac:dyDescent="0.3">
      <c r="A388" s="463"/>
      <c r="B388" s="463"/>
      <c r="C388" s="463"/>
      <c r="D388" s="463"/>
      <c r="E388" s="463"/>
      <c r="F388" s="463"/>
      <c r="G388" s="463"/>
      <c r="H388" s="463"/>
      <c r="I388" s="463"/>
      <c r="J388" s="463"/>
      <c r="K388" s="463"/>
      <c r="L388" s="463"/>
      <c r="M388" s="463"/>
      <c r="N388" s="463"/>
      <c r="O388" s="463"/>
      <c r="P388" s="463"/>
      <c r="Q388" s="463"/>
      <c r="R388" s="463"/>
      <c r="S388" s="463"/>
      <c r="T388" s="463"/>
      <c r="U388" s="463"/>
      <c r="V388" s="463"/>
      <c r="W388" s="463"/>
      <c r="X388" s="463"/>
      <c r="Y388" s="463"/>
      <c r="Z388" s="463"/>
    </row>
    <row r="389" spans="1:26" ht="15.75" customHeight="1" x14ac:dyDescent="0.3">
      <c r="A389" s="463"/>
      <c r="B389" s="463"/>
      <c r="C389" s="463"/>
      <c r="D389" s="463"/>
      <c r="E389" s="463"/>
      <c r="F389" s="463"/>
      <c r="G389" s="463"/>
      <c r="H389" s="463"/>
      <c r="I389" s="463"/>
      <c r="J389" s="463"/>
      <c r="K389" s="463"/>
      <c r="L389" s="463"/>
      <c r="M389" s="463"/>
      <c r="N389" s="463"/>
      <c r="O389" s="463"/>
      <c r="P389" s="463"/>
      <c r="Q389" s="463"/>
      <c r="R389" s="463"/>
      <c r="S389" s="463"/>
      <c r="T389" s="463"/>
      <c r="U389" s="463"/>
      <c r="V389" s="463"/>
      <c r="W389" s="463"/>
      <c r="X389" s="463"/>
      <c r="Y389" s="463"/>
      <c r="Z389" s="463"/>
    </row>
    <row r="390" spans="1:26" ht="15.75" customHeight="1" x14ac:dyDescent="0.3">
      <c r="A390" s="463"/>
      <c r="B390" s="463"/>
      <c r="C390" s="463"/>
      <c r="D390" s="463"/>
      <c r="E390" s="463"/>
      <c r="F390" s="463"/>
      <c r="G390" s="463"/>
      <c r="H390" s="463"/>
      <c r="I390" s="463"/>
      <c r="J390" s="463"/>
      <c r="K390" s="463"/>
      <c r="L390" s="463"/>
      <c r="M390" s="463"/>
      <c r="N390" s="463"/>
      <c r="O390" s="463"/>
      <c r="P390" s="463"/>
      <c r="Q390" s="463"/>
      <c r="R390" s="463"/>
      <c r="S390" s="463"/>
      <c r="T390" s="463"/>
      <c r="U390" s="463"/>
      <c r="V390" s="463"/>
      <c r="W390" s="463"/>
      <c r="X390" s="463"/>
      <c r="Y390" s="463"/>
      <c r="Z390" s="463"/>
    </row>
    <row r="391" spans="1:26" ht="15.75" customHeight="1" x14ac:dyDescent="0.3">
      <c r="A391" s="463"/>
      <c r="B391" s="463"/>
      <c r="C391" s="463"/>
      <c r="D391" s="463"/>
      <c r="E391" s="463"/>
      <c r="F391" s="463"/>
      <c r="G391" s="463"/>
      <c r="H391" s="463"/>
      <c r="I391" s="463"/>
      <c r="J391" s="463"/>
      <c r="K391" s="463"/>
      <c r="L391" s="463"/>
      <c r="M391" s="463"/>
      <c r="N391" s="463"/>
      <c r="O391" s="463"/>
      <c r="P391" s="463"/>
      <c r="Q391" s="463"/>
      <c r="R391" s="463"/>
      <c r="S391" s="463"/>
      <c r="T391" s="463"/>
      <c r="U391" s="463"/>
      <c r="V391" s="463"/>
      <c r="W391" s="463"/>
      <c r="X391" s="463"/>
      <c r="Y391" s="463"/>
      <c r="Z391" s="463"/>
    </row>
    <row r="392" spans="1:26" ht="15.75" customHeight="1" x14ac:dyDescent="0.3">
      <c r="A392" s="463"/>
      <c r="B392" s="463"/>
      <c r="C392" s="463"/>
      <c r="D392" s="463"/>
      <c r="E392" s="463"/>
      <c r="F392" s="463"/>
      <c r="G392" s="463"/>
      <c r="H392" s="463"/>
      <c r="I392" s="463"/>
      <c r="J392" s="463"/>
      <c r="K392" s="463"/>
      <c r="L392" s="463"/>
      <c r="M392" s="463"/>
      <c r="N392" s="463"/>
      <c r="O392" s="463"/>
      <c r="P392" s="463"/>
      <c r="Q392" s="463"/>
      <c r="R392" s="463"/>
      <c r="S392" s="463"/>
      <c r="T392" s="463"/>
      <c r="U392" s="463"/>
      <c r="V392" s="463"/>
      <c r="W392" s="463"/>
      <c r="X392" s="463"/>
      <c r="Y392" s="463"/>
      <c r="Z392" s="463"/>
    </row>
    <row r="393" spans="1:26" ht="15.75" customHeight="1" x14ac:dyDescent="0.3">
      <c r="A393" s="463"/>
      <c r="B393" s="463"/>
      <c r="C393" s="463"/>
      <c r="D393" s="463"/>
      <c r="E393" s="463"/>
      <c r="F393" s="463"/>
      <c r="G393" s="463"/>
      <c r="H393" s="463"/>
      <c r="I393" s="463"/>
      <c r="J393" s="463"/>
      <c r="K393" s="463"/>
      <c r="L393" s="463"/>
      <c r="M393" s="463"/>
      <c r="N393" s="463"/>
      <c r="O393" s="463"/>
      <c r="P393" s="463"/>
      <c r="Q393" s="463"/>
      <c r="R393" s="463"/>
      <c r="S393" s="463"/>
      <c r="T393" s="463"/>
      <c r="U393" s="463"/>
      <c r="V393" s="463"/>
      <c r="W393" s="463"/>
      <c r="X393" s="463"/>
      <c r="Y393" s="463"/>
      <c r="Z393" s="463"/>
    </row>
    <row r="394" spans="1:26" ht="15.75" customHeight="1" x14ac:dyDescent="0.3">
      <c r="A394" s="463"/>
      <c r="B394" s="463"/>
      <c r="C394" s="463"/>
      <c r="D394" s="463"/>
      <c r="E394" s="463"/>
      <c r="F394" s="463"/>
      <c r="G394" s="463"/>
      <c r="H394" s="463"/>
      <c r="I394" s="463"/>
      <c r="J394" s="463"/>
      <c r="K394" s="463"/>
      <c r="L394" s="463"/>
      <c r="M394" s="463"/>
      <c r="N394" s="463"/>
      <c r="O394" s="463"/>
      <c r="P394" s="463"/>
      <c r="Q394" s="463"/>
      <c r="R394" s="463"/>
      <c r="S394" s="463"/>
      <c r="T394" s="463"/>
      <c r="U394" s="463"/>
      <c r="V394" s="463"/>
      <c r="W394" s="463"/>
      <c r="X394" s="463"/>
      <c r="Y394" s="463"/>
      <c r="Z394" s="463"/>
    </row>
    <row r="395" spans="1:26" ht="15.75" customHeight="1" x14ac:dyDescent="0.3">
      <c r="A395" s="463"/>
      <c r="B395" s="463"/>
      <c r="C395" s="463"/>
      <c r="D395" s="463"/>
      <c r="E395" s="463"/>
      <c r="F395" s="463"/>
      <c r="G395" s="463"/>
      <c r="H395" s="463"/>
      <c r="I395" s="463"/>
      <c r="J395" s="463"/>
      <c r="K395" s="463"/>
      <c r="L395" s="463"/>
      <c r="M395" s="463"/>
      <c r="N395" s="463"/>
      <c r="O395" s="463"/>
      <c r="P395" s="463"/>
      <c r="Q395" s="463"/>
      <c r="R395" s="463"/>
      <c r="S395" s="463"/>
      <c r="T395" s="463"/>
      <c r="U395" s="463"/>
      <c r="V395" s="463"/>
      <c r="W395" s="463"/>
      <c r="X395" s="463"/>
      <c r="Y395" s="463"/>
      <c r="Z395" s="463"/>
    </row>
    <row r="396" spans="1:26" ht="15.75" customHeight="1" x14ac:dyDescent="0.3">
      <c r="A396" s="463"/>
      <c r="B396" s="463"/>
      <c r="C396" s="463"/>
      <c r="D396" s="463"/>
      <c r="E396" s="463"/>
      <c r="F396" s="463"/>
      <c r="G396" s="463"/>
      <c r="H396" s="463"/>
      <c r="I396" s="463"/>
      <c r="J396" s="463"/>
      <c r="K396" s="463"/>
      <c r="L396" s="463"/>
      <c r="M396" s="463"/>
      <c r="N396" s="463"/>
      <c r="O396" s="463"/>
      <c r="P396" s="463"/>
      <c r="Q396" s="463"/>
      <c r="R396" s="463"/>
      <c r="S396" s="463"/>
      <c r="T396" s="463"/>
      <c r="U396" s="463"/>
      <c r="V396" s="463"/>
      <c r="W396" s="463"/>
      <c r="X396" s="463"/>
      <c r="Y396" s="463"/>
      <c r="Z396" s="463"/>
    </row>
    <row r="397" spans="1:26" ht="15.75" customHeight="1" x14ac:dyDescent="0.3">
      <c r="A397" s="463"/>
      <c r="B397" s="463"/>
      <c r="C397" s="463"/>
      <c r="D397" s="463"/>
      <c r="E397" s="463"/>
      <c r="F397" s="463"/>
      <c r="G397" s="463"/>
      <c r="H397" s="463"/>
      <c r="I397" s="463"/>
      <c r="J397" s="463"/>
      <c r="K397" s="463"/>
      <c r="L397" s="463"/>
      <c r="M397" s="463"/>
      <c r="N397" s="463"/>
      <c r="O397" s="463"/>
      <c r="P397" s="463"/>
      <c r="Q397" s="463"/>
      <c r="R397" s="463"/>
      <c r="S397" s="463"/>
      <c r="T397" s="463"/>
      <c r="U397" s="463"/>
      <c r="V397" s="463"/>
      <c r="W397" s="463"/>
      <c r="X397" s="463"/>
      <c r="Y397" s="463"/>
      <c r="Z397" s="463"/>
    </row>
    <row r="398" spans="1:26" ht="15.75" customHeight="1" x14ac:dyDescent="0.3">
      <c r="A398" s="463"/>
      <c r="B398" s="463"/>
      <c r="C398" s="463"/>
      <c r="D398" s="463"/>
      <c r="E398" s="463"/>
      <c r="F398" s="463"/>
      <c r="G398" s="463"/>
      <c r="H398" s="463"/>
      <c r="I398" s="463"/>
      <c r="J398" s="463"/>
      <c r="K398" s="463"/>
      <c r="L398" s="463"/>
      <c r="M398" s="463"/>
      <c r="N398" s="463"/>
      <c r="O398" s="463"/>
      <c r="P398" s="463"/>
      <c r="Q398" s="463"/>
      <c r="R398" s="463"/>
      <c r="S398" s="463"/>
      <c r="T398" s="463"/>
      <c r="U398" s="463"/>
      <c r="V398" s="463"/>
      <c r="W398" s="463"/>
      <c r="X398" s="463"/>
      <c r="Y398" s="463"/>
      <c r="Z398" s="463"/>
    </row>
    <row r="399" spans="1:26" ht="15.75" customHeight="1" x14ac:dyDescent="0.3">
      <c r="A399" s="463"/>
      <c r="B399" s="463"/>
      <c r="C399" s="463"/>
      <c r="D399" s="463"/>
      <c r="E399" s="463"/>
      <c r="F399" s="463"/>
      <c r="G399" s="463"/>
      <c r="H399" s="463"/>
      <c r="I399" s="463"/>
      <c r="J399" s="463"/>
      <c r="K399" s="463"/>
      <c r="L399" s="463"/>
      <c r="M399" s="463"/>
      <c r="N399" s="463"/>
      <c r="O399" s="463"/>
      <c r="P399" s="463"/>
      <c r="Q399" s="463"/>
      <c r="R399" s="463"/>
      <c r="S399" s="463"/>
      <c r="T399" s="463"/>
      <c r="U399" s="463"/>
      <c r="V399" s="463"/>
      <c r="W399" s="463"/>
      <c r="X399" s="463"/>
      <c r="Y399" s="463"/>
      <c r="Z399" s="463"/>
    </row>
    <row r="400" spans="1:26" ht="15.75" customHeight="1" x14ac:dyDescent="0.3">
      <c r="A400" s="463"/>
      <c r="B400" s="463"/>
      <c r="C400" s="463"/>
      <c r="D400" s="463"/>
      <c r="E400" s="463"/>
      <c r="F400" s="463"/>
      <c r="G400" s="463"/>
      <c r="H400" s="463"/>
      <c r="I400" s="463"/>
      <c r="J400" s="463"/>
      <c r="K400" s="463"/>
      <c r="L400" s="463"/>
      <c r="M400" s="463"/>
      <c r="N400" s="463"/>
      <c r="O400" s="463"/>
      <c r="P400" s="463"/>
      <c r="Q400" s="463"/>
      <c r="R400" s="463"/>
      <c r="S400" s="463"/>
      <c r="T400" s="463"/>
      <c r="U400" s="463"/>
      <c r="V400" s="463"/>
      <c r="W400" s="463"/>
      <c r="X400" s="463"/>
      <c r="Y400" s="463"/>
      <c r="Z400" s="463"/>
    </row>
    <row r="401" spans="1:26" ht="15.75" customHeight="1" x14ac:dyDescent="0.3">
      <c r="A401" s="463"/>
      <c r="B401" s="463"/>
      <c r="C401" s="463"/>
      <c r="D401" s="463"/>
      <c r="E401" s="463"/>
      <c r="F401" s="463"/>
      <c r="G401" s="463"/>
      <c r="H401" s="463"/>
      <c r="I401" s="463"/>
      <c r="J401" s="463"/>
      <c r="K401" s="463"/>
      <c r="L401" s="463"/>
      <c r="M401" s="463"/>
      <c r="N401" s="463"/>
      <c r="O401" s="463"/>
      <c r="P401" s="463"/>
      <c r="Q401" s="463"/>
      <c r="R401" s="463"/>
      <c r="S401" s="463"/>
      <c r="T401" s="463"/>
      <c r="U401" s="463"/>
      <c r="V401" s="463"/>
      <c r="W401" s="463"/>
      <c r="X401" s="463"/>
      <c r="Y401" s="463"/>
      <c r="Z401" s="463"/>
    </row>
    <row r="402" spans="1:26" ht="15.75" customHeight="1" x14ac:dyDescent="0.3">
      <c r="A402" s="463"/>
      <c r="B402" s="463"/>
      <c r="C402" s="463"/>
      <c r="D402" s="463"/>
      <c r="E402" s="463"/>
      <c r="F402" s="463"/>
      <c r="G402" s="463"/>
      <c r="H402" s="463"/>
      <c r="I402" s="463"/>
      <c r="J402" s="463"/>
      <c r="K402" s="463"/>
      <c r="L402" s="463"/>
      <c r="M402" s="463"/>
      <c r="N402" s="463"/>
      <c r="O402" s="463"/>
      <c r="P402" s="463"/>
      <c r="Q402" s="463"/>
      <c r="R402" s="463"/>
      <c r="S402" s="463"/>
      <c r="T402" s="463"/>
      <c r="U402" s="463"/>
      <c r="V402" s="463"/>
      <c r="W402" s="463"/>
      <c r="X402" s="463"/>
      <c r="Y402" s="463"/>
      <c r="Z402" s="463"/>
    </row>
    <row r="403" spans="1:26" ht="15.75" customHeight="1" x14ac:dyDescent="0.3">
      <c r="A403" s="463"/>
      <c r="B403" s="463"/>
      <c r="C403" s="463"/>
      <c r="D403" s="463"/>
      <c r="E403" s="463"/>
      <c r="F403" s="463"/>
      <c r="G403" s="463"/>
      <c r="H403" s="463"/>
      <c r="I403" s="463"/>
      <c r="J403" s="463"/>
      <c r="K403" s="463"/>
      <c r="L403" s="463"/>
      <c r="M403" s="463"/>
      <c r="N403" s="463"/>
      <c r="O403" s="463"/>
      <c r="P403" s="463"/>
      <c r="Q403" s="463"/>
      <c r="R403" s="463"/>
      <c r="S403" s="463"/>
      <c r="T403" s="463"/>
      <c r="U403" s="463"/>
      <c r="V403" s="463"/>
      <c r="W403" s="463"/>
      <c r="X403" s="463"/>
      <c r="Y403" s="463"/>
      <c r="Z403" s="463"/>
    </row>
    <row r="404" spans="1:26" ht="15.75" customHeight="1" x14ac:dyDescent="0.3">
      <c r="A404" s="463"/>
      <c r="B404" s="463"/>
      <c r="C404" s="463"/>
      <c r="D404" s="463"/>
      <c r="E404" s="463"/>
      <c r="F404" s="463"/>
      <c r="G404" s="463"/>
      <c r="H404" s="463"/>
      <c r="I404" s="463"/>
      <c r="J404" s="463"/>
      <c r="K404" s="463"/>
      <c r="L404" s="463"/>
      <c r="M404" s="463"/>
      <c r="N404" s="463"/>
      <c r="O404" s="463"/>
      <c r="P404" s="463"/>
      <c r="Q404" s="463"/>
      <c r="R404" s="463"/>
      <c r="S404" s="463"/>
      <c r="T404" s="463"/>
      <c r="U404" s="463"/>
      <c r="V404" s="463"/>
      <c r="W404" s="463"/>
      <c r="X404" s="463"/>
      <c r="Y404" s="463"/>
      <c r="Z404" s="463"/>
    </row>
    <row r="405" spans="1:26" ht="15.75" customHeight="1" x14ac:dyDescent="0.3">
      <c r="A405" s="463"/>
      <c r="B405" s="463"/>
      <c r="C405" s="463"/>
      <c r="D405" s="463"/>
      <c r="E405" s="463"/>
      <c r="F405" s="463"/>
      <c r="G405" s="463"/>
      <c r="H405" s="463"/>
      <c r="I405" s="463"/>
      <c r="J405" s="463"/>
      <c r="K405" s="463"/>
      <c r="L405" s="463"/>
      <c r="M405" s="463"/>
      <c r="N405" s="463"/>
      <c r="O405" s="463"/>
      <c r="P405" s="463"/>
      <c r="Q405" s="463"/>
      <c r="R405" s="463"/>
      <c r="S405" s="463"/>
      <c r="T405" s="463"/>
      <c r="U405" s="463"/>
      <c r="V405" s="463"/>
      <c r="W405" s="463"/>
      <c r="X405" s="463"/>
      <c r="Y405" s="463"/>
      <c r="Z405" s="463"/>
    </row>
    <row r="406" spans="1:26" ht="15.75" customHeight="1" x14ac:dyDescent="0.3">
      <c r="A406" s="463"/>
      <c r="B406" s="463"/>
      <c r="C406" s="463"/>
      <c r="D406" s="463"/>
      <c r="E406" s="463"/>
      <c r="F406" s="463"/>
      <c r="G406" s="463"/>
      <c r="H406" s="463"/>
      <c r="I406" s="463"/>
      <c r="J406" s="463"/>
      <c r="K406" s="463"/>
      <c r="L406" s="463"/>
      <c r="M406" s="463"/>
      <c r="N406" s="463"/>
      <c r="O406" s="463"/>
      <c r="P406" s="463"/>
      <c r="Q406" s="463"/>
      <c r="R406" s="463"/>
      <c r="S406" s="463"/>
      <c r="T406" s="463"/>
      <c r="U406" s="463"/>
      <c r="V406" s="463"/>
      <c r="W406" s="463"/>
      <c r="X406" s="463"/>
      <c r="Y406" s="463"/>
      <c r="Z406" s="463"/>
    </row>
    <row r="407" spans="1:26" ht="15.75" customHeight="1" x14ac:dyDescent="0.3">
      <c r="A407" s="463"/>
      <c r="B407" s="463"/>
      <c r="C407" s="463"/>
      <c r="D407" s="463"/>
      <c r="E407" s="463"/>
      <c r="F407" s="463"/>
      <c r="G407" s="463"/>
      <c r="H407" s="463"/>
      <c r="I407" s="463"/>
      <c r="J407" s="463"/>
      <c r="K407" s="463"/>
      <c r="L407" s="463"/>
      <c r="M407" s="463"/>
      <c r="N407" s="463"/>
      <c r="O407" s="463"/>
      <c r="P407" s="463"/>
      <c r="Q407" s="463"/>
      <c r="R407" s="463"/>
      <c r="S407" s="463"/>
      <c r="T407" s="463"/>
      <c r="U407" s="463"/>
      <c r="V407" s="463"/>
      <c r="W407" s="463"/>
      <c r="X407" s="463"/>
      <c r="Y407" s="463"/>
      <c r="Z407" s="463"/>
    </row>
    <row r="408" spans="1:26" ht="15.75" customHeight="1" x14ac:dyDescent="0.3">
      <c r="A408" s="463"/>
      <c r="B408" s="463"/>
      <c r="C408" s="463"/>
      <c r="D408" s="463"/>
      <c r="E408" s="463"/>
      <c r="F408" s="463"/>
      <c r="G408" s="463"/>
      <c r="H408" s="463"/>
      <c r="I408" s="463"/>
      <c r="J408" s="463"/>
      <c r="K408" s="463"/>
      <c r="L408" s="463"/>
      <c r="M408" s="463"/>
      <c r="N408" s="463"/>
      <c r="O408" s="463"/>
      <c r="P408" s="463"/>
      <c r="Q408" s="463"/>
      <c r="R408" s="463"/>
      <c r="S408" s="463"/>
      <c r="T408" s="463"/>
      <c r="U408" s="463"/>
      <c r="V408" s="463"/>
      <c r="W408" s="463"/>
      <c r="X408" s="463"/>
      <c r="Y408" s="463"/>
      <c r="Z408" s="463"/>
    </row>
    <row r="409" spans="1:26" ht="15.75" customHeight="1" x14ac:dyDescent="0.3">
      <c r="A409" s="463"/>
      <c r="B409" s="463"/>
      <c r="C409" s="463"/>
      <c r="D409" s="463"/>
      <c r="E409" s="463"/>
      <c r="F409" s="463"/>
      <c r="G409" s="463"/>
      <c r="H409" s="463"/>
      <c r="I409" s="463"/>
      <c r="J409" s="463"/>
      <c r="K409" s="463"/>
      <c r="L409" s="463"/>
      <c r="M409" s="463"/>
      <c r="N409" s="463"/>
      <c r="O409" s="463"/>
      <c r="P409" s="463"/>
      <c r="Q409" s="463"/>
      <c r="R409" s="463"/>
      <c r="S409" s="463"/>
      <c r="T409" s="463"/>
      <c r="U409" s="463"/>
      <c r="V409" s="463"/>
      <c r="W409" s="463"/>
      <c r="X409" s="463"/>
      <c r="Y409" s="463"/>
      <c r="Z409" s="463"/>
    </row>
    <row r="410" spans="1:26" ht="15.75" customHeight="1" x14ac:dyDescent="0.3">
      <c r="A410" s="463"/>
      <c r="B410" s="463"/>
      <c r="C410" s="463"/>
      <c r="D410" s="463"/>
      <c r="E410" s="463"/>
      <c r="F410" s="463"/>
      <c r="G410" s="463"/>
      <c r="H410" s="463"/>
      <c r="I410" s="463"/>
      <c r="J410" s="463"/>
      <c r="K410" s="463"/>
      <c r="L410" s="463"/>
      <c r="M410" s="463"/>
      <c r="N410" s="463"/>
      <c r="O410" s="463"/>
      <c r="P410" s="463"/>
      <c r="Q410" s="463"/>
      <c r="R410" s="463"/>
      <c r="S410" s="463"/>
      <c r="T410" s="463"/>
      <c r="U410" s="463"/>
      <c r="V410" s="463"/>
      <c r="W410" s="463"/>
      <c r="X410" s="463"/>
      <c r="Y410" s="463"/>
      <c r="Z410" s="463"/>
    </row>
    <row r="411" spans="1:26" ht="15.75" customHeight="1" x14ac:dyDescent="0.3">
      <c r="A411" s="463"/>
      <c r="B411" s="463"/>
      <c r="C411" s="463"/>
      <c r="D411" s="463"/>
      <c r="E411" s="463"/>
      <c r="F411" s="463"/>
      <c r="G411" s="463"/>
      <c r="H411" s="463"/>
      <c r="I411" s="463"/>
      <c r="J411" s="463"/>
      <c r="K411" s="463"/>
      <c r="L411" s="463"/>
      <c r="M411" s="463"/>
      <c r="N411" s="463"/>
      <c r="O411" s="463"/>
      <c r="P411" s="463"/>
      <c r="Q411" s="463"/>
      <c r="R411" s="463"/>
      <c r="S411" s="463"/>
      <c r="T411" s="463"/>
      <c r="U411" s="463"/>
      <c r="V411" s="463"/>
      <c r="W411" s="463"/>
      <c r="X411" s="463"/>
      <c r="Y411" s="463"/>
      <c r="Z411" s="463"/>
    </row>
    <row r="412" spans="1:26" ht="15.75" customHeight="1" x14ac:dyDescent="0.3">
      <c r="A412" s="463"/>
      <c r="B412" s="463"/>
      <c r="C412" s="463"/>
      <c r="D412" s="463"/>
      <c r="E412" s="463"/>
      <c r="F412" s="463"/>
      <c r="G412" s="463"/>
      <c r="H412" s="463"/>
      <c r="I412" s="463"/>
      <c r="J412" s="463"/>
      <c r="K412" s="463"/>
      <c r="L412" s="463"/>
      <c r="M412" s="463"/>
      <c r="N412" s="463"/>
      <c r="O412" s="463"/>
      <c r="P412" s="463"/>
      <c r="Q412" s="463"/>
      <c r="R412" s="463"/>
      <c r="S412" s="463"/>
      <c r="T412" s="463"/>
      <c r="U412" s="463"/>
      <c r="V412" s="463"/>
      <c r="W412" s="463"/>
      <c r="X412" s="463"/>
      <c r="Y412" s="463"/>
      <c r="Z412" s="463"/>
    </row>
    <row r="413" spans="1:26" ht="15.75" customHeight="1" x14ac:dyDescent="0.3">
      <c r="A413" s="463"/>
      <c r="B413" s="463"/>
      <c r="C413" s="463"/>
      <c r="D413" s="463"/>
      <c r="E413" s="463"/>
      <c r="F413" s="463"/>
      <c r="G413" s="463"/>
      <c r="H413" s="463"/>
      <c r="I413" s="463"/>
      <c r="J413" s="463"/>
      <c r="K413" s="463"/>
      <c r="L413" s="463"/>
      <c r="M413" s="463"/>
      <c r="N413" s="463"/>
      <c r="O413" s="463"/>
      <c r="P413" s="463"/>
      <c r="Q413" s="463"/>
      <c r="R413" s="463"/>
      <c r="S413" s="463"/>
      <c r="T413" s="463"/>
      <c r="U413" s="463"/>
      <c r="V413" s="463"/>
      <c r="W413" s="463"/>
      <c r="X413" s="463"/>
      <c r="Y413" s="463"/>
      <c r="Z413" s="463"/>
    </row>
    <row r="414" spans="1:26" ht="15.75" customHeight="1" x14ac:dyDescent="0.3">
      <c r="A414" s="463"/>
      <c r="B414" s="463"/>
      <c r="C414" s="463"/>
      <c r="D414" s="463"/>
      <c r="E414" s="463"/>
      <c r="F414" s="463"/>
      <c r="G414" s="463"/>
      <c r="H414" s="463"/>
      <c r="I414" s="463"/>
      <c r="J414" s="463"/>
      <c r="K414" s="463"/>
      <c r="L414" s="463"/>
      <c r="M414" s="463"/>
      <c r="N414" s="463"/>
      <c r="O414" s="463"/>
      <c r="P414" s="463"/>
      <c r="Q414" s="463"/>
      <c r="R414" s="463"/>
      <c r="S414" s="463"/>
      <c r="T414" s="463"/>
      <c r="U414" s="463"/>
      <c r="V414" s="463"/>
      <c r="W414" s="463"/>
      <c r="X414" s="463"/>
      <c r="Y414" s="463"/>
      <c r="Z414" s="463"/>
    </row>
    <row r="415" spans="1:26" ht="15.75" customHeight="1" x14ac:dyDescent="0.3">
      <c r="A415" s="463"/>
      <c r="B415" s="463"/>
      <c r="C415" s="463"/>
      <c r="D415" s="463"/>
      <c r="E415" s="463"/>
      <c r="F415" s="463"/>
      <c r="G415" s="463"/>
      <c r="H415" s="463"/>
      <c r="I415" s="463"/>
      <c r="J415" s="463"/>
      <c r="K415" s="463"/>
      <c r="L415" s="463"/>
      <c r="M415" s="463"/>
      <c r="N415" s="463"/>
      <c r="O415" s="463"/>
      <c r="P415" s="463"/>
      <c r="Q415" s="463"/>
      <c r="R415" s="463"/>
      <c r="S415" s="463"/>
      <c r="T415" s="463"/>
      <c r="U415" s="463"/>
      <c r="V415" s="463"/>
      <c r="W415" s="463"/>
      <c r="X415" s="463"/>
      <c r="Y415" s="463"/>
      <c r="Z415" s="463"/>
    </row>
    <row r="416" spans="1:26" ht="15.75" customHeight="1" x14ac:dyDescent="0.3">
      <c r="A416" s="463"/>
      <c r="B416" s="463"/>
      <c r="C416" s="463"/>
      <c r="D416" s="463"/>
      <c r="E416" s="463"/>
      <c r="F416" s="463"/>
      <c r="G416" s="463"/>
      <c r="H416" s="463"/>
      <c r="I416" s="463"/>
      <c r="J416" s="463"/>
      <c r="K416" s="463"/>
      <c r="L416" s="463"/>
      <c r="M416" s="463"/>
      <c r="N416" s="463"/>
      <c r="O416" s="463"/>
      <c r="P416" s="463"/>
      <c r="Q416" s="463"/>
      <c r="R416" s="463"/>
      <c r="S416" s="463"/>
      <c r="T416" s="463"/>
      <c r="U416" s="463"/>
      <c r="V416" s="463"/>
      <c r="W416" s="463"/>
      <c r="X416" s="463"/>
      <c r="Y416" s="463"/>
      <c r="Z416" s="463"/>
    </row>
    <row r="417" spans="1:26" ht="15.75" customHeight="1" x14ac:dyDescent="0.3">
      <c r="A417" s="463"/>
      <c r="B417" s="463"/>
      <c r="C417" s="463"/>
      <c r="D417" s="463"/>
      <c r="E417" s="463"/>
      <c r="F417" s="463"/>
      <c r="G417" s="463"/>
      <c r="H417" s="463"/>
      <c r="I417" s="463"/>
      <c r="J417" s="463"/>
      <c r="K417" s="463"/>
      <c r="L417" s="463"/>
      <c r="M417" s="463"/>
      <c r="N417" s="463"/>
      <c r="O417" s="463"/>
      <c r="P417" s="463"/>
      <c r="Q417" s="463"/>
      <c r="R417" s="463"/>
      <c r="S417" s="463"/>
      <c r="T417" s="463"/>
      <c r="U417" s="463"/>
      <c r="V417" s="463"/>
      <c r="W417" s="463"/>
      <c r="X417" s="463"/>
      <c r="Y417" s="463"/>
      <c r="Z417" s="463"/>
    </row>
    <row r="418" spans="1:26" ht="15.75" customHeight="1" x14ac:dyDescent="0.3">
      <c r="A418" s="463"/>
      <c r="B418" s="463"/>
      <c r="C418" s="463"/>
      <c r="D418" s="463"/>
      <c r="E418" s="463"/>
      <c r="F418" s="463"/>
      <c r="G418" s="463"/>
      <c r="H418" s="463"/>
      <c r="I418" s="463"/>
      <c r="J418" s="463"/>
      <c r="K418" s="463"/>
      <c r="L418" s="463"/>
      <c r="M418" s="463"/>
      <c r="N418" s="463"/>
      <c r="O418" s="463"/>
      <c r="P418" s="463"/>
      <c r="Q418" s="463"/>
      <c r="R418" s="463"/>
      <c r="S418" s="463"/>
      <c r="T418" s="463"/>
      <c r="U418" s="463"/>
      <c r="V418" s="463"/>
      <c r="W418" s="463"/>
      <c r="X418" s="463"/>
      <c r="Y418" s="463"/>
      <c r="Z418" s="463"/>
    </row>
    <row r="419" spans="1:26" ht="15.75" customHeight="1" x14ac:dyDescent="0.3">
      <c r="A419" s="463"/>
      <c r="B419" s="463"/>
      <c r="C419" s="463"/>
      <c r="D419" s="463"/>
      <c r="E419" s="463"/>
      <c r="F419" s="463"/>
      <c r="G419" s="463"/>
      <c r="H419" s="463"/>
      <c r="I419" s="463"/>
      <c r="J419" s="463"/>
      <c r="K419" s="463"/>
      <c r="L419" s="463"/>
      <c r="M419" s="463"/>
      <c r="N419" s="463"/>
      <c r="O419" s="463"/>
      <c r="P419" s="463"/>
      <c r="Q419" s="463"/>
      <c r="R419" s="463"/>
      <c r="S419" s="463"/>
      <c r="T419" s="463"/>
      <c r="U419" s="463"/>
      <c r="V419" s="463"/>
      <c r="W419" s="463"/>
      <c r="X419" s="463"/>
      <c r="Y419" s="463"/>
      <c r="Z419" s="463"/>
    </row>
    <row r="420" spans="1:26" ht="15.75" customHeight="1" x14ac:dyDescent="0.3">
      <c r="A420" s="463"/>
      <c r="B420" s="463"/>
      <c r="C420" s="463"/>
      <c r="D420" s="463"/>
      <c r="E420" s="463"/>
      <c r="F420" s="463"/>
      <c r="G420" s="463"/>
      <c r="H420" s="463"/>
      <c r="I420" s="463"/>
      <c r="J420" s="463"/>
      <c r="K420" s="463"/>
      <c r="L420" s="463"/>
      <c r="M420" s="463"/>
      <c r="N420" s="463"/>
      <c r="O420" s="463"/>
      <c r="P420" s="463"/>
      <c r="Q420" s="463"/>
      <c r="R420" s="463"/>
      <c r="S420" s="463"/>
      <c r="T420" s="463"/>
      <c r="U420" s="463"/>
      <c r="V420" s="463"/>
      <c r="W420" s="463"/>
      <c r="X420" s="463"/>
      <c r="Y420" s="463"/>
      <c r="Z420" s="463"/>
    </row>
    <row r="421" spans="1:26" ht="15.75" customHeight="1" x14ac:dyDescent="0.3">
      <c r="A421" s="463"/>
      <c r="B421" s="463"/>
      <c r="C421" s="463"/>
      <c r="D421" s="463"/>
      <c r="E421" s="463"/>
      <c r="F421" s="463"/>
      <c r="G421" s="463"/>
      <c r="H421" s="463"/>
      <c r="I421" s="463"/>
      <c r="J421" s="463"/>
      <c r="K421" s="463"/>
      <c r="L421" s="463"/>
      <c r="M421" s="463"/>
      <c r="N421" s="463"/>
      <c r="O421" s="463"/>
      <c r="P421" s="463"/>
      <c r="Q421" s="463"/>
      <c r="R421" s="463"/>
      <c r="S421" s="463"/>
      <c r="T421" s="463"/>
      <c r="U421" s="463"/>
      <c r="V421" s="463"/>
      <c r="W421" s="463"/>
      <c r="X421" s="463"/>
      <c r="Y421" s="463"/>
      <c r="Z421" s="463"/>
    </row>
    <row r="422" spans="1:26" ht="15.75" customHeight="1" x14ac:dyDescent="0.3">
      <c r="A422" s="463"/>
      <c r="B422" s="463"/>
      <c r="C422" s="463"/>
      <c r="D422" s="463"/>
      <c r="E422" s="463"/>
      <c r="F422" s="463"/>
      <c r="G422" s="463"/>
      <c r="H422" s="463"/>
      <c r="I422" s="463"/>
      <c r="J422" s="463"/>
      <c r="K422" s="463"/>
      <c r="L422" s="463"/>
      <c r="M422" s="463"/>
      <c r="N422" s="463"/>
      <c r="O422" s="463"/>
      <c r="P422" s="463"/>
      <c r="Q422" s="463"/>
      <c r="R422" s="463"/>
      <c r="S422" s="463"/>
      <c r="T422" s="463"/>
      <c r="U422" s="463"/>
      <c r="V422" s="463"/>
      <c r="W422" s="463"/>
      <c r="X422" s="463"/>
      <c r="Y422" s="463"/>
      <c r="Z422" s="463"/>
    </row>
    <row r="423" spans="1:26" ht="15.75" customHeight="1" x14ac:dyDescent="0.3">
      <c r="A423" s="463"/>
      <c r="B423" s="463"/>
      <c r="C423" s="463"/>
      <c r="D423" s="463"/>
      <c r="E423" s="463"/>
      <c r="F423" s="463"/>
      <c r="G423" s="463"/>
      <c r="H423" s="463"/>
      <c r="I423" s="463"/>
      <c r="J423" s="463"/>
      <c r="K423" s="463"/>
      <c r="L423" s="463"/>
      <c r="M423" s="463"/>
      <c r="N423" s="463"/>
      <c r="O423" s="463"/>
      <c r="P423" s="463"/>
      <c r="Q423" s="463"/>
      <c r="R423" s="463"/>
      <c r="S423" s="463"/>
      <c r="T423" s="463"/>
      <c r="U423" s="463"/>
      <c r="V423" s="463"/>
      <c r="W423" s="463"/>
      <c r="X423" s="463"/>
      <c r="Y423" s="463"/>
      <c r="Z423" s="463"/>
    </row>
    <row r="424" spans="1:26" ht="15.75" customHeight="1" x14ac:dyDescent="0.3">
      <c r="A424" s="463"/>
      <c r="B424" s="463"/>
      <c r="C424" s="463"/>
      <c r="D424" s="463"/>
      <c r="E424" s="463"/>
      <c r="F424" s="463"/>
      <c r="G424" s="463"/>
      <c r="H424" s="463"/>
      <c r="I424" s="463"/>
      <c r="J424" s="463"/>
      <c r="K424" s="463"/>
      <c r="L424" s="463"/>
      <c r="M424" s="463"/>
      <c r="N424" s="463"/>
      <c r="O424" s="463"/>
      <c r="P424" s="463"/>
      <c r="Q424" s="463"/>
      <c r="R424" s="463"/>
      <c r="S424" s="463"/>
      <c r="T424" s="463"/>
      <c r="U424" s="463"/>
      <c r="V424" s="463"/>
      <c r="W424" s="463"/>
      <c r="X424" s="463"/>
      <c r="Y424" s="463"/>
      <c r="Z424" s="463"/>
    </row>
    <row r="425" spans="1:26" ht="15.75" customHeight="1" x14ac:dyDescent="0.3">
      <c r="A425" s="463"/>
      <c r="B425" s="463"/>
      <c r="C425" s="463"/>
      <c r="D425" s="463"/>
      <c r="E425" s="463"/>
      <c r="F425" s="463"/>
      <c r="G425" s="463"/>
      <c r="H425" s="463"/>
      <c r="I425" s="463"/>
      <c r="J425" s="463"/>
      <c r="K425" s="463"/>
      <c r="L425" s="463"/>
      <c r="M425" s="463"/>
      <c r="N425" s="463"/>
      <c r="O425" s="463"/>
      <c r="P425" s="463"/>
      <c r="Q425" s="463"/>
      <c r="R425" s="463"/>
      <c r="S425" s="463"/>
      <c r="T425" s="463"/>
      <c r="U425" s="463"/>
      <c r="V425" s="463"/>
      <c r="W425" s="463"/>
      <c r="X425" s="463"/>
      <c r="Y425" s="463"/>
      <c r="Z425" s="463"/>
    </row>
    <row r="426" spans="1:26" ht="15.75" customHeight="1" x14ac:dyDescent="0.3">
      <c r="A426" s="463"/>
      <c r="B426" s="463"/>
      <c r="C426" s="463"/>
      <c r="D426" s="463"/>
      <c r="E426" s="463"/>
      <c r="F426" s="463"/>
      <c r="G426" s="463"/>
      <c r="H426" s="463"/>
      <c r="I426" s="463"/>
      <c r="J426" s="463"/>
      <c r="K426" s="463"/>
      <c r="L426" s="463"/>
      <c r="M426" s="463"/>
      <c r="N426" s="463"/>
      <c r="O426" s="463"/>
      <c r="P426" s="463"/>
      <c r="Q426" s="463"/>
      <c r="R426" s="463"/>
      <c r="S426" s="463"/>
      <c r="T426" s="463"/>
      <c r="U426" s="463"/>
      <c r="V426" s="463"/>
      <c r="W426" s="463"/>
      <c r="X426" s="463"/>
      <c r="Y426" s="463"/>
      <c r="Z426" s="463"/>
    </row>
    <row r="427" spans="1:26" ht="15.75" customHeight="1" x14ac:dyDescent="0.3">
      <c r="A427" s="463"/>
      <c r="B427" s="463"/>
      <c r="C427" s="463"/>
      <c r="D427" s="463"/>
      <c r="E427" s="463"/>
      <c r="F427" s="463"/>
      <c r="G427" s="463"/>
      <c r="H427" s="463"/>
      <c r="I427" s="463"/>
      <c r="J427" s="463"/>
      <c r="K427" s="463"/>
      <c r="L427" s="463"/>
      <c r="M427" s="463"/>
      <c r="N427" s="463"/>
      <c r="O427" s="463"/>
      <c r="P427" s="463"/>
      <c r="Q427" s="463"/>
      <c r="R427" s="463"/>
      <c r="S427" s="463"/>
      <c r="T427" s="463"/>
      <c r="U427" s="463"/>
      <c r="V427" s="463"/>
      <c r="W427" s="463"/>
      <c r="X427" s="463"/>
      <c r="Y427" s="463"/>
      <c r="Z427" s="463"/>
    </row>
    <row r="428" spans="1:26" ht="15.75" customHeight="1" x14ac:dyDescent="0.3">
      <c r="A428" s="463"/>
      <c r="B428" s="463"/>
      <c r="C428" s="463"/>
      <c r="D428" s="463"/>
      <c r="E428" s="463"/>
      <c r="F428" s="463"/>
      <c r="G428" s="463"/>
      <c r="H428" s="463"/>
      <c r="I428" s="463"/>
      <c r="J428" s="463"/>
      <c r="K428" s="463"/>
      <c r="L428" s="463"/>
      <c r="M428" s="463"/>
      <c r="N428" s="463"/>
      <c r="O428" s="463"/>
      <c r="P428" s="463"/>
      <c r="Q428" s="463"/>
      <c r="R428" s="463"/>
      <c r="S428" s="463"/>
      <c r="T428" s="463"/>
      <c r="U428" s="463"/>
      <c r="V428" s="463"/>
      <c r="W428" s="463"/>
      <c r="X428" s="463"/>
      <c r="Y428" s="463"/>
      <c r="Z428" s="463"/>
    </row>
    <row r="429" spans="1:26" ht="15.75" customHeight="1" x14ac:dyDescent="0.3">
      <c r="A429" s="463"/>
      <c r="B429" s="463"/>
      <c r="C429" s="463"/>
      <c r="D429" s="463"/>
      <c r="E429" s="463"/>
      <c r="F429" s="463"/>
      <c r="G429" s="463"/>
      <c r="H429" s="463"/>
      <c r="I429" s="463"/>
      <c r="J429" s="463"/>
      <c r="K429" s="463"/>
      <c r="L429" s="463"/>
      <c r="M429" s="463"/>
      <c r="N429" s="463"/>
      <c r="O429" s="463"/>
      <c r="P429" s="463"/>
      <c r="Q429" s="463"/>
      <c r="R429" s="463"/>
      <c r="S429" s="463"/>
      <c r="T429" s="463"/>
      <c r="U429" s="463"/>
      <c r="V429" s="463"/>
      <c r="W429" s="463"/>
      <c r="X429" s="463"/>
      <c r="Y429" s="463"/>
      <c r="Z429" s="463"/>
    </row>
    <row r="430" spans="1:26" ht="15.75" customHeight="1" x14ac:dyDescent="0.3">
      <c r="A430" s="463"/>
      <c r="B430" s="463"/>
      <c r="C430" s="463"/>
      <c r="D430" s="463"/>
      <c r="E430" s="463"/>
      <c r="F430" s="463"/>
      <c r="G430" s="463"/>
      <c r="H430" s="463"/>
      <c r="I430" s="463"/>
      <c r="J430" s="463"/>
      <c r="K430" s="463"/>
      <c r="L430" s="463"/>
      <c r="M430" s="463"/>
      <c r="N430" s="463"/>
      <c r="O430" s="463"/>
      <c r="P430" s="463"/>
      <c r="Q430" s="463"/>
      <c r="R430" s="463"/>
      <c r="S430" s="463"/>
      <c r="T430" s="463"/>
      <c r="U430" s="463"/>
      <c r="V430" s="463"/>
      <c r="W430" s="463"/>
      <c r="X430" s="463"/>
      <c r="Y430" s="463"/>
      <c r="Z430" s="463"/>
    </row>
    <row r="431" spans="1:26" ht="15.75" customHeight="1" x14ac:dyDescent="0.3">
      <c r="A431" s="463"/>
      <c r="B431" s="463"/>
      <c r="C431" s="463"/>
      <c r="D431" s="463"/>
      <c r="E431" s="463"/>
      <c r="F431" s="463"/>
      <c r="G431" s="463"/>
      <c r="H431" s="463"/>
      <c r="I431" s="463"/>
      <c r="J431" s="463"/>
      <c r="K431" s="463"/>
      <c r="L431" s="463"/>
      <c r="M431" s="463"/>
      <c r="N431" s="463"/>
      <c r="O431" s="463"/>
      <c r="P431" s="463"/>
      <c r="Q431" s="463"/>
      <c r="R431" s="463"/>
      <c r="S431" s="463"/>
      <c r="T431" s="463"/>
      <c r="U431" s="463"/>
      <c r="V431" s="463"/>
      <c r="W431" s="463"/>
      <c r="X431" s="463"/>
      <c r="Y431" s="463"/>
      <c r="Z431" s="463"/>
    </row>
    <row r="432" spans="1:26" ht="15.75" customHeight="1" x14ac:dyDescent="0.3">
      <c r="A432" s="463"/>
      <c r="B432" s="463"/>
      <c r="C432" s="463"/>
      <c r="D432" s="463"/>
      <c r="E432" s="463"/>
      <c r="F432" s="463"/>
      <c r="G432" s="463"/>
      <c r="H432" s="463"/>
      <c r="I432" s="463"/>
      <c r="J432" s="463"/>
      <c r="K432" s="463"/>
      <c r="L432" s="463"/>
      <c r="M432" s="463"/>
      <c r="N432" s="463"/>
      <c r="O432" s="463"/>
      <c r="P432" s="463"/>
      <c r="Q432" s="463"/>
      <c r="R432" s="463"/>
      <c r="S432" s="463"/>
      <c r="T432" s="463"/>
      <c r="U432" s="463"/>
      <c r="V432" s="463"/>
      <c r="W432" s="463"/>
      <c r="X432" s="463"/>
      <c r="Y432" s="463"/>
      <c r="Z432" s="463"/>
    </row>
    <row r="433" spans="1:26" ht="15.75" customHeight="1" x14ac:dyDescent="0.3">
      <c r="A433" s="463"/>
      <c r="B433" s="463"/>
      <c r="C433" s="463"/>
      <c r="D433" s="463"/>
      <c r="E433" s="463"/>
      <c r="F433" s="463"/>
      <c r="G433" s="463"/>
      <c r="H433" s="463"/>
      <c r="I433" s="463"/>
      <c r="J433" s="463"/>
      <c r="K433" s="463"/>
      <c r="L433" s="463"/>
      <c r="M433" s="463"/>
      <c r="N433" s="463"/>
      <c r="O433" s="463"/>
      <c r="P433" s="463"/>
      <c r="Q433" s="463"/>
      <c r="R433" s="463"/>
      <c r="S433" s="463"/>
      <c r="T433" s="463"/>
      <c r="U433" s="463"/>
      <c r="V433" s="463"/>
      <c r="W433" s="463"/>
      <c r="X433" s="463"/>
      <c r="Y433" s="463"/>
      <c r="Z433" s="463"/>
    </row>
    <row r="434" spans="1:26" ht="15.75" customHeight="1" x14ac:dyDescent="0.3">
      <c r="A434" s="463"/>
      <c r="B434" s="463"/>
      <c r="C434" s="463"/>
      <c r="D434" s="463"/>
      <c r="E434" s="463"/>
      <c r="F434" s="463"/>
      <c r="G434" s="463"/>
      <c r="H434" s="463"/>
      <c r="I434" s="463"/>
      <c r="J434" s="463"/>
      <c r="K434" s="463"/>
      <c r="L434" s="463"/>
      <c r="M434" s="463"/>
      <c r="N434" s="463"/>
      <c r="O434" s="463"/>
      <c r="P434" s="463"/>
      <c r="Q434" s="463"/>
      <c r="R434" s="463"/>
      <c r="S434" s="463"/>
      <c r="T434" s="463"/>
      <c r="U434" s="463"/>
      <c r="V434" s="463"/>
      <c r="W434" s="463"/>
      <c r="X434" s="463"/>
      <c r="Y434" s="463"/>
      <c r="Z434" s="463"/>
    </row>
    <row r="435" spans="1:26" ht="15.75" customHeight="1" x14ac:dyDescent="0.3">
      <c r="A435" s="463"/>
      <c r="B435" s="463"/>
      <c r="C435" s="463"/>
      <c r="D435" s="463"/>
      <c r="E435" s="463"/>
      <c r="F435" s="463"/>
      <c r="G435" s="463"/>
      <c r="H435" s="463"/>
      <c r="I435" s="463"/>
      <c r="J435" s="463"/>
      <c r="K435" s="463"/>
      <c r="L435" s="463"/>
      <c r="M435" s="463"/>
      <c r="N435" s="463"/>
      <c r="O435" s="463"/>
      <c r="P435" s="463"/>
      <c r="Q435" s="463"/>
      <c r="R435" s="463"/>
      <c r="S435" s="463"/>
      <c r="T435" s="463"/>
      <c r="U435" s="463"/>
      <c r="V435" s="463"/>
      <c r="W435" s="463"/>
      <c r="X435" s="463"/>
      <c r="Y435" s="463"/>
      <c r="Z435" s="463"/>
    </row>
    <row r="436" spans="1:26" ht="15.75" customHeight="1" x14ac:dyDescent="0.3">
      <c r="A436" s="463"/>
      <c r="B436" s="463"/>
      <c r="C436" s="463"/>
      <c r="D436" s="463"/>
      <c r="E436" s="463"/>
      <c r="F436" s="463"/>
      <c r="G436" s="463"/>
      <c r="H436" s="463"/>
      <c r="I436" s="463"/>
      <c r="J436" s="463"/>
      <c r="K436" s="463"/>
      <c r="L436" s="463"/>
      <c r="M436" s="463"/>
      <c r="N436" s="463"/>
      <c r="O436" s="463"/>
      <c r="P436" s="463"/>
      <c r="Q436" s="463"/>
      <c r="R436" s="463"/>
      <c r="S436" s="463"/>
      <c r="T436" s="463"/>
      <c r="U436" s="463"/>
      <c r="V436" s="463"/>
      <c r="W436" s="463"/>
      <c r="X436" s="463"/>
      <c r="Y436" s="463"/>
      <c r="Z436" s="463"/>
    </row>
    <row r="437" spans="1:26" ht="15.75" customHeight="1" x14ac:dyDescent="0.3">
      <c r="A437" s="463"/>
      <c r="B437" s="463"/>
      <c r="C437" s="463"/>
      <c r="D437" s="463"/>
      <c r="E437" s="463"/>
      <c r="F437" s="463"/>
      <c r="G437" s="463"/>
      <c r="H437" s="463"/>
      <c r="I437" s="463"/>
      <c r="J437" s="463"/>
      <c r="K437" s="463"/>
      <c r="L437" s="463"/>
      <c r="M437" s="463"/>
      <c r="N437" s="463"/>
      <c r="O437" s="463"/>
      <c r="P437" s="463"/>
      <c r="Q437" s="463"/>
      <c r="R437" s="463"/>
      <c r="S437" s="463"/>
      <c r="T437" s="463"/>
      <c r="U437" s="463"/>
      <c r="V437" s="463"/>
      <c r="W437" s="463"/>
      <c r="X437" s="463"/>
      <c r="Y437" s="463"/>
      <c r="Z437" s="463"/>
    </row>
    <row r="438" spans="1:26" ht="15.75" customHeight="1" x14ac:dyDescent="0.3">
      <c r="A438" s="463"/>
      <c r="B438" s="463"/>
      <c r="C438" s="463"/>
      <c r="D438" s="463"/>
      <c r="E438" s="463"/>
      <c r="F438" s="463"/>
      <c r="G438" s="463"/>
      <c r="H438" s="463"/>
      <c r="I438" s="463"/>
      <c r="J438" s="463"/>
      <c r="K438" s="463"/>
      <c r="L438" s="463"/>
      <c r="M438" s="463"/>
      <c r="N438" s="463"/>
      <c r="O438" s="463"/>
      <c r="P438" s="463"/>
      <c r="Q438" s="463"/>
      <c r="R438" s="463"/>
      <c r="S438" s="463"/>
      <c r="T438" s="463"/>
      <c r="U438" s="463"/>
      <c r="V438" s="463"/>
      <c r="W438" s="463"/>
      <c r="X438" s="463"/>
      <c r="Y438" s="463"/>
      <c r="Z438" s="463"/>
    </row>
    <row r="439" spans="1:26" ht="15.75" customHeight="1" x14ac:dyDescent="0.3">
      <c r="A439" s="463"/>
      <c r="B439" s="463"/>
      <c r="C439" s="463"/>
      <c r="D439" s="463"/>
      <c r="E439" s="463"/>
      <c r="F439" s="463"/>
      <c r="G439" s="463"/>
      <c r="H439" s="463"/>
      <c r="I439" s="463"/>
      <c r="J439" s="463"/>
      <c r="K439" s="463"/>
      <c r="L439" s="463"/>
      <c r="M439" s="463"/>
      <c r="N439" s="463"/>
      <c r="O439" s="463"/>
      <c r="P439" s="463"/>
      <c r="Q439" s="463"/>
      <c r="R439" s="463"/>
      <c r="S439" s="463"/>
      <c r="T439" s="463"/>
      <c r="U439" s="463"/>
      <c r="V439" s="463"/>
      <c r="W439" s="463"/>
      <c r="X439" s="463"/>
      <c r="Y439" s="463"/>
      <c r="Z439" s="463"/>
    </row>
    <row r="440" spans="1:26" ht="15.75" customHeight="1" x14ac:dyDescent="0.3">
      <c r="A440" s="463"/>
      <c r="B440" s="463"/>
      <c r="C440" s="463"/>
      <c r="D440" s="463"/>
      <c r="E440" s="463"/>
      <c r="F440" s="463"/>
      <c r="G440" s="463"/>
      <c r="H440" s="463"/>
      <c r="I440" s="463"/>
      <c r="J440" s="463"/>
      <c r="K440" s="463"/>
      <c r="L440" s="463"/>
      <c r="M440" s="463"/>
      <c r="N440" s="463"/>
      <c r="O440" s="463"/>
      <c r="P440" s="463"/>
      <c r="Q440" s="463"/>
      <c r="R440" s="463"/>
      <c r="S440" s="463"/>
      <c r="T440" s="463"/>
      <c r="U440" s="463"/>
      <c r="V440" s="463"/>
      <c r="W440" s="463"/>
      <c r="X440" s="463"/>
      <c r="Y440" s="463"/>
      <c r="Z440" s="463"/>
    </row>
    <row r="441" spans="1:26" ht="15.75" customHeight="1" x14ac:dyDescent="0.3">
      <c r="A441" s="463"/>
      <c r="B441" s="463"/>
      <c r="C441" s="463"/>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63"/>
      <c r="Z441" s="463"/>
    </row>
    <row r="442" spans="1:26" ht="15.75" customHeight="1" x14ac:dyDescent="0.3">
      <c r="A442" s="463"/>
      <c r="B442" s="463"/>
      <c r="C442" s="463"/>
      <c r="D442" s="463"/>
      <c r="E442" s="463"/>
      <c r="F442" s="463"/>
      <c r="G442" s="463"/>
      <c r="H442" s="463"/>
      <c r="I442" s="463"/>
      <c r="J442" s="463"/>
      <c r="K442" s="463"/>
      <c r="L442" s="463"/>
      <c r="M442" s="463"/>
      <c r="N442" s="463"/>
      <c r="O442" s="463"/>
      <c r="P442" s="463"/>
      <c r="Q442" s="463"/>
      <c r="R442" s="463"/>
      <c r="S442" s="463"/>
      <c r="T442" s="463"/>
      <c r="U442" s="463"/>
      <c r="V442" s="463"/>
      <c r="W442" s="463"/>
      <c r="X442" s="463"/>
      <c r="Y442" s="463"/>
      <c r="Z442" s="463"/>
    </row>
    <row r="443" spans="1:26" ht="15.75" customHeight="1" x14ac:dyDescent="0.3">
      <c r="A443" s="463"/>
      <c r="B443" s="463"/>
      <c r="C443" s="463"/>
      <c r="D443" s="463"/>
      <c r="E443" s="463"/>
      <c r="F443" s="463"/>
      <c r="G443" s="463"/>
      <c r="H443" s="463"/>
      <c r="I443" s="463"/>
      <c r="J443" s="463"/>
      <c r="K443" s="463"/>
      <c r="L443" s="463"/>
      <c r="M443" s="463"/>
      <c r="N443" s="463"/>
      <c r="O443" s="463"/>
      <c r="P443" s="463"/>
      <c r="Q443" s="463"/>
      <c r="R443" s="463"/>
      <c r="S443" s="463"/>
      <c r="T443" s="463"/>
      <c r="U443" s="463"/>
      <c r="V443" s="463"/>
      <c r="W443" s="463"/>
      <c r="X443" s="463"/>
      <c r="Y443" s="463"/>
      <c r="Z443" s="463"/>
    </row>
    <row r="444" spans="1:26" ht="15.75" customHeight="1" x14ac:dyDescent="0.3">
      <c r="A444" s="463"/>
      <c r="B444" s="463"/>
      <c r="C444" s="463"/>
      <c r="D444" s="463"/>
      <c r="E444" s="463"/>
      <c r="F444" s="463"/>
      <c r="G444" s="463"/>
      <c r="H444" s="463"/>
      <c r="I444" s="463"/>
      <c r="J444" s="463"/>
      <c r="K444" s="463"/>
      <c r="L444" s="463"/>
      <c r="M444" s="463"/>
      <c r="N444" s="463"/>
      <c r="O444" s="463"/>
      <c r="P444" s="463"/>
      <c r="Q444" s="463"/>
      <c r="R444" s="463"/>
      <c r="S444" s="463"/>
      <c r="T444" s="463"/>
      <c r="U444" s="463"/>
      <c r="V444" s="463"/>
      <c r="W444" s="463"/>
      <c r="X444" s="463"/>
      <c r="Y444" s="463"/>
      <c r="Z444" s="463"/>
    </row>
    <row r="445" spans="1:26" ht="15.75" customHeight="1" x14ac:dyDescent="0.3">
      <c r="A445" s="463"/>
      <c r="B445" s="463"/>
      <c r="C445" s="463"/>
      <c r="D445" s="463"/>
      <c r="E445" s="463"/>
      <c r="F445" s="463"/>
      <c r="G445" s="463"/>
      <c r="H445" s="463"/>
      <c r="I445" s="463"/>
      <c r="J445" s="463"/>
      <c r="K445" s="463"/>
      <c r="L445" s="463"/>
      <c r="M445" s="463"/>
      <c r="N445" s="463"/>
      <c r="O445" s="463"/>
      <c r="P445" s="463"/>
      <c r="Q445" s="463"/>
      <c r="R445" s="463"/>
      <c r="S445" s="463"/>
      <c r="T445" s="463"/>
      <c r="U445" s="463"/>
      <c r="V445" s="463"/>
      <c r="W445" s="463"/>
      <c r="X445" s="463"/>
      <c r="Y445" s="463"/>
      <c r="Z445" s="463"/>
    </row>
    <row r="446" spans="1:26" ht="15.75" customHeight="1" x14ac:dyDescent="0.3">
      <c r="A446" s="463"/>
      <c r="B446" s="463"/>
      <c r="C446" s="463"/>
      <c r="D446" s="463"/>
      <c r="E446" s="463"/>
      <c r="F446" s="463"/>
      <c r="G446" s="463"/>
      <c r="H446" s="463"/>
      <c r="I446" s="463"/>
      <c r="J446" s="463"/>
      <c r="K446" s="463"/>
      <c r="L446" s="463"/>
      <c r="M446" s="463"/>
      <c r="N446" s="463"/>
      <c r="O446" s="463"/>
      <c r="P446" s="463"/>
      <c r="Q446" s="463"/>
      <c r="R446" s="463"/>
      <c r="S446" s="463"/>
      <c r="T446" s="463"/>
      <c r="U446" s="463"/>
      <c r="V446" s="463"/>
      <c r="W446" s="463"/>
      <c r="X446" s="463"/>
      <c r="Y446" s="463"/>
      <c r="Z446" s="463"/>
    </row>
    <row r="447" spans="1:26" ht="15.75" customHeight="1" x14ac:dyDescent="0.3">
      <c r="A447" s="463"/>
      <c r="B447" s="463"/>
      <c r="C447" s="463"/>
      <c r="D447" s="463"/>
      <c r="E447" s="463"/>
      <c r="F447" s="463"/>
      <c r="G447" s="463"/>
      <c r="H447" s="463"/>
      <c r="I447" s="463"/>
      <c r="J447" s="463"/>
      <c r="K447" s="463"/>
      <c r="L447" s="463"/>
      <c r="M447" s="463"/>
      <c r="N447" s="463"/>
      <c r="O447" s="463"/>
      <c r="P447" s="463"/>
      <c r="Q447" s="463"/>
      <c r="R447" s="463"/>
      <c r="S447" s="463"/>
      <c r="T447" s="463"/>
      <c r="U447" s="463"/>
      <c r="V447" s="463"/>
      <c r="W447" s="463"/>
      <c r="X447" s="463"/>
      <c r="Y447" s="463"/>
      <c r="Z447" s="463"/>
    </row>
    <row r="448" spans="1:26" ht="15.75" customHeight="1" x14ac:dyDescent="0.3">
      <c r="A448" s="463"/>
      <c r="B448" s="463"/>
      <c r="C448" s="463"/>
      <c r="D448" s="463"/>
      <c r="E448" s="463"/>
      <c r="F448" s="463"/>
      <c r="G448" s="463"/>
      <c r="H448" s="463"/>
      <c r="I448" s="463"/>
      <c r="J448" s="463"/>
      <c r="K448" s="463"/>
      <c r="L448" s="463"/>
      <c r="M448" s="463"/>
      <c r="N448" s="463"/>
      <c r="O448" s="463"/>
      <c r="P448" s="463"/>
      <c r="Q448" s="463"/>
      <c r="R448" s="463"/>
      <c r="S448" s="463"/>
      <c r="T448" s="463"/>
      <c r="U448" s="463"/>
      <c r="V448" s="463"/>
      <c r="W448" s="463"/>
      <c r="X448" s="463"/>
      <c r="Y448" s="463"/>
      <c r="Z448" s="463"/>
    </row>
    <row r="449" spans="1:26" ht="15.75" customHeight="1" x14ac:dyDescent="0.3">
      <c r="A449" s="463"/>
      <c r="B449" s="463"/>
      <c r="C449" s="463"/>
      <c r="D449" s="463"/>
      <c r="E449" s="463"/>
      <c r="F449" s="463"/>
      <c r="G449" s="463"/>
      <c r="H449" s="463"/>
      <c r="I449" s="463"/>
      <c r="J449" s="463"/>
      <c r="K449" s="463"/>
      <c r="L449" s="463"/>
      <c r="M449" s="463"/>
      <c r="N449" s="463"/>
      <c r="O449" s="463"/>
      <c r="P449" s="463"/>
      <c r="Q449" s="463"/>
      <c r="R449" s="463"/>
      <c r="S449" s="463"/>
      <c r="T449" s="463"/>
      <c r="U449" s="463"/>
      <c r="V449" s="463"/>
      <c r="W449" s="463"/>
      <c r="X449" s="463"/>
      <c r="Y449" s="463"/>
      <c r="Z449" s="463"/>
    </row>
    <row r="450" spans="1:26" ht="15.75" customHeight="1" x14ac:dyDescent="0.3">
      <c r="A450" s="463"/>
      <c r="B450" s="463"/>
      <c r="C450" s="463"/>
      <c r="D450" s="463"/>
      <c r="E450" s="463"/>
      <c r="F450" s="463"/>
      <c r="G450" s="463"/>
      <c r="H450" s="463"/>
      <c r="I450" s="463"/>
      <c r="J450" s="463"/>
      <c r="K450" s="463"/>
      <c r="L450" s="463"/>
      <c r="M450" s="463"/>
      <c r="N450" s="463"/>
      <c r="O450" s="463"/>
      <c r="P450" s="463"/>
      <c r="Q450" s="463"/>
      <c r="R450" s="463"/>
      <c r="S450" s="463"/>
      <c r="T450" s="463"/>
      <c r="U450" s="463"/>
      <c r="V450" s="463"/>
      <c r="W450" s="463"/>
      <c r="X450" s="463"/>
      <c r="Y450" s="463"/>
      <c r="Z450" s="463"/>
    </row>
    <row r="451" spans="1:26" ht="15.75" customHeight="1" x14ac:dyDescent="0.3">
      <c r="A451" s="463"/>
      <c r="B451" s="463"/>
      <c r="C451" s="463"/>
      <c r="D451" s="463"/>
      <c r="E451" s="463"/>
      <c r="F451" s="463"/>
      <c r="G451" s="463"/>
      <c r="H451" s="463"/>
      <c r="I451" s="463"/>
      <c r="J451" s="463"/>
      <c r="K451" s="463"/>
      <c r="L451" s="463"/>
      <c r="M451" s="463"/>
      <c r="N451" s="463"/>
      <c r="O451" s="463"/>
      <c r="P451" s="463"/>
      <c r="Q451" s="463"/>
      <c r="R451" s="463"/>
      <c r="S451" s="463"/>
      <c r="T451" s="463"/>
      <c r="U451" s="463"/>
      <c r="V451" s="463"/>
      <c r="W451" s="463"/>
      <c r="X451" s="463"/>
      <c r="Y451" s="463"/>
      <c r="Z451" s="463"/>
    </row>
    <row r="452" spans="1:26" ht="15.75" customHeight="1" x14ac:dyDescent="0.3">
      <c r="A452" s="463"/>
      <c r="B452" s="463"/>
      <c r="C452" s="463"/>
      <c r="D452" s="463"/>
      <c r="E452" s="463"/>
      <c r="F452" s="463"/>
      <c r="G452" s="463"/>
      <c r="H452" s="463"/>
      <c r="I452" s="463"/>
      <c r="J452" s="463"/>
      <c r="K452" s="463"/>
      <c r="L452" s="463"/>
      <c r="M452" s="463"/>
      <c r="N452" s="463"/>
      <c r="O452" s="463"/>
      <c r="P452" s="463"/>
      <c r="Q452" s="463"/>
      <c r="R452" s="463"/>
      <c r="S452" s="463"/>
      <c r="T452" s="463"/>
      <c r="U452" s="463"/>
      <c r="V452" s="463"/>
      <c r="W452" s="463"/>
      <c r="X452" s="463"/>
      <c r="Y452" s="463"/>
      <c r="Z452" s="463"/>
    </row>
    <row r="453" spans="1:26" ht="15.75" customHeight="1" x14ac:dyDescent="0.3">
      <c r="A453" s="463"/>
      <c r="B453" s="463"/>
      <c r="C453" s="463"/>
      <c r="D453" s="463"/>
      <c r="E453" s="463"/>
      <c r="F453" s="463"/>
      <c r="G453" s="463"/>
      <c r="H453" s="463"/>
      <c r="I453" s="463"/>
      <c r="J453" s="463"/>
      <c r="K453" s="463"/>
      <c r="L453" s="463"/>
      <c r="M453" s="463"/>
      <c r="N453" s="463"/>
      <c r="O453" s="463"/>
      <c r="P453" s="463"/>
      <c r="Q453" s="463"/>
      <c r="R453" s="463"/>
      <c r="S453" s="463"/>
      <c r="T453" s="463"/>
      <c r="U453" s="463"/>
      <c r="V453" s="463"/>
      <c r="W453" s="463"/>
      <c r="X453" s="463"/>
      <c r="Y453" s="463"/>
      <c r="Z453" s="463"/>
    </row>
    <row r="454" spans="1:26" ht="15.75" customHeight="1" x14ac:dyDescent="0.3">
      <c r="A454" s="463"/>
      <c r="B454" s="463"/>
      <c r="C454" s="463"/>
      <c r="D454" s="463"/>
      <c r="E454" s="463"/>
      <c r="F454" s="463"/>
      <c r="G454" s="463"/>
      <c r="H454" s="463"/>
      <c r="I454" s="463"/>
      <c r="J454" s="463"/>
      <c r="K454" s="463"/>
      <c r="L454" s="463"/>
      <c r="M454" s="463"/>
      <c r="N454" s="463"/>
      <c r="O454" s="463"/>
      <c r="P454" s="463"/>
      <c r="Q454" s="463"/>
      <c r="R454" s="463"/>
      <c r="S454" s="463"/>
      <c r="T454" s="463"/>
      <c r="U454" s="463"/>
      <c r="V454" s="463"/>
      <c r="W454" s="463"/>
      <c r="X454" s="463"/>
      <c r="Y454" s="463"/>
      <c r="Z454" s="463"/>
    </row>
    <row r="455" spans="1:26" ht="15.75" customHeight="1" x14ac:dyDescent="0.3">
      <c r="A455" s="463"/>
      <c r="B455" s="463"/>
      <c r="C455" s="463"/>
      <c r="D455" s="463"/>
      <c r="E455" s="463"/>
      <c r="F455" s="463"/>
      <c r="G455" s="463"/>
      <c r="H455" s="463"/>
      <c r="I455" s="463"/>
      <c r="J455" s="463"/>
      <c r="K455" s="463"/>
      <c r="L455" s="463"/>
      <c r="M455" s="463"/>
      <c r="N455" s="463"/>
      <c r="O455" s="463"/>
      <c r="P455" s="463"/>
      <c r="Q455" s="463"/>
      <c r="R455" s="463"/>
      <c r="S455" s="463"/>
      <c r="T455" s="463"/>
      <c r="U455" s="463"/>
      <c r="V455" s="463"/>
      <c r="W455" s="463"/>
      <c r="X455" s="463"/>
      <c r="Y455" s="463"/>
      <c r="Z455" s="463"/>
    </row>
    <row r="456" spans="1:26" ht="15.75" customHeight="1" x14ac:dyDescent="0.3">
      <c r="A456" s="463"/>
      <c r="B456" s="463"/>
      <c r="C456" s="463"/>
      <c r="D456" s="463"/>
      <c r="E456" s="463"/>
      <c r="F456" s="463"/>
      <c r="G456" s="463"/>
      <c r="H456" s="463"/>
      <c r="I456" s="463"/>
      <c r="J456" s="463"/>
      <c r="K456" s="463"/>
      <c r="L456" s="463"/>
      <c r="M456" s="463"/>
      <c r="N456" s="463"/>
      <c r="O456" s="463"/>
      <c r="P456" s="463"/>
      <c r="Q456" s="463"/>
      <c r="R456" s="463"/>
      <c r="S456" s="463"/>
      <c r="T456" s="463"/>
      <c r="U456" s="463"/>
      <c r="V456" s="463"/>
      <c r="W456" s="463"/>
      <c r="X456" s="463"/>
      <c r="Y456" s="463"/>
      <c r="Z456" s="463"/>
    </row>
    <row r="457" spans="1:26" ht="15.75" customHeight="1" x14ac:dyDescent="0.3">
      <c r="A457" s="463"/>
      <c r="B457" s="463"/>
      <c r="C457" s="463"/>
      <c r="D457" s="463"/>
      <c r="E457" s="463"/>
      <c r="F457" s="463"/>
      <c r="G457" s="463"/>
      <c r="H457" s="463"/>
      <c r="I457" s="463"/>
      <c r="J457" s="463"/>
      <c r="K457" s="463"/>
      <c r="L457" s="463"/>
      <c r="M457" s="463"/>
      <c r="N457" s="463"/>
      <c r="O457" s="463"/>
      <c r="P457" s="463"/>
      <c r="Q457" s="463"/>
      <c r="R457" s="463"/>
      <c r="S457" s="463"/>
      <c r="T457" s="463"/>
      <c r="U457" s="463"/>
      <c r="V457" s="463"/>
      <c r="W457" s="463"/>
      <c r="X457" s="463"/>
      <c r="Y457" s="463"/>
      <c r="Z457" s="463"/>
    </row>
    <row r="458" spans="1:26" ht="15.75" customHeight="1" x14ac:dyDescent="0.3">
      <c r="A458" s="463"/>
      <c r="B458" s="463"/>
      <c r="C458" s="463"/>
      <c r="D458" s="463"/>
      <c r="E458" s="463"/>
      <c r="F458" s="463"/>
      <c r="G458" s="463"/>
      <c r="H458" s="463"/>
      <c r="I458" s="463"/>
      <c r="J458" s="463"/>
      <c r="K458" s="463"/>
      <c r="L458" s="463"/>
      <c r="M458" s="463"/>
      <c r="N458" s="463"/>
      <c r="O458" s="463"/>
      <c r="P458" s="463"/>
      <c r="Q458" s="463"/>
      <c r="R458" s="463"/>
      <c r="S458" s="463"/>
      <c r="T458" s="463"/>
      <c r="U458" s="463"/>
      <c r="V458" s="463"/>
      <c r="W458" s="463"/>
      <c r="X458" s="463"/>
      <c r="Y458" s="463"/>
      <c r="Z458" s="463"/>
    </row>
    <row r="459" spans="1:26" ht="15.75" customHeight="1" x14ac:dyDescent="0.3">
      <c r="A459" s="463"/>
      <c r="B459" s="463"/>
      <c r="C459" s="463"/>
      <c r="D459" s="463"/>
      <c r="E459" s="463"/>
      <c r="F459" s="463"/>
      <c r="G459" s="463"/>
      <c r="H459" s="463"/>
      <c r="I459" s="463"/>
      <c r="J459" s="463"/>
      <c r="K459" s="463"/>
      <c r="L459" s="463"/>
      <c r="M459" s="463"/>
      <c r="N459" s="463"/>
      <c r="O459" s="463"/>
      <c r="P459" s="463"/>
      <c r="Q459" s="463"/>
      <c r="R459" s="463"/>
      <c r="S459" s="463"/>
      <c r="T459" s="463"/>
      <c r="U459" s="463"/>
      <c r="V459" s="463"/>
      <c r="W459" s="463"/>
      <c r="X459" s="463"/>
      <c r="Y459" s="463"/>
      <c r="Z459" s="463"/>
    </row>
    <row r="460" spans="1:26" ht="15.75" customHeight="1" x14ac:dyDescent="0.3">
      <c r="A460" s="463"/>
      <c r="B460" s="463"/>
      <c r="C460" s="463"/>
      <c r="D460" s="463"/>
      <c r="E460" s="463"/>
      <c r="F460" s="463"/>
      <c r="G460" s="463"/>
      <c r="H460" s="463"/>
      <c r="I460" s="463"/>
      <c r="J460" s="463"/>
      <c r="K460" s="463"/>
      <c r="L460" s="463"/>
      <c r="M460" s="463"/>
      <c r="N460" s="463"/>
      <c r="O460" s="463"/>
      <c r="P460" s="463"/>
      <c r="Q460" s="463"/>
      <c r="R460" s="463"/>
      <c r="S460" s="463"/>
      <c r="T460" s="463"/>
      <c r="U460" s="463"/>
      <c r="V460" s="463"/>
      <c r="W460" s="463"/>
      <c r="X460" s="463"/>
      <c r="Y460" s="463"/>
      <c r="Z460" s="463"/>
    </row>
    <row r="461" spans="1:26" ht="15.75" customHeight="1" x14ac:dyDescent="0.3">
      <c r="A461" s="463"/>
      <c r="B461" s="463"/>
      <c r="C461" s="463"/>
      <c r="D461" s="463"/>
      <c r="E461" s="463"/>
      <c r="F461" s="463"/>
      <c r="G461" s="463"/>
      <c r="H461" s="463"/>
      <c r="I461" s="463"/>
      <c r="J461" s="463"/>
      <c r="K461" s="463"/>
      <c r="L461" s="463"/>
      <c r="M461" s="463"/>
      <c r="N461" s="463"/>
      <c r="O461" s="463"/>
      <c r="P461" s="463"/>
      <c r="Q461" s="463"/>
      <c r="R461" s="463"/>
      <c r="S461" s="463"/>
      <c r="T461" s="463"/>
      <c r="U461" s="463"/>
      <c r="V461" s="463"/>
      <c r="W461" s="463"/>
      <c r="X461" s="463"/>
      <c r="Y461" s="463"/>
      <c r="Z461" s="463"/>
    </row>
    <row r="462" spans="1:26" ht="15.75" customHeight="1" x14ac:dyDescent="0.3">
      <c r="A462" s="463"/>
      <c r="B462" s="463"/>
      <c r="C462" s="463"/>
      <c r="D462" s="463"/>
      <c r="E462" s="463"/>
      <c r="F462" s="463"/>
      <c r="G462" s="463"/>
      <c r="H462" s="463"/>
      <c r="I462" s="463"/>
      <c r="J462" s="463"/>
      <c r="K462" s="463"/>
      <c r="L462" s="463"/>
      <c r="M462" s="463"/>
      <c r="N462" s="463"/>
      <c r="O462" s="463"/>
      <c r="P462" s="463"/>
      <c r="Q462" s="463"/>
      <c r="R462" s="463"/>
      <c r="S462" s="463"/>
      <c r="T462" s="463"/>
      <c r="U462" s="463"/>
      <c r="V462" s="463"/>
      <c r="W462" s="463"/>
      <c r="X462" s="463"/>
      <c r="Y462" s="463"/>
      <c r="Z462" s="463"/>
    </row>
    <row r="463" spans="1:26" ht="15.75" customHeight="1" x14ac:dyDescent="0.3">
      <c r="A463" s="463"/>
      <c r="B463" s="463"/>
      <c r="C463" s="463"/>
      <c r="D463" s="463"/>
      <c r="E463" s="463"/>
      <c r="F463" s="463"/>
      <c r="G463" s="463"/>
      <c r="H463" s="463"/>
      <c r="I463" s="463"/>
      <c r="J463" s="463"/>
      <c r="K463" s="463"/>
      <c r="L463" s="463"/>
      <c r="M463" s="463"/>
      <c r="N463" s="463"/>
      <c r="O463" s="463"/>
      <c r="P463" s="463"/>
      <c r="Q463" s="463"/>
      <c r="R463" s="463"/>
      <c r="S463" s="463"/>
      <c r="T463" s="463"/>
      <c r="U463" s="463"/>
      <c r="V463" s="463"/>
      <c r="W463" s="463"/>
      <c r="X463" s="463"/>
      <c r="Y463" s="463"/>
      <c r="Z463" s="463"/>
    </row>
    <row r="464" spans="1:26" ht="15.75" customHeight="1" x14ac:dyDescent="0.3">
      <c r="A464" s="463"/>
      <c r="B464" s="463"/>
      <c r="C464" s="463"/>
      <c r="D464" s="463"/>
      <c r="E464" s="463"/>
      <c r="F464" s="463"/>
      <c r="G464" s="463"/>
      <c r="H464" s="463"/>
      <c r="I464" s="463"/>
      <c r="J464" s="463"/>
      <c r="K464" s="463"/>
      <c r="L464" s="463"/>
      <c r="M464" s="463"/>
      <c r="N464" s="463"/>
      <c r="O464" s="463"/>
      <c r="P464" s="463"/>
      <c r="Q464" s="463"/>
      <c r="R464" s="463"/>
      <c r="S464" s="463"/>
      <c r="T464" s="463"/>
      <c r="U464" s="463"/>
      <c r="V464" s="463"/>
      <c r="W464" s="463"/>
      <c r="X464" s="463"/>
      <c r="Y464" s="463"/>
      <c r="Z464" s="463"/>
    </row>
    <row r="465" spans="1:26" ht="15.75" customHeight="1" x14ac:dyDescent="0.3">
      <c r="A465" s="463"/>
      <c r="B465" s="463"/>
      <c r="C465" s="463"/>
      <c r="D465" s="463"/>
      <c r="E465" s="463"/>
      <c r="F465" s="463"/>
      <c r="G465" s="463"/>
      <c r="H465" s="463"/>
      <c r="I465" s="463"/>
      <c r="J465" s="463"/>
      <c r="K465" s="463"/>
      <c r="L465" s="463"/>
      <c r="M465" s="463"/>
      <c r="N465" s="463"/>
      <c r="O465" s="463"/>
      <c r="P465" s="463"/>
      <c r="Q465" s="463"/>
      <c r="R465" s="463"/>
      <c r="S465" s="463"/>
      <c r="T465" s="463"/>
      <c r="U465" s="463"/>
      <c r="V465" s="463"/>
      <c r="W465" s="463"/>
      <c r="X465" s="463"/>
      <c r="Y465" s="463"/>
      <c r="Z465" s="463"/>
    </row>
    <row r="466" spans="1:26" ht="15.75" customHeight="1" x14ac:dyDescent="0.3">
      <c r="A466" s="463"/>
      <c r="B466" s="463"/>
      <c r="C466" s="463"/>
      <c r="D466" s="463"/>
      <c r="E466" s="463"/>
      <c r="F466" s="463"/>
      <c r="G466" s="463"/>
      <c r="H466" s="463"/>
      <c r="I466" s="463"/>
      <c r="J466" s="463"/>
      <c r="K466" s="463"/>
      <c r="L466" s="463"/>
      <c r="M466" s="463"/>
      <c r="N466" s="463"/>
      <c r="O466" s="463"/>
      <c r="P466" s="463"/>
      <c r="Q466" s="463"/>
      <c r="R466" s="463"/>
      <c r="S466" s="463"/>
      <c r="T466" s="463"/>
      <c r="U466" s="463"/>
      <c r="V466" s="463"/>
      <c r="W466" s="463"/>
      <c r="X466" s="463"/>
      <c r="Y466" s="463"/>
      <c r="Z466" s="463"/>
    </row>
    <row r="467" spans="1:26" ht="15.75" customHeight="1" x14ac:dyDescent="0.3">
      <c r="A467" s="463"/>
      <c r="B467" s="463"/>
      <c r="C467" s="463"/>
      <c r="D467" s="463"/>
      <c r="E467" s="463"/>
      <c r="F467" s="463"/>
      <c r="G467" s="463"/>
      <c r="H467" s="463"/>
      <c r="I467" s="463"/>
      <c r="J467" s="463"/>
      <c r="K467" s="463"/>
      <c r="L467" s="463"/>
      <c r="M467" s="463"/>
      <c r="N467" s="463"/>
      <c r="O467" s="463"/>
      <c r="P467" s="463"/>
      <c r="Q467" s="463"/>
      <c r="R467" s="463"/>
      <c r="S467" s="463"/>
      <c r="T467" s="463"/>
      <c r="U467" s="463"/>
      <c r="V467" s="463"/>
      <c r="W467" s="463"/>
      <c r="X467" s="463"/>
      <c r="Y467" s="463"/>
      <c r="Z467" s="463"/>
    </row>
    <row r="468" spans="1:26" ht="15.75" customHeight="1" x14ac:dyDescent="0.3">
      <c r="A468" s="463"/>
      <c r="B468" s="463"/>
      <c r="C468" s="463"/>
      <c r="D468" s="463"/>
      <c r="E468" s="463"/>
      <c r="F468" s="463"/>
      <c r="G468" s="463"/>
      <c r="H468" s="463"/>
      <c r="I468" s="463"/>
      <c r="J468" s="463"/>
      <c r="K468" s="463"/>
      <c r="L468" s="463"/>
      <c r="M468" s="463"/>
      <c r="N468" s="463"/>
      <c r="O468" s="463"/>
      <c r="P468" s="463"/>
      <c r="Q468" s="463"/>
      <c r="R468" s="463"/>
      <c r="S468" s="463"/>
      <c r="T468" s="463"/>
      <c r="U468" s="463"/>
      <c r="V468" s="463"/>
      <c r="W468" s="463"/>
      <c r="X468" s="463"/>
      <c r="Y468" s="463"/>
      <c r="Z468" s="463"/>
    </row>
    <row r="469" spans="1:26" ht="15.75" customHeight="1" x14ac:dyDescent="0.3">
      <c r="A469" s="463"/>
      <c r="B469" s="463"/>
      <c r="C469" s="463"/>
      <c r="D469" s="463"/>
      <c r="E469" s="463"/>
      <c r="F469" s="463"/>
      <c r="G469" s="463"/>
      <c r="H469" s="463"/>
      <c r="I469" s="463"/>
      <c r="J469" s="463"/>
      <c r="K469" s="463"/>
      <c r="L469" s="463"/>
      <c r="M469" s="463"/>
      <c r="N469" s="463"/>
      <c r="O469" s="463"/>
      <c r="P469" s="463"/>
      <c r="Q469" s="463"/>
      <c r="R469" s="463"/>
      <c r="S469" s="463"/>
      <c r="T469" s="463"/>
      <c r="U469" s="463"/>
      <c r="V469" s="463"/>
      <c r="W469" s="463"/>
      <c r="X469" s="463"/>
      <c r="Y469" s="463"/>
      <c r="Z469" s="463"/>
    </row>
    <row r="470" spans="1:26" ht="15.75" customHeight="1" x14ac:dyDescent="0.3">
      <c r="A470" s="463"/>
      <c r="B470" s="463"/>
      <c r="C470" s="463"/>
      <c r="D470" s="463"/>
      <c r="E470" s="463"/>
      <c r="F470" s="463"/>
      <c r="G470" s="463"/>
      <c r="H470" s="463"/>
      <c r="I470" s="463"/>
      <c r="J470" s="463"/>
      <c r="K470" s="463"/>
      <c r="L470" s="463"/>
      <c r="M470" s="463"/>
      <c r="N470" s="463"/>
      <c r="O470" s="463"/>
      <c r="P470" s="463"/>
      <c r="Q470" s="463"/>
      <c r="R470" s="463"/>
      <c r="S470" s="463"/>
      <c r="T470" s="463"/>
      <c r="U470" s="463"/>
      <c r="V470" s="463"/>
      <c r="W470" s="463"/>
      <c r="X470" s="463"/>
      <c r="Y470" s="463"/>
      <c r="Z470" s="463"/>
    </row>
    <row r="471" spans="1:26" ht="15.75" customHeight="1" x14ac:dyDescent="0.3">
      <c r="A471" s="463"/>
      <c r="B471" s="463"/>
      <c r="C471" s="463"/>
      <c r="D471" s="463"/>
      <c r="E471" s="463"/>
      <c r="F471" s="463"/>
      <c r="G471" s="463"/>
      <c r="H471" s="463"/>
      <c r="I471" s="463"/>
      <c r="J471" s="463"/>
      <c r="K471" s="463"/>
      <c r="L471" s="463"/>
      <c r="M471" s="463"/>
      <c r="N471" s="463"/>
      <c r="O471" s="463"/>
      <c r="P471" s="463"/>
      <c r="Q471" s="463"/>
      <c r="R471" s="463"/>
      <c r="S471" s="463"/>
      <c r="T471" s="463"/>
      <c r="U471" s="463"/>
      <c r="V471" s="463"/>
      <c r="W471" s="463"/>
      <c r="X471" s="463"/>
      <c r="Y471" s="463"/>
      <c r="Z471" s="463"/>
    </row>
    <row r="472" spans="1:26" ht="15.75" customHeight="1" x14ac:dyDescent="0.3">
      <c r="A472" s="463"/>
      <c r="B472" s="463"/>
      <c r="C472" s="463"/>
      <c r="D472" s="463"/>
      <c r="E472" s="463"/>
      <c r="F472" s="463"/>
      <c r="G472" s="463"/>
      <c r="H472" s="463"/>
      <c r="I472" s="463"/>
      <c r="J472" s="463"/>
      <c r="K472" s="463"/>
      <c r="L472" s="463"/>
      <c r="M472" s="463"/>
      <c r="N472" s="463"/>
      <c r="O472" s="463"/>
      <c r="P472" s="463"/>
      <c r="Q472" s="463"/>
      <c r="R472" s="463"/>
      <c r="S472" s="463"/>
      <c r="T472" s="463"/>
      <c r="U472" s="463"/>
      <c r="V472" s="463"/>
      <c r="W472" s="463"/>
      <c r="X472" s="463"/>
      <c r="Y472" s="463"/>
      <c r="Z472" s="463"/>
    </row>
    <row r="473" spans="1:26" ht="15.75" customHeight="1" x14ac:dyDescent="0.3">
      <c r="A473" s="463"/>
      <c r="B473" s="463"/>
      <c r="C473" s="463"/>
      <c r="D473" s="463"/>
      <c r="E473" s="463"/>
      <c r="F473" s="463"/>
      <c r="G473" s="463"/>
      <c r="H473" s="463"/>
      <c r="I473" s="463"/>
      <c r="J473" s="463"/>
      <c r="K473" s="463"/>
      <c r="L473" s="463"/>
      <c r="M473" s="463"/>
      <c r="N473" s="463"/>
      <c r="O473" s="463"/>
      <c r="P473" s="463"/>
      <c r="Q473" s="463"/>
      <c r="R473" s="463"/>
      <c r="S473" s="463"/>
      <c r="T473" s="463"/>
      <c r="U473" s="463"/>
      <c r="V473" s="463"/>
      <c r="W473" s="463"/>
      <c r="X473" s="463"/>
      <c r="Y473" s="463"/>
      <c r="Z473" s="463"/>
    </row>
    <row r="474" spans="1:26" ht="15.75" customHeight="1" x14ac:dyDescent="0.3">
      <c r="A474" s="463"/>
      <c r="B474" s="463"/>
      <c r="C474" s="463"/>
      <c r="D474" s="463"/>
      <c r="E474" s="463"/>
      <c r="F474" s="463"/>
      <c r="G474" s="463"/>
      <c r="H474" s="463"/>
      <c r="I474" s="463"/>
      <c r="J474" s="463"/>
      <c r="K474" s="463"/>
      <c r="L474" s="463"/>
      <c r="M474" s="463"/>
      <c r="N474" s="463"/>
      <c r="O474" s="463"/>
      <c r="P474" s="463"/>
      <c r="Q474" s="463"/>
      <c r="R474" s="463"/>
      <c r="S474" s="463"/>
      <c r="T474" s="463"/>
      <c r="U474" s="463"/>
      <c r="V474" s="463"/>
      <c r="W474" s="463"/>
      <c r="X474" s="463"/>
      <c r="Y474" s="463"/>
      <c r="Z474" s="463"/>
    </row>
    <row r="475" spans="1:26" ht="15.75" customHeight="1" x14ac:dyDescent="0.3">
      <c r="A475" s="463"/>
      <c r="B475" s="463"/>
      <c r="C475" s="463"/>
      <c r="D475" s="463"/>
      <c r="E475" s="463"/>
      <c r="F475" s="463"/>
      <c r="G475" s="463"/>
      <c r="H475" s="463"/>
      <c r="I475" s="463"/>
      <c r="J475" s="463"/>
      <c r="K475" s="463"/>
      <c r="L475" s="463"/>
      <c r="M475" s="463"/>
      <c r="N475" s="463"/>
      <c r="O475" s="463"/>
      <c r="P475" s="463"/>
      <c r="Q475" s="463"/>
      <c r="R475" s="463"/>
      <c r="S475" s="463"/>
      <c r="T475" s="463"/>
      <c r="U475" s="463"/>
      <c r="V475" s="463"/>
      <c r="W475" s="463"/>
      <c r="X475" s="463"/>
      <c r="Y475" s="463"/>
      <c r="Z475" s="463"/>
    </row>
    <row r="476" spans="1:26" ht="15.75" customHeight="1" x14ac:dyDescent="0.3">
      <c r="A476" s="463"/>
      <c r="B476" s="463"/>
      <c r="C476" s="463"/>
      <c r="D476" s="463"/>
      <c r="E476" s="463"/>
      <c r="F476" s="463"/>
      <c r="G476" s="463"/>
      <c r="H476" s="463"/>
      <c r="I476" s="463"/>
      <c r="J476" s="463"/>
      <c r="K476" s="463"/>
      <c r="L476" s="463"/>
      <c r="M476" s="463"/>
      <c r="N476" s="463"/>
      <c r="O476" s="463"/>
      <c r="P476" s="463"/>
      <c r="Q476" s="463"/>
      <c r="R476" s="463"/>
      <c r="S476" s="463"/>
      <c r="T476" s="463"/>
      <c r="U476" s="463"/>
      <c r="V476" s="463"/>
      <c r="W476" s="463"/>
      <c r="X476" s="463"/>
      <c r="Y476" s="463"/>
      <c r="Z476" s="463"/>
    </row>
    <row r="477" spans="1:26" ht="15.75" customHeight="1" x14ac:dyDescent="0.3">
      <c r="A477" s="463"/>
      <c r="B477" s="463"/>
      <c r="C477" s="463"/>
      <c r="D477" s="463"/>
      <c r="E477" s="463"/>
      <c r="F477" s="463"/>
      <c r="G477" s="463"/>
      <c r="H477" s="463"/>
      <c r="I477" s="463"/>
      <c r="J477" s="463"/>
      <c r="K477" s="463"/>
      <c r="L477" s="463"/>
      <c r="M477" s="463"/>
      <c r="N477" s="463"/>
      <c r="O477" s="463"/>
      <c r="P477" s="463"/>
      <c r="Q477" s="463"/>
      <c r="R477" s="463"/>
      <c r="S477" s="463"/>
      <c r="T477" s="463"/>
      <c r="U477" s="463"/>
      <c r="V477" s="463"/>
      <c r="W477" s="463"/>
      <c r="X477" s="463"/>
      <c r="Y477" s="463"/>
      <c r="Z477" s="463"/>
    </row>
    <row r="478" spans="1:26" ht="15.75" customHeight="1" x14ac:dyDescent="0.3">
      <c r="A478" s="463"/>
      <c r="B478" s="463"/>
      <c r="C478" s="463"/>
      <c r="D478" s="463"/>
      <c r="E478" s="463"/>
      <c r="F478" s="463"/>
      <c r="G478" s="463"/>
      <c r="H478" s="463"/>
      <c r="I478" s="463"/>
      <c r="J478" s="463"/>
      <c r="K478" s="463"/>
      <c r="L478" s="463"/>
      <c r="M478" s="463"/>
      <c r="N478" s="463"/>
      <c r="O478" s="463"/>
      <c r="P478" s="463"/>
      <c r="Q478" s="463"/>
      <c r="R478" s="463"/>
      <c r="S478" s="463"/>
      <c r="T478" s="463"/>
      <c r="U478" s="463"/>
      <c r="V478" s="463"/>
      <c r="W478" s="463"/>
      <c r="X478" s="463"/>
      <c r="Y478" s="463"/>
      <c r="Z478" s="463"/>
    </row>
    <row r="479" spans="1:26" ht="15.75" customHeight="1" x14ac:dyDescent="0.3">
      <c r="A479" s="463"/>
      <c r="B479" s="463"/>
      <c r="C479" s="463"/>
      <c r="D479" s="463"/>
      <c r="E479" s="463"/>
      <c r="F479" s="463"/>
      <c r="G479" s="463"/>
      <c r="H479" s="463"/>
      <c r="I479" s="463"/>
      <c r="J479" s="463"/>
      <c r="K479" s="463"/>
      <c r="L479" s="463"/>
      <c r="M479" s="463"/>
      <c r="N479" s="463"/>
      <c r="O479" s="463"/>
      <c r="P479" s="463"/>
      <c r="Q479" s="463"/>
      <c r="R479" s="463"/>
      <c r="S479" s="463"/>
      <c r="T479" s="463"/>
      <c r="U479" s="463"/>
      <c r="V479" s="463"/>
      <c r="W479" s="463"/>
      <c r="X479" s="463"/>
      <c r="Y479" s="463"/>
      <c r="Z479" s="463"/>
    </row>
    <row r="480" spans="1:26" ht="15.75" customHeight="1" x14ac:dyDescent="0.3">
      <c r="A480" s="463"/>
      <c r="B480" s="463"/>
      <c r="C480" s="463"/>
      <c r="D480" s="463"/>
      <c r="E480" s="463"/>
      <c r="F480" s="463"/>
      <c r="G480" s="463"/>
      <c r="H480" s="463"/>
      <c r="I480" s="463"/>
      <c r="J480" s="463"/>
      <c r="K480" s="463"/>
      <c r="L480" s="463"/>
      <c r="M480" s="463"/>
      <c r="N480" s="463"/>
      <c r="O480" s="463"/>
      <c r="P480" s="463"/>
      <c r="Q480" s="463"/>
      <c r="R480" s="463"/>
      <c r="S480" s="463"/>
      <c r="T480" s="463"/>
      <c r="U480" s="463"/>
      <c r="V480" s="463"/>
      <c r="W480" s="463"/>
      <c r="X480" s="463"/>
      <c r="Y480" s="463"/>
      <c r="Z480" s="463"/>
    </row>
    <row r="481" spans="1:26" ht="15.75" customHeight="1" x14ac:dyDescent="0.3">
      <c r="A481" s="463"/>
      <c r="B481" s="463"/>
      <c r="C481" s="463"/>
      <c r="D481" s="463"/>
      <c r="E481" s="463"/>
      <c r="F481" s="463"/>
      <c r="G481" s="463"/>
      <c r="H481" s="463"/>
      <c r="I481" s="463"/>
      <c r="J481" s="463"/>
      <c r="K481" s="463"/>
      <c r="L481" s="463"/>
      <c r="M481" s="463"/>
      <c r="N481" s="463"/>
      <c r="O481" s="463"/>
      <c r="P481" s="463"/>
      <c r="Q481" s="463"/>
      <c r="R481" s="463"/>
      <c r="S481" s="463"/>
      <c r="T481" s="463"/>
      <c r="U481" s="463"/>
      <c r="V481" s="463"/>
      <c r="W481" s="463"/>
      <c r="X481" s="463"/>
      <c r="Y481" s="463"/>
      <c r="Z481" s="463"/>
    </row>
    <row r="482" spans="1:26" ht="15.75" customHeight="1" x14ac:dyDescent="0.3">
      <c r="A482" s="463"/>
      <c r="B482" s="463"/>
      <c r="C482" s="463"/>
      <c r="D482" s="463"/>
      <c r="E482" s="463"/>
      <c r="F482" s="463"/>
      <c r="G482" s="463"/>
      <c r="H482" s="463"/>
      <c r="I482" s="463"/>
      <c r="J482" s="463"/>
      <c r="K482" s="463"/>
      <c r="L482" s="463"/>
      <c r="M482" s="463"/>
      <c r="N482" s="463"/>
      <c r="O482" s="463"/>
      <c r="P482" s="463"/>
      <c r="Q482" s="463"/>
      <c r="R482" s="463"/>
      <c r="S482" s="463"/>
      <c r="T482" s="463"/>
      <c r="U482" s="463"/>
      <c r="V482" s="463"/>
      <c r="W482" s="463"/>
      <c r="X482" s="463"/>
      <c r="Y482" s="463"/>
      <c r="Z482" s="463"/>
    </row>
    <row r="483" spans="1:26" ht="15.75" customHeight="1" x14ac:dyDescent="0.3">
      <c r="A483" s="463"/>
      <c r="B483" s="463"/>
      <c r="C483" s="463"/>
      <c r="D483" s="463"/>
      <c r="E483" s="463"/>
      <c r="F483" s="463"/>
      <c r="G483" s="463"/>
      <c r="H483" s="463"/>
      <c r="I483" s="463"/>
      <c r="J483" s="463"/>
      <c r="K483" s="463"/>
      <c r="L483" s="463"/>
      <c r="M483" s="463"/>
      <c r="N483" s="463"/>
      <c r="O483" s="463"/>
      <c r="P483" s="463"/>
      <c r="Q483" s="463"/>
      <c r="R483" s="463"/>
      <c r="S483" s="463"/>
      <c r="T483" s="463"/>
      <c r="U483" s="463"/>
      <c r="V483" s="463"/>
      <c r="W483" s="463"/>
      <c r="X483" s="463"/>
      <c r="Y483" s="463"/>
      <c r="Z483" s="463"/>
    </row>
    <row r="484" spans="1:26" ht="15.75" customHeight="1" x14ac:dyDescent="0.3">
      <c r="A484" s="463"/>
      <c r="B484" s="463"/>
      <c r="C484" s="463"/>
      <c r="D484" s="463"/>
      <c r="E484" s="463"/>
      <c r="F484" s="463"/>
      <c r="G484" s="463"/>
      <c r="H484" s="463"/>
      <c r="I484" s="463"/>
      <c r="J484" s="463"/>
      <c r="K484" s="463"/>
      <c r="L484" s="463"/>
      <c r="M484" s="463"/>
      <c r="N484" s="463"/>
      <c r="O484" s="463"/>
      <c r="P484" s="463"/>
      <c r="Q484" s="463"/>
      <c r="R484" s="463"/>
      <c r="S484" s="463"/>
      <c r="T484" s="463"/>
      <c r="U484" s="463"/>
      <c r="V484" s="463"/>
      <c r="W484" s="463"/>
      <c r="X484" s="463"/>
      <c r="Y484" s="463"/>
      <c r="Z484" s="463"/>
    </row>
    <row r="485" spans="1:26" ht="15.75" customHeight="1" x14ac:dyDescent="0.3">
      <c r="A485" s="463"/>
      <c r="B485" s="463"/>
      <c r="C485" s="463"/>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63"/>
      <c r="Z485" s="463"/>
    </row>
    <row r="486" spans="1:26" ht="15.75" customHeight="1" x14ac:dyDescent="0.3">
      <c r="A486" s="463"/>
      <c r="B486" s="463"/>
      <c r="C486" s="463"/>
      <c r="D486" s="463"/>
      <c r="E486" s="463"/>
      <c r="F486" s="463"/>
      <c r="G486" s="463"/>
      <c r="H486" s="463"/>
      <c r="I486" s="463"/>
      <c r="J486" s="463"/>
      <c r="K486" s="463"/>
      <c r="L486" s="463"/>
      <c r="M486" s="463"/>
      <c r="N486" s="463"/>
      <c r="O486" s="463"/>
      <c r="P486" s="463"/>
      <c r="Q486" s="463"/>
      <c r="R486" s="463"/>
      <c r="S486" s="463"/>
      <c r="T486" s="463"/>
      <c r="U486" s="463"/>
      <c r="V486" s="463"/>
      <c r="W486" s="463"/>
      <c r="X486" s="463"/>
      <c r="Y486" s="463"/>
      <c r="Z486" s="463"/>
    </row>
    <row r="487" spans="1:26" ht="15.75" customHeight="1" x14ac:dyDescent="0.3">
      <c r="A487" s="463"/>
      <c r="B487" s="463"/>
      <c r="C487" s="463"/>
      <c r="D487" s="463"/>
      <c r="E487" s="463"/>
      <c r="F487" s="463"/>
      <c r="G487" s="463"/>
      <c r="H487" s="463"/>
      <c r="I487" s="463"/>
      <c r="J487" s="463"/>
      <c r="K487" s="463"/>
      <c r="L487" s="463"/>
      <c r="M487" s="463"/>
      <c r="N487" s="463"/>
      <c r="O487" s="463"/>
      <c r="P487" s="463"/>
      <c r="Q487" s="463"/>
      <c r="R487" s="463"/>
      <c r="S487" s="463"/>
      <c r="T487" s="463"/>
      <c r="U487" s="463"/>
      <c r="V487" s="463"/>
      <c r="W487" s="463"/>
      <c r="X487" s="463"/>
      <c r="Y487" s="463"/>
      <c r="Z487" s="463"/>
    </row>
    <row r="488" spans="1:26" ht="15.75" customHeight="1" x14ac:dyDescent="0.3">
      <c r="A488" s="463"/>
      <c r="B488" s="463"/>
      <c r="C488" s="463"/>
      <c r="D488" s="463"/>
      <c r="E488" s="463"/>
      <c r="F488" s="463"/>
      <c r="G488" s="463"/>
      <c r="H488" s="463"/>
      <c r="I488" s="463"/>
      <c r="J488" s="463"/>
      <c r="K488" s="463"/>
      <c r="L488" s="463"/>
      <c r="M488" s="463"/>
      <c r="N488" s="463"/>
      <c r="O488" s="463"/>
      <c r="P488" s="463"/>
      <c r="Q488" s="463"/>
      <c r="R488" s="463"/>
      <c r="S488" s="463"/>
      <c r="T488" s="463"/>
      <c r="U488" s="463"/>
      <c r="V488" s="463"/>
      <c r="W488" s="463"/>
      <c r="X488" s="463"/>
      <c r="Y488" s="463"/>
      <c r="Z488" s="463"/>
    </row>
    <row r="489" spans="1:26" ht="15.75" customHeight="1" x14ac:dyDescent="0.3">
      <c r="A489" s="463"/>
      <c r="B489" s="463"/>
      <c r="C489" s="463"/>
      <c r="D489" s="463"/>
      <c r="E489" s="463"/>
      <c r="F489" s="463"/>
      <c r="G489" s="463"/>
      <c r="H489" s="463"/>
      <c r="I489" s="463"/>
      <c r="J489" s="463"/>
      <c r="K489" s="463"/>
      <c r="L489" s="463"/>
      <c r="M489" s="463"/>
      <c r="N489" s="463"/>
      <c r="O489" s="463"/>
      <c r="P489" s="463"/>
      <c r="Q489" s="463"/>
      <c r="R489" s="463"/>
      <c r="S489" s="463"/>
      <c r="T489" s="463"/>
      <c r="U489" s="463"/>
      <c r="V489" s="463"/>
      <c r="W489" s="463"/>
      <c r="X489" s="463"/>
      <c r="Y489" s="463"/>
      <c r="Z489" s="463"/>
    </row>
    <row r="490" spans="1:26" ht="15.75" customHeight="1" x14ac:dyDescent="0.3">
      <c r="A490" s="463"/>
      <c r="B490" s="463"/>
      <c r="C490" s="463"/>
      <c r="D490" s="463"/>
      <c r="E490" s="463"/>
      <c r="F490" s="463"/>
      <c r="G490" s="463"/>
      <c r="H490" s="463"/>
      <c r="I490" s="463"/>
      <c r="J490" s="463"/>
      <c r="K490" s="463"/>
      <c r="L490" s="463"/>
      <c r="M490" s="463"/>
      <c r="N490" s="463"/>
      <c r="O490" s="463"/>
      <c r="P490" s="463"/>
      <c r="Q490" s="463"/>
      <c r="R490" s="463"/>
      <c r="S490" s="463"/>
      <c r="T490" s="463"/>
      <c r="U490" s="463"/>
      <c r="V490" s="463"/>
      <c r="W490" s="463"/>
      <c r="X490" s="463"/>
      <c r="Y490" s="463"/>
      <c r="Z490" s="463"/>
    </row>
    <row r="491" spans="1:26" ht="15.75" customHeight="1" x14ac:dyDescent="0.3">
      <c r="A491" s="463"/>
      <c r="B491" s="463"/>
      <c r="C491" s="463"/>
      <c r="D491" s="463"/>
      <c r="E491" s="463"/>
      <c r="F491" s="463"/>
      <c r="G491" s="463"/>
      <c r="H491" s="463"/>
      <c r="I491" s="463"/>
      <c r="J491" s="463"/>
      <c r="K491" s="463"/>
      <c r="L491" s="463"/>
      <c r="M491" s="463"/>
      <c r="N491" s="463"/>
      <c r="O491" s="463"/>
      <c r="P491" s="463"/>
      <c r="Q491" s="463"/>
      <c r="R491" s="463"/>
      <c r="S491" s="463"/>
      <c r="T491" s="463"/>
      <c r="U491" s="463"/>
      <c r="V491" s="463"/>
      <c r="W491" s="463"/>
      <c r="X491" s="463"/>
      <c r="Y491" s="463"/>
      <c r="Z491" s="463"/>
    </row>
    <row r="492" spans="1:26" ht="15.75" customHeight="1" x14ac:dyDescent="0.3">
      <c r="A492" s="463"/>
      <c r="B492" s="463"/>
      <c r="C492" s="463"/>
      <c r="D492" s="463"/>
      <c r="E492" s="463"/>
      <c r="F492" s="463"/>
      <c r="G492" s="463"/>
      <c r="H492" s="463"/>
      <c r="I492" s="463"/>
      <c r="J492" s="463"/>
      <c r="K492" s="463"/>
      <c r="L492" s="463"/>
      <c r="M492" s="463"/>
      <c r="N492" s="463"/>
      <c r="O492" s="463"/>
      <c r="P492" s="463"/>
      <c r="Q492" s="463"/>
      <c r="R492" s="463"/>
      <c r="S492" s="463"/>
      <c r="T492" s="463"/>
      <c r="U492" s="463"/>
      <c r="V492" s="463"/>
      <c r="W492" s="463"/>
      <c r="X492" s="463"/>
      <c r="Y492" s="463"/>
      <c r="Z492" s="463"/>
    </row>
    <row r="493" spans="1:26" ht="15.75" customHeight="1" x14ac:dyDescent="0.3">
      <c r="A493" s="463"/>
      <c r="B493" s="463"/>
      <c r="C493" s="463"/>
      <c r="D493" s="463"/>
      <c r="E493" s="463"/>
      <c r="F493" s="463"/>
      <c r="G493" s="463"/>
      <c r="H493" s="463"/>
      <c r="I493" s="463"/>
      <c r="J493" s="463"/>
      <c r="K493" s="463"/>
      <c r="L493" s="463"/>
      <c r="M493" s="463"/>
      <c r="N493" s="463"/>
      <c r="O493" s="463"/>
      <c r="P493" s="463"/>
      <c r="Q493" s="463"/>
      <c r="R493" s="463"/>
      <c r="S493" s="463"/>
      <c r="T493" s="463"/>
      <c r="U493" s="463"/>
      <c r="V493" s="463"/>
      <c r="W493" s="463"/>
      <c r="X493" s="463"/>
      <c r="Y493" s="463"/>
      <c r="Z493" s="463"/>
    </row>
    <row r="494" spans="1:26" ht="15.75" customHeight="1" x14ac:dyDescent="0.3">
      <c r="A494" s="463"/>
      <c r="B494" s="463"/>
      <c r="C494" s="463"/>
      <c r="D494" s="463"/>
      <c r="E494" s="463"/>
      <c r="F494" s="463"/>
      <c r="G494" s="463"/>
      <c r="H494" s="463"/>
      <c r="I494" s="463"/>
      <c r="J494" s="463"/>
      <c r="K494" s="463"/>
      <c r="L494" s="463"/>
      <c r="M494" s="463"/>
      <c r="N494" s="463"/>
      <c r="O494" s="463"/>
      <c r="P494" s="463"/>
      <c r="Q494" s="463"/>
      <c r="R494" s="463"/>
      <c r="S494" s="463"/>
      <c r="T494" s="463"/>
      <c r="U494" s="463"/>
      <c r="V494" s="463"/>
      <c r="W494" s="463"/>
      <c r="X494" s="463"/>
      <c r="Y494" s="463"/>
      <c r="Z494" s="463"/>
    </row>
    <row r="495" spans="1:26" ht="15.75" customHeight="1" x14ac:dyDescent="0.3">
      <c r="A495" s="463"/>
      <c r="B495" s="463"/>
      <c r="C495" s="463"/>
      <c r="D495" s="463"/>
      <c r="E495" s="463"/>
      <c r="F495" s="463"/>
      <c r="G495" s="463"/>
      <c r="H495" s="463"/>
      <c r="I495" s="463"/>
      <c r="J495" s="463"/>
      <c r="K495" s="463"/>
      <c r="L495" s="463"/>
      <c r="M495" s="463"/>
      <c r="N495" s="463"/>
      <c r="O495" s="463"/>
      <c r="P495" s="463"/>
      <c r="Q495" s="463"/>
      <c r="R495" s="463"/>
      <c r="S495" s="463"/>
      <c r="T495" s="463"/>
      <c r="U495" s="463"/>
      <c r="V495" s="463"/>
      <c r="W495" s="463"/>
      <c r="X495" s="463"/>
      <c r="Y495" s="463"/>
      <c r="Z495" s="463"/>
    </row>
    <row r="496" spans="1:26" ht="15.75" customHeight="1" x14ac:dyDescent="0.3">
      <c r="A496" s="463"/>
      <c r="B496" s="463"/>
      <c r="C496" s="463"/>
      <c r="D496" s="463"/>
      <c r="E496" s="463"/>
      <c r="F496" s="463"/>
      <c r="G496" s="463"/>
      <c r="H496" s="463"/>
      <c r="I496" s="463"/>
      <c r="J496" s="463"/>
      <c r="K496" s="463"/>
      <c r="L496" s="463"/>
      <c r="M496" s="463"/>
      <c r="N496" s="463"/>
      <c r="O496" s="463"/>
      <c r="P496" s="463"/>
      <c r="Q496" s="463"/>
      <c r="R496" s="463"/>
      <c r="S496" s="463"/>
      <c r="T496" s="463"/>
      <c r="U496" s="463"/>
      <c r="V496" s="463"/>
      <c r="W496" s="463"/>
      <c r="X496" s="463"/>
      <c r="Y496" s="463"/>
      <c r="Z496" s="463"/>
    </row>
    <row r="497" spans="1:26" ht="15.75" customHeight="1" x14ac:dyDescent="0.3">
      <c r="A497" s="463"/>
      <c r="B497" s="463"/>
      <c r="C497" s="463"/>
      <c r="D497" s="463"/>
      <c r="E497" s="463"/>
      <c r="F497" s="463"/>
      <c r="G497" s="463"/>
      <c r="H497" s="463"/>
      <c r="I497" s="463"/>
      <c r="J497" s="463"/>
      <c r="K497" s="463"/>
      <c r="L497" s="463"/>
      <c r="M497" s="463"/>
      <c r="N497" s="463"/>
      <c r="O497" s="463"/>
      <c r="P497" s="463"/>
      <c r="Q497" s="463"/>
      <c r="R497" s="463"/>
      <c r="S497" s="463"/>
      <c r="T497" s="463"/>
      <c r="U497" s="463"/>
      <c r="V497" s="463"/>
      <c r="W497" s="463"/>
      <c r="X497" s="463"/>
      <c r="Y497" s="463"/>
      <c r="Z497" s="463"/>
    </row>
    <row r="498" spans="1:26" ht="15.75" customHeight="1" x14ac:dyDescent="0.3">
      <c r="A498" s="463"/>
      <c r="B498" s="463"/>
      <c r="C498" s="463"/>
      <c r="D498" s="463"/>
      <c r="E498" s="463"/>
      <c r="F498" s="463"/>
      <c r="G498" s="463"/>
      <c r="H498" s="463"/>
      <c r="I498" s="463"/>
      <c r="J498" s="463"/>
      <c r="K498" s="463"/>
      <c r="L498" s="463"/>
      <c r="M498" s="463"/>
      <c r="N498" s="463"/>
      <c r="O498" s="463"/>
      <c r="P498" s="463"/>
      <c r="Q498" s="463"/>
      <c r="R498" s="463"/>
      <c r="S498" s="463"/>
      <c r="T498" s="463"/>
      <c r="U498" s="463"/>
      <c r="V498" s="463"/>
      <c r="W498" s="463"/>
      <c r="X498" s="463"/>
      <c r="Y498" s="463"/>
      <c r="Z498" s="463"/>
    </row>
    <row r="499" spans="1:26" ht="15.75" customHeight="1" x14ac:dyDescent="0.3">
      <c r="A499" s="463"/>
      <c r="B499" s="463"/>
      <c r="C499" s="463"/>
      <c r="D499" s="463"/>
      <c r="E499" s="463"/>
      <c r="F499" s="463"/>
      <c r="G499" s="463"/>
      <c r="H499" s="463"/>
      <c r="I499" s="463"/>
      <c r="J499" s="463"/>
      <c r="K499" s="463"/>
      <c r="L499" s="463"/>
      <c r="M499" s="463"/>
      <c r="N499" s="463"/>
      <c r="O499" s="463"/>
      <c r="P499" s="463"/>
      <c r="Q499" s="463"/>
      <c r="R499" s="463"/>
      <c r="S499" s="463"/>
      <c r="T499" s="463"/>
      <c r="U499" s="463"/>
      <c r="V499" s="463"/>
      <c r="W499" s="463"/>
      <c r="X499" s="463"/>
      <c r="Y499" s="463"/>
      <c r="Z499" s="463"/>
    </row>
    <row r="500" spans="1:26" ht="15.75" customHeight="1" x14ac:dyDescent="0.3">
      <c r="A500" s="463"/>
      <c r="B500" s="463"/>
      <c r="C500" s="463"/>
      <c r="D500" s="463"/>
      <c r="E500" s="463"/>
      <c r="F500" s="463"/>
      <c r="G500" s="463"/>
      <c r="H500" s="463"/>
      <c r="I500" s="463"/>
      <c r="J500" s="463"/>
      <c r="K500" s="463"/>
      <c r="L500" s="463"/>
      <c r="M500" s="463"/>
      <c r="N500" s="463"/>
      <c r="O500" s="463"/>
      <c r="P500" s="463"/>
      <c r="Q500" s="463"/>
      <c r="R500" s="463"/>
      <c r="S500" s="463"/>
      <c r="T500" s="463"/>
      <c r="U500" s="463"/>
      <c r="V500" s="463"/>
      <c r="W500" s="463"/>
      <c r="X500" s="463"/>
      <c r="Y500" s="463"/>
      <c r="Z500" s="463"/>
    </row>
    <row r="501" spans="1:26" ht="15.75" customHeight="1" x14ac:dyDescent="0.3">
      <c r="A501" s="463"/>
      <c r="B501" s="463"/>
      <c r="C501" s="463"/>
      <c r="D501" s="463"/>
      <c r="E501" s="463"/>
      <c r="F501" s="463"/>
      <c r="G501" s="463"/>
      <c r="H501" s="463"/>
      <c r="I501" s="463"/>
      <c r="J501" s="463"/>
      <c r="K501" s="463"/>
      <c r="L501" s="463"/>
      <c r="M501" s="463"/>
      <c r="N501" s="463"/>
      <c r="O501" s="463"/>
      <c r="P501" s="463"/>
      <c r="Q501" s="463"/>
      <c r="R501" s="463"/>
      <c r="S501" s="463"/>
      <c r="T501" s="463"/>
      <c r="U501" s="463"/>
      <c r="V501" s="463"/>
      <c r="W501" s="463"/>
      <c r="X501" s="463"/>
      <c r="Y501" s="463"/>
      <c r="Z501" s="463"/>
    </row>
    <row r="502" spans="1:26" ht="15.75" customHeight="1" x14ac:dyDescent="0.3">
      <c r="A502" s="463"/>
      <c r="B502" s="463"/>
      <c r="C502" s="463"/>
      <c r="D502" s="463"/>
      <c r="E502" s="463"/>
      <c r="F502" s="463"/>
      <c r="G502" s="463"/>
      <c r="H502" s="463"/>
      <c r="I502" s="463"/>
      <c r="J502" s="463"/>
      <c r="K502" s="463"/>
      <c r="L502" s="463"/>
      <c r="M502" s="463"/>
      <c r="N502" s="463"/>
      <c r="O502" s="463"/>
      <c r="P502" s="463"/>
      <c r="Q502" s="463"/>
      <c r="R502" s="463"/>
      <c r="S502" s="463"/>
      <c r="T502" s="463"/>
      <c r="U502" s="463"/>
      <c r="V502" s="463"/>
      <c r="W502" s="463"/>
      <c r="X502" s="463"/>
      <c r="Y502" s="463"/>
      <c r="Z502" s="463"/>
    </row>
    <row r="503" spans="1:26" ht="15.75" customHeight="1" x14ac:dyDescent="0.3">
      <c r="A503" s="463"/>
      <c r="B503" s="463"/>
      <c r="C503" s="463"/>
      <c r="D503" s="463"/>
      <c r="E503" s="463"/>
      <c r="F503" s="463"/>
      <c r="G503" s="463"/>
      <c r="H503" s="463"/>
      <c r="I503" s="463"/>
      <c r="J503" s="463"/>
      <c r="K503" s="463"/>
      <c r="L503" s="463"/>
      <c r="M503" s="463"/>
      <c r="N503" s="463"/>
      <c r="O503" s="463"/>
      <c r="P503" s="463"/>
      <c r="Q503" s="463"/>
      <c r="R503" s="463"/>
      <c r="S503" s="463"/>
      <c r="T503" s="463"/>
      <c r="U503" s="463"/>
      <c r="V503" s="463"/>
      <c r="W503" s="463"/>
      <c r="X503" s="463"/>
      <c r="Y503" s="463"/>
      <c r="Z503" s="463"/>
    </row>
    <row r="504" spans="1:26" ht="15.75" customHeight="1" x14ac:dyDescent="0.3">
      <c r="A504" s="463"/>
      <c r="B504" s="463"/>
      <c r="C504" s="463"/>
      <c r="D504" s="463"/>
      <c r="E504" s="463"/>
      <c r="F504" s="463"/>
      <c r="G504" s="463"/>
      <c r="H504" s="463"/>
      <c r="I504" s="463"/>
      <c r="J504" s="463"/>
      <c r="K504" s="463"/>
      <c r="L504" s="463"/>
      <c r="M504" s="463"/>
      <c r="N504" s="463"/>
      <c r="O504" s="463"/>
      <c r="P504" s="463"/>
      <c r="Q504" s="463"/>
      <c r="R504" s="463"/>
      <c r="S504" s="463"/>
      <c r="T504" s="463"/>
      <c r="U504" s="463"/>
      <c r="V504" s="463"/>
      <c r="W504" s="463"/>
      <c r="X504" s="463"/>
      <c r="Y504" s="463"/>
      <c r="Z504" s="463"/>
    </row>
    <row r="505" spans="1:26" ht="15.75" customHeight="1" x14ac:dyDescent="0.3">
      <c r="A505" s="463"/>
      <c r="B505" s="463"/>
      <c r="C505" s="463"/>
      <c r="D505" s="463"/>
      <c r="E505" s="463"/>
      <c r="F505" s="463"/>
      <c r="G505" s="463"/>
      <c r="H505" s="463"/>
      <c r="I505" s="463"/>
      <c r="J505" s="463"/>
      <c r="K505" s="463"/>
      <c r="L505" s="463"/>
      <c r="M505" s="463"/>
      <c r="N505" s="463"/>
      <c r="O505" s="463"/>
      <c r="P505" s="463"/>
      <c r="Q505" s="463"/>
      <c r="R505" s="463"/>
      <c r="S505" s="463"/>
      <c r="T505" s="463"/>
      <c r="U505" s="463"/>
      <c r="V505" s="463"/>
      <c r="W505" s="463"/>
      <c r="X505" s="463"/>
      <c r="Y505" s="463"/>
      <c r="Z505" s="463"/>
    </row>
    <row r="506" spans="1:26" ht="15.75" customHeight="1" x14ac:dyDescent="0.3">
      <c r="A506" s="463"/>
      <c r="B506" s="463"/>
      <c r="C506" s="463"/>
      <c r="D506" s="463"/>
      <c r="E506" s="463"/>
      <c r="F506" s="463"/>
      <c r="G506" s="463"/>
      <c r="H506" s="463"/>
      <c r="I506" s="463"/>
      <c r="J506" s="463"/>
      <c r="K506" s="463"/>
      <c r="L506" s="463"/>
      <c r="M506" s="463"/>
      <c r="N506" s="463"/>
      <c r="O506" s="463"/>
      <c r="P506" s="463"/>
      <c r="Q506" s="463"/>
      <c r="R506" s="463"/>
      <c r="S506" s="463"/>
      <c r="T506" s="463"/>
      <c r="U506" s="463"/>
      <c r="V506" s="463"/>
      <c r="W506" s="463"/>
      <c r="X506" s="463"/>
      <c r="Y506" s="463"/>
      <c r="Z506" s="463"/>
    </row>
    <row r="507" spans="1:26" ht="15.75" customHeight="1" x14ac:dyDescent="0.3">
      <c r="A507" s="463"/>
      <c r="B507" s="463"/>
      <c r="C507" s="463"/>
      <c r="D507" s="463"/>
      <c r="E507" s="463"/>
      <c r="F507" s="463"/>
      <c r="G507" s="463"/>
      <c r="H507" s="463"/>
      <c r="I507" s="463"/>
      <c r="J507" s="463"/>
      <c r="K507" s="463"/>
      <c r="L507" s="463"/>
      <c r="M507" s="463"/>
      <c r="N507" s="463"/>
      <c r="O507" s="463"/>
      <c r="P507" s="463"/>
      <c r="Q507" s="463"/>
      <c r="R507" s="463"/>
      <c r="S507" s="463"/>
      <c r="T507" s="463"/>
      <c r="U507" s="463"/>
      <c r="V507" s="463"/>
      <c r="W507" s="463"/>
      <c r="X507" s="463"/>
      <c r="Y507" s="463"/>
      <c r="Z507" s="463"/>
    </row>
    <row r="508" spans="1:26" ht="15.75" customHeight="1" x14ac:dyDescent="0.3">
      <c r="A508" s="463"/>
      <c r="B508" s="463"/>
      <c r="C508" s="463"/>
      <c r="D508" s="463"/>
      <c r="E508" s="463"/>
      <c r="F508" s="463"/>
      <c r="G508" s="463"/>
      <c r="H508" s="463"/>
      <c r="I508" s="463"/>
      <c r="J508" s="463"/>
      <c r="K508" s="463"/>
      <c r="L508" s="463"/>
      <c r="M508" s="463"/>
      <c r="N508" s="463"/>
      <c r="O508" s="463"/>
      <c r="P508" s="463"/>
      <c r="Q508" s="463"/>
      <c r="R508" s="463"/>
      <c r="S508" s="463"/>
      <c r="T508" s="463"/>
      <c r="U508" s="463"/>
      <c r="V508" s="463"/>
      <c r="W508" s="463"/>
      <c r="X508" s="463"/>
      <c r="Y508" s="463"/>
      <c r="Z508" s="463"/>
    </row>
    <row r="509" spans="1:26" ht="15.75" customHeight="1" x14ac:dyDescent="0.3">
      <c r="A509" s="463"/>
      <c r="B509" s="463"/>
      <c r="C509" s="463"/>
      <c r="D509" s="463"/>
      <c r="E509" s="463"/>
      <c r="F509" s="463"/>
      <c r="G509" s="463"/>
      <c r="H509" s="463"/>
      <c r="I509" s="463"/>
      <c r="J509" s="463"/>
      <c r="K509" s="463"/>
      <c r="L509" s="463"/>
      <c r="M509" s="463"/>
      <c r="N509" s="463"/>
      <c r="O509" s="463"/>
      <c r="P509" s="463"/>
      <c r="Q509" s="463"/>
      <c r="R509" s="463"/>
      <c r="S509" s="463"/>
      <c r="T509" s="463"/>
      <c r="U509" s="463"/>
      <c r="V509" s="463"/>
      <c r="W509" s="463"/>
      <c r="X509" s="463"/>
      <c r="Y509" s="463"/>
      <c r="Z509" s="463"/>
    </row>
    <row r="510" spans="1:26" ht="15.75" customHeight="1" x14ac:dyDescent="0.3">
      <c r="A510" s="463"/>
      <c r="B510" s="463"/>
      <c r="C510" s="463"/>
      <c r="D510" s="463"/>
      <c r="E510" s="463"/>
      <c r="F510" s="463"/>
      <c r="G510" s="463"/>
      <c r="H510" s="463"/>
      <c r="I510" s="463"/>
      <c r="J510" s="463"/>
      <c r="K510" s="463"/>
      <c r="L510" s="463"/>
      <c r="M510" s="463"/>
      <c r="N510" s="463"/>
      <c r="O510" s="463"/>
      <c r="P510" s="463"/>
      <c r="Q510" s="463"/>
      <c r="R510" s="463"/>
      <c r="S510" s="463"/>
      <c r="T510" s="463"/>
      <c r="U510" s="463"/>
      <c r="V510" s="463"/>
      <c r="W510" s="463"/>
      <c r="X510" s="463"/>
      <c r="Y510" s="463"/>
      <c r="Z510" s="463"/>
    </row>
    <row r="511" spans="1:26" ht="15.75" customHeight="1" x14ac:dyDescent="0.3">
      <c r="A511" s="463"/>
      <c r="B511" s="463"/>
      <c r="C511" s="463"/>
      <c r="D511" s="463"/>
      <c r="E511" s="463"/>
      <c r="F511" s="463"/>
      <c r="G511" s="463"/>
      <c r="H511" s="463"/>
      <c r="I511" s="463"/>
      <c r="J511" s="463"/>
      <c r="K511" s="463"/>
      <c r="L511" s="463"/>
      <c r="M511" s="463"/>
      <c r="N511" s="463"/>
      <c r="O511" s="463"/>
      <c r="P511" s="463"/>
      <c r="Q511" s="463"/>
      <c r="R511" s="463"/>
      <c r="S511" s="463"/>
      <c r="T511" s="463"/>
      <c r="U511" s="463"/>
      <c r="V511" s="463"/>
      <c r="W511" s="463"/>
      <c r="X511" s="463"/>
      <c r="Y511" s="463"/>
      <c r="Z511" s="463"/>
    </row>
    <row r="512" spans="1:26" ht="15.75" customHeight="1" x14ac:dyDescent="0.3">
      <c r="A512" s="463"/>
      <c r="B512" s="463"/>
      <c r="C512" s="463"/>
      <c r="D512" s="463"/>
      <c r="E512" s="463"/>
      <c r="F512" s="463"/>
      <c r="G512" s="463"/>
      <c r="H512" s="463"/>
      <c r="I512" s="463"/>
      <c r="J512" s="463"/>
      <c r="K512" s="463"/>
      <c r="L512" s="463"/>
      <c r="M512" s="463"/>
      <c r="N512" s="463"/>
      <c r="O512" s="463"/>
      <c r="P512" s="463"/>
      <c r="Q512" s="463"/>
      <c r="R512" s="463"/>
      <c r="S512" s="463"/>
      <c r="T512" s="463"/>
      <c r="U512" s="463"/>
      <c r="V512" s="463"/>
      <c r="W512" s="463"/>
      <c r="X512" s="463"/>
      <c r="Y512" s="463"/>
      <c r="Z512" s="463"/>
    </row>
    <row r="513" spans="1:26" ht="15.75" customHeight="1" x14ac:dyDescent="0.3">
      <c r="A513" s="463"/>
      <c r="B513" s="463"/>
      <c r="C513" s="463"/>
      <c r="D513" s="463"/>
      <c r="E513" s="463"/>
      <c r="F513" s="463"/>
      <c r="G513" s="463"/>
      <c r="H513" s="463"/>
      <c r="I513" s="463"/>
      <c r="J513" s="463"/>
      <c r="K513" s="463"/>
      <c r="L513" s="463"/>
      <c r="M513" s="463"/>
      <c r="N513" s="463"/>
      <c r="O513" s="463"/>
      <c r="P513" s="463"/>
      <c r="Q513" s="463"/>
      <c r="R513" s="463"/>
      <c r="S513" s="463"/>
      <c r="T513" s="463"/>
      <c r="U513" s="463"/>
      <c r="V513" s="463"/>
      <c r="W513" s="463"/>
      <c r="X513" s="463"/>
      <c r="Y513" s="463"/>
      <c r="Z513" s="463"/>
    </row>
    <row r="514" spans="1:26" ht="15.75" customHeight="1" x14ac:dyDescent="0.3">
      <c r="A514" s="463"/>
      <c r="B514" s="463"/>
      <c r="C514" s="463"/>
      <c r="D514" s="463"/>
      <c r="E514" s="463"/>
      <c r="F514" s="463"/>
      <c r="G514" s="463"/>
      <c r="H514" s="463"/>
      <c r="I514" s="463"/>
      <c r="J514" s="463"/>
      <c r="K514" s="463"/>
      <c r="L514" s="463"/>
      <c r="M514" s="463"/>
      <c r="N514" s="463"/>
      <c r="O514" s="463"/>
      <c r="P514" s="463"/>
      <c r="Q514" s="463"/>
      <c r="R514" s="463"/>
      <c r="S514" s="463"/>
      <c r="T514" s="463"/>
      <c r="U514" s="463"/>
      <c r="V514" s="463"/>
      <c r="W514" s="463"/>
      <c r="X514" s="463"/>
      <c r="Y514" s="463"/>
      <c r="Z514" s="463"/>
    </row>
    <row r="515" spans="1:26" ht="15.75" customHeight="1" x14ac:dyDescent="0.3">
      <c r="A515" s="463"/>
      <c r="B515" s="463"/>
      <c r="C515" s="463"/>
      <c r="D515" s="463"/>
      <c r="E515" s="463"/>
      <c r="F515" s="463"/>
      <c r="G515" s="463"/>
      <c r="H515" s="463"/>
      <c r="I515" s="463"/>
      <c r="J515" s="463"/>
      <c r="K515" s="463"/>
      <c r="L515" s="463"/>
      <c r="M515" s="463"/>
      <c r="N515" s="463"/>
      <c r="O515" s="463"/>
      <c r="P515" s="463"/>
      <c r="Q515" s="463"/>
      <c r="R515" s="463"/>
      <c r="S515" s="463"/>
      <c r="T515" s="463"/>
      <c r="U515" s="463"/>
      <c r="V515" s="463"/>
      <c r="W515" s="463"/>
      <c r="X515" s="463"/>
      <c r="Y515" s="463"/>
      <c r="Z515" s="463"/>
    </row>
    <row r="516" spans="1:26" ht="15.75" customHeight="1" x14ac:dyDescent="0.3">
      <c r="A516" s="463"/>
      <c r="B516" s="463"/>
      <c r="C516" s="463"/>
      <c r="D516" s="463"/>
      <c r="E516" s="463"/>
      <c r="F516" s="463"/>
      <c r="G516" s="463"/>
      <c r="H516" s="463"/>
      <c r="I516" s="463"/>
      <c r="J516" s="463"/>
      <c r="K516" s="463"/>
      <c r="L516" s="463"/>
      <c r="M516" s="463"/>
      <c r="N516" s="463"/>
      <c r="O516" s="463"/>
      <c r="P516" s="463"/>
      <c r="Q516" s="463"/>
      <c r="R516" s="463"/>
      <c r="S516" s="463"/>
      <c r="T516" s="463"/>
      <c r="U516" s="463"/>
      <c r="V516" s="463"/>
      <c r="W516" s="463"/>
      <c r="X516" s="463"/>
      <c r="Y516" s="463"/>
      <c r="Z516" s="463"/>
    </row>
    <row r="517" spans="1:26" ht="15.75" customHeight="1" x14ac:dyDescent="0.3">
      <c r="A517" s="463"/>
      <c r="B517" s="463"/>
      <c r="C517" s="463"/>
      <c r="D517" s="463"/>
      <c r="E517" s="463"/>
      <c r="F517" s="463"/>
      <c r="G517" s="463"/>
      <c r="H517" s="463"/>
      <c r="I517" s="463"/>
      <c r="J517" s="463"/>
      <c r="K517" s="463"/>
      <c r="L517" s="463"/>
      <c r="M517" s="463"/>
      <c r="N517" s="463"/>
      <c r="O517" s="463"/>
      <c r="P517" s="463"/>
      <c r="Q517" s="463"/>
      <c r="R517" s="463"/>
      <c r="S517" s="463"/>
      <c r="T517" s="463"/>
      <c r="U517" s="463"/>
      <c r="V517" s="463"/>
      <c r="W517" s="463"/>
      <c r="X517" s="463"/>
      <c r="Y517" s="463"/>
      <c r="Z517" s="463"/>
    </row>
    <row r="518" spans="1:26" ht="15.75" customHeight="1" x14ac:dyDescent="0.3">
      <c r="A518" s="463"/>
      <c r="B518" s="463"/>
      <c r="C518" s="463"/>
      <c r="D518" s="463"/>
      <c r="E518" s="463"/>
      <c r="F518" s="463"/>
      <c r="G518" s="463"/>
      <c r="H518" s="463"/>
      <c r="I518" s="463"/>
      <c r="J518" s="463"/>
      <c r="K518" s="463"/>
      <c r="L518" s="463"/>
      <c r="M518" s="463"/>
      <c r="N518" s="463"/>
      <c r="O518" s="463"/>
      <c r="P518" s="463"/>
      <c r="Q518" s="463"/>
      <c r="R518" s="463"/>
      <c r="S518" s="463"/>
      <c r="T518" s="463"/>
      <c r="U518" s="463"/>
      <c r="V518" s="463"/>
      <c r="W518" s="463"/>
      <c r="X518" s="463"/>
      <c r="Y518" s="463"/>
      <c r="Z518" s="463"/>
    </row>
    <row r="519" spans="1:26" ht="15.75" customHeight="1" x14ac:dyDescent="0.3">
      <c r="A519" s="463"/>
      <c r="B519" s="463"/>
      <c r="C519" s="463"/>
      <c r="D519" s="463"/>
      <c r="E519" s="463"/>
      <c r="F519" s="463"/>
      <c r="G519" s="463"/>
      <c r="H519" s="463"/>
      <c r="I519" s="463"/>
      <c r="J519" s="463"/>
      <c r="K519" s="463"/>
      <c r="L519" s="463"/>
      <c r="M519" s="463"/>
      <c r="N519" s="463"/>
      <c r="O519" s="463"/>
      <c r="P519" s="463"/>
      <c r="Q519" s="463"/>
      <c r="R519" s="463"/>
      <c r="S519" s="463"/>
      <c r="T519" s="463"/>
      <c r="U519" s="463"/>
      <c r="V519" s="463"/>
      <c r="W519" s="463"/>
      <c r="X519" s="463"/>
      <c r="Y519" s="463"/>
      <c r="Z519" s="463"/>
    </row>
    <row r="520" spans="1:26" ht="15.75" customHeight="1" x14ac:dyDescent="0.3">
      <c r="A520" s="463"/>
      <c r="B520" s="463"/>
      <c r="C520" s="463"/>
      <c r="D520" s="463"/>
      <c r="E520" s="463"/>
      <c r="F520" s="463"/>
      <c r="G520" s="463"/>
      <c r="H520" s="463"/>
      <c r="I520" s="463"/>
      <c r="J520" s="463"/>
      <c r="K520" s="463"/>
      <c r="L520" s="463"/>
      <c r="M520" s="463"/>
      <c r="N520" s="463"/>
      <c r="O520" s="463"/>
      <c r="P520" s="463"/>
      <c r="Q520" s="463"/>
      <c r="R520" s="463"/>
      <c r="S520" s="463"/>
      <c r="T520" s="463"/>
      <c r="U520" s="463"/>
      <c r="V520" s="463"/>
      <c r="W520" s="463"/>
      <c r="X520" s="463"/>
      <c r="Y520" s="463"/>
      <c r="Z520" s="463"/>
    </row>
    <row r="521" spans="1:26" ht="15.75" customHeight="1" x14ac:dyDescent="0.3">
      <c r="A521" s="463"/>
      <c r="B521" s="463"/>
      <c r="C521" s="463"/>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3"/>
      <c r="Z521" s="463"/>
    </row>
    <row r="522" spans="1:26" ht="15.75" customHeight="1" x14ac:dyDescent="0.3">
      <c r="A522" s="463"/>
      <c r="B522" s="463"/>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3"/>
      <c r="Z522" s="463"/>
    </row>
    <row r="523" spans="1:26" ht="15.75" customHeight="1" x14ac:dyDescent="0.3">
      <c r="A523" s="463"/>
      <c r="B523" s="463"/>
      <c r="C523" s="463"/>
      <c r="D523" s="463"/>
      <c r="E523" s="463"/>
      <c r="F523" s="463"/>
      <c r="G523" s="463"/>
      <c r="H523" s="463"/>
      <c r="I523" s="463"/>
      <c r="J523" s="463"/>
      <c r="K523" s="463"/>
      <c r="L523" s="463"/>
      <c r="M523" s="463"/>
      <c r="N523" s="463"/>
      <c r="O523" s="463"/>
      <c r="P523" s="463"/>
      <c r="Q523" s="463"/>
      <c r="R523" s="463"/>
      <c r="S523" s="463"/>
      <c r="T523" s="463"/>
      <c r="U523" s="463"/>
      <c r="V523" s="463"/>
      <c r="W523" s="463"/>
      <c r="X523" s="463"/>
      <c r="Y523" s="463"/>
      <c r="Z523" s="463"/>
    </row>
    <row r="524" spans="1:26" ht="15.75" customHeight="1" x14ac:dyDescent="0.3">
      <c r="A524" s="463"/>
      <c r="B524" s="463"/>
      <c r="C524" s="463"/>
      <c r="D524" s="463"/>
      <c r="E524" s="463"/>
      <c r="F524" s="463"/>
      <c r="G524" s="463"/>
      <c r="H524" s="463"/>
      <c r="I524" s="463"/>
      <c r="J524" s="463"/>
      <c r="K524" s="463"/>
      <c r="L524" s="463"/>
      <c r="M524" s="463"/>
      <c r="N524" s="463"/>
      <c r="O524" s="463"/>
      <c r="P524" s="463"/>
      <c r="Q524" s="463"/>
      <c r="R524" s="463"/>
      <c r="S524" s="463"/>
      <c r="T524" s="463"/>
      <c r="U524" s="463"/>
      <c r="V524" s="463"/>
      <c r="W524" s="463"/>
      <c r="X524" s="463"/>
      <c r="Y524" s="463"/>
      <c r="Z524" s="463"/>
    </row>
    <row r="525" spans="1:26" ht="15.75" customHeight="1" x14ac:dyDescent="0.3">
      <c r="A525" s="463"/>
      <c r="B525" s="463"/>
      <c r="C525" s="463"/>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3"/>
      <c r="Z525" s="463"/>
    </row>
    <row r="526" spans="1:26" ht="15.75" customHeight="1" x14ac:dyDescent="0.3">
      <c r="A526" s="463"/>
      <c r="B526" s="463"/>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3"/>
      <c r="Z526" s="463"/>
    </row>
    <row r="527" spans="1:26" ht="15.75" customHeight="1" x14ac:dyDescent="0.3">
      <c r="A527" s="463"/>
      <c r="B527" s="463"/>
      <c r="C527" s="463"/>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3"/>
      <c r="Z527" s="463"/>
    </row>
    <row r="528" spans="1:26" ht="15.75" customHeight="1" x14ac:dyDescent="0.3">
      <c r="A528" s="463"/>
      <c r="B528" s="463"/>
      <c r="C528" s="463"/>
      <c r="D528" s="463"/>
      <c r="E528" s="463"/>
      <c r="F528" s="463"/>
      <c r="G528" s="463"/>
      <c r="H528" s="463"/>
      <c r="I528" s="463"/>
      <c r="J528" s="463"/>
      <c r="K528" s="463"/>
      <c r="L528" s="463"/>
      <c r="M528" s="463"/>
      <c r="N528" s="463"/>
      <c r="O528" s="463"/>
      <c r="P528" s="463"/>
      <c r="Q528" s="463"/>
      <c r="R528" s="463"/>
      <c r="S528" s="463"/>
      <c r="T528" s="463"/>
      <c r="U528" s="463"/>
      <c r="V528" s="463"/>
      <c r="W528" s="463"/>
      <c r="X528" s="463"/>
      <c r="Y528" s="463"/>
      <c r="Z528" s="463"/>
    </row>
    <row r="529" spans="1:26" ht="15.75" customHeight="1" x14ac:dyDescent="0.3">
      <c r="A529" s="463"/>
      <c r="B529" s="463"/>
      <c r="C529" s="463"/>
      <c r="D529" s="463"/>
      <c r="E529" s="463"/>
      <c r="F529" s="463"/>
      <c r="G529" s="463"/>
      <c r="H529" s="463"/>
      <c r="I529" s="463"/>
      <c r="J529" s="463"/>
      <c r="K529" s="463"/>
      <c r="L529" s="463"/>
      <c r="M529" s="463"/>
      <c r="N529" s="463"/>
      <c r="O529" s="463"/>
      <c r="P529" s="463"/>
      <c r="Q529" s="463"/>
      <c r="R529" s="463"/>
      <c r="S529" s="463"/>
      <c r="T529" s="463"/>
      <c r="U529" s="463"/>
      <c r="V529" s="463"/>
      <c r="W529" s="463"/>
      <c r="X529" s="463"/>
      <c r="Y529" s="463"/>
      <c r="Z529" s="463"/>
    </row>
    <row r="530" spans="1:26" ht="15.75" customHeight="1" x14ac:dyDescent="0.3">
      <c r="A530" s="463"/>
      <c r="B530" s="463"/>
      <c r="C530" s="463"/>
      <c r="D530" s="463"/>
      <c r="E530" s="463"/>
      <c r="F530" s="463"/>
      <c r="G530" s="463"/>
      <c r="H530" s="463"/>
      <c r="I530" s="463"/>
      <c r="J530" s="463"/>
      <c r="K530" s="463"/>
      <c r="L530" s="463"/>
      <c r="M530" s="463"/>
      <c r="N530" s="463"/>
      <c r="O530" s="463"/>
      <c r="P530" s="463"/>
      <c r="Q530" s="463"/>
      <c r="R530" s="463"/>
      <c r="S530" s="463"/>
      <c r="T530" s="463"/>
      <c r="U530" s="463"/>
      <c r="V530" s="463"/>
      <c r="W530" s="463"/>
      <c r="X530" s="463"/>
      <c r="Y530" s="463"/>
      <c r="Z530" s="463"/>
    </row>
    <row r="531" spans="1:26" ht="15.75" customHeight="1" x14ac:dyDescent="0.3">
      <c r="A531" s="463"/>
      <c r="B531" s="463"/>
      <c r="C531" s="463"/>
      <c r="D531" s="463"/>
      <c r="E531" s="463"/>
      <c r="F531" s="463"/>
      <c r="G531" s="463"/>
      <c r="H531" s="463"/>
      <c r="I531" s="463"/>
      <c r="J531" s="463"/>
      <c r="K531" s="463"/>
      <c r="L531" s="463"/>
      <c r="M531" s="463"/>
      <c r="N531" s="463"/>
      <c r="O531" s="463"/>
      <c r="P531" s="463"/>
      <c r="Q531" s="463"/>
      <c r="R531" s="463"/>
      <c r="S531" s="463"/>
      <c r="T531" s="463"/>
      <c r="U531" s="463"/>
      <c r="V531" s="463"/>
      <c r="W531" s="463"/>
      <c r="X531" s="463"/>
      <c r="Y531" s="463"/>
      <c r="Z531" s="463"/>
    </row>
    <row r="532" spans="1:26" ht="15.75" customHeight="1" x14ac:dyDescent="0.3">
      <c r="A532" s="463"/>
      <c r="B532" s="463"/>
      <c r="C532" s="463"/>
      <c r="D532" s="463"/>
      <c r="E532" s="463"/>
      <c r="F532" s="463"/>
      <c r="G532" s="463"/>
      <c r="H532" s="463"/>
      <c r="I532" s="463"/>
      <c r="J532" s="463"/>
      <c r="K532" s="463"/>
      <c r="L532" s="463"/>
      <c r="M532" s="463"/>
      <c r="N532" s="463"/>
      <c r="O532" s="463"/>
      <c r="P532" s="463"/>
      <c r="Q532" s="463"/>
      <c r="R532" s="463"/>
      <c r="S532" s="463"/>
      <c r="T532" s="463"/>
      <c r="U532" s="463"/>
      <c r="V532" s="463"/>
      <c r="W532" s="463"/>
      <c r="X532" s="463"/>
      <c r="Y532" s="463"/>
      <c r="Z532" s="463"/>
    </row>
    <row r="533" spans="1:26" ht="15.75" customHeight="1" x14ac:dyDescent="0.3">
      <c r="A533" s="463"/>
      <c r="B533" s="463"/>
      <c r="C533" s="463"/>
      <c r="D533" s="463"/>
      <c r="E533" s="463"/>
      <c r="F533" s="463"/>
      <c r="G533" s="463"/>
      <c r="H533" s="463"/>
      <c r="I533" s="463"/>
      <c r="J533" s="463"/>
      <c r="K533" s="463"/>
      <c r="L533" s="463"/>
      <c r="M533" s="463"/>
      <c r="N533" s="463"/>
      <c r="O533" s="463"/>
      <c r="P533" s="463"/>
      <c r="Q533" s="463"/>
      <c r="R533" s="463"/>
      <c r="S533" s="463"/>
      <c r="T533" s="463"/>
      <c r="U533" s="463"/>
      <c r="V533" s="463"/>
      <c r="W533" s="463"/>
      <c r="X533" s="463"/>
      <c r="Y533" s="463"/>
      <c r="Z533" s="463"/>
    </row>
    <row r="534" spans="1:26" ht="15.75" customHeight="1" x14ac:dyDescent="0.3">
      <c r="A534" s="463"/>
      <c r="B534" s="463"/>
      <c r="C534" s="463"/>
      <c r="D534" s="463"/>
      <c r="E534" s="463"/>
      <c r="F534" s="463"/>
      <c r="G534" s="463"/>
      <c r="H534" s="463"/>
      <c r="I534" s="463"/>
      <c r="J534" s="463"/>
      <c r="K534" s="463"/>
      <c r="L534" s="463"/>
      <c r="M534" s="463"/>
      <c r="N534" s="463"/>
      <c r="O534" s="463"/>
      <c r="P534" s="463"/>
      <c r="Q534" s="463"/>
      <c r="R534" s="463"/>
      <c r="S534" s="463"/>
      <c r="T534" s="463"/>
      <c r="U534" s="463"/>
      <c r="V534" s="463"/>
      <c r="W534" s="463"/>
      <c r="X534" s="463"/>
      <c r="Y534" s="463"/>
      <c r="Z534" s="463"/>
    </row>
    <row r="535" spans="1:26" ht="15.75" customHeight="1" x14ac:dyDescent="0.3">
      <c r="A535" s="463"/>
      <c r="B535" s="463"/>
      <c r="C535" s="463"/>
      <c r="D535" s="463"/>
      <c r="E535" s="463"/>
      <c r="F535" s="463"/>
      <c r="G535" s="463"/>
      <c r="H535" s="463"/>
      <c r="I535" s="463"/>
      <c r="J535" s="463"/>
      <c r="K535" s="463"/>
      <c r="L535" s="463"/>
      <c r="M535" s="463"/>
      <c r="N535" s="463"/>
      <c r="O535" s="463"/>
      <c r="P535" s="463"/>
      <c r="Q535" s="463"/>
      <c r="R535" s="463"/>
      <c r="S535" s="463"/>
      <c r="T535" s="463"/>
      <c r="U535" s="463"/>
      <c r="V535" s="463"/>
      <c r="W535" s="463"/>
      <c r="X535" s="463"/>
      <c r="Y535" s="463"/>
      <c r="Z535" s="463"/>
    </row>
    <row r="536" spans="1:26" ht="15.75" customHeight="1" x14ac:dyDescent="0.3">
      <c r="A536" s="463"/>
      <c r="B536" s="463"/>
      <c r="C536" s="463"/>
      <c r="D536" s="463"/>
      <c r="E536" s="463"/>
      <c r="F536" s="463"/>
      <c r="G536" s="463"/>
      <c r="H536" s="463"/>
      <c r="I536" s="463"/>
      <c r="J536" s="463"/>
      <c r="K536" s="463"/>
      <c r="L536" s="463"/>
      <c r="M536" s="463"/>
      <c r="N536" s="463"/>
      <c r="O536" s="463"/>
      <c r="P536" s="463"/>
      <c r="Q536" s="463"/>
      <c r="R536" s="463"/>
      <c r="S536" s="463"/>
      <c r="T536" s="463"/>
      <c r="U536" s="463"/>
      <c r="V536" s="463"/>
      <c r="W536" s="463"/>
      <c r="X536" s="463"/>
      <c r="Y536" s="463"/>
      <c r="Z536" s="463"/>
    </row>
    <row r="537" spans="1:26" ht="15.75" customHeight="1" x14ac:dyDescent="0.3">
      <c r="A537" s="463"/>
      <c r="B537" s="463"/>
      <c r="C537" s="463"/>
      <c r="D537" s="463"/>
      <c r="E537" s="463"/>
      <c r="F537" s="463"/>
      <c r="G537" s="463"/>
      <c r="H537" s="463"/>
      <c r="I537" s="463"/>
      <c r="J537" s="463"/>
      <c r="K537" s="463"/>
      <c r="L537" s="463"/>
      <c r="M537" s="463"/>
      <c r="N537" s="463"/>
      <c r="O537" s="463"/>
      <c r="P537" s="463"/>
      <c r="Q537" s="463"/>
      <c r="R537" s="463"/>
      <c r="S537" s="463"/>
      <c r="T537" s="463"/>
      <c r="U537" s="463"/>
      <c r="V537" s="463"/>
      <c r="W537" s="463"/>
      <c r="X537" s="463"/>
      <c r="Y537" s="463"/>
      <c r="Z537" s="463"/>
    </row>
    <row r="538" spans="1:26" ht="15.75" customHeight="1" x14ac:dyDescent="0.3">
      <c r="A538" s="463"/>
      <c r="B538" s="463"/>
      <c r="C538" s="463"/>
      <c r="D538" s="463"/>
      <c r="E538" s="463"/>
      <c r="F538" s="463"/>
      <c r="G538" s="463"/>
      <c r="H538" s="463"/>
      <c r="I538" s="463"/>
      <c r="J538" s="463"/>
      <c r="K538" s="463"/>
      <c r="L538" s="463"/>
      <c r="M538" s="463"/>
      <c r="N538" s="463"/>
      <c r="O538" s="463"/>
      <c r="P538" s="463"/>
      <c r="Q538" s="463"/>
      <c r="R538" s="463"/>
      <c r="S538" s="463"/>
      <c r="T538" s="463"/>
      <c r="U538" s="463"/>
      <c r="V538" s="463"/>
      <c r="W538" s="463"/>
      <c r="X538" s="463"/>
      <c r="Y538" s="463"/>
      <c r="Z538" s="463"/>
    </row>
    <row r="539" spans="1:26" ht="15.75" customHeight="1" x14ac:dyDescent="0.3">
      <c r="A539" s="463"/>
      <c r="B539" s="463"/>
      <c r="C539" s="463"/>
      <c r="D539" s="463"/>
      <c r="E539" s="463"/>
      <c r="F539" s="463"/>
      <c r="G539" s="463"/>
      <c r="H539" s="463"/>
      <c r="I539" s="463"/>
      <c r="J539" s="463"/>
      <c r="K539" s="463"/>
      <c r="L539" s="463"/>
      <c r="M539" s="463"/>
      <c r="N539" s="463"/>
      <c r="O539" s="463"/>
      <c r="P539" s="463"/>
      <c r="Q539" s="463"/>
      <c r="R539" s="463"/>
      <c r="S539" s="463"/>
      <c r="T539" s="463"/>
      <c r="U539" s="463"/>
      <c r="V539" s="463"/>
      <c r="W539" s="463"/>
      <c r="X539" s="463"/>
      <c r="Y539" s="463"/>
      <c r="Z539" s="463"/>
    </row>
    <row r="540" spans="1:26" ht="15.75" customHeight="1" x14ac:dyDescent="0.3">
      <c r="A540" s="463"/>
      <c r="B540" s="463"/>
      <c r="C540" s="463"/>
      <c r="D540" s="463"/>
      <c r="E540" s="463"/>
      <c r="F540" s="463"/>
      <c r="G540" s="463"/>
      <c r="H540" s="463"/>
      <c r="I540" s="463"/>
      <c r="J540" s="463"/>
      <c r="K540" s="463"/>
      <c r="L540" s="463"/>
      <c r="M540" s="463"/>
      <c r="N540" s="463"/>
      <c r="O540" s="463"/>
      <c r="P540" s="463"/>
      <c r="Q540" s="463"/>
      <c r="R540" s="463"/>
      <c r="S540" s="463"/>
      <c r="T540" s="463"/>
      <c r="U540" s="463"/>
      <c r="V540" s="463"/>
      <c r="W540" s="463"/>
      <c r="X540" s="463"/>
      <c r="Y540" s="463"/>
      <c r="Z540" s="463"/>
    </row>
    <row r="541" spans="1:26" ht="15.75" customHeight="1" x14ac:dyDescent="0.3">
      <c r="A541" s="463"/>
      <c r="B541" s="463"/>
      <c r="C541" s="463"/>
      <c r="D541" s="463"/>
      <c r="E541" s="463"/>
      <c r="F541" s="463"/>
      <c r="G541" s="463"/>
      <c r="H541" s="463"/>
      <c r="I541" s="463"/>
      <c r="J541" s="463"/>
      <c r="K541" s="463"/>
      <c r="L541" s="463"/>
      <c r="M541" s="463"/>
      <c r="N541" s="463"/>
      <c r="O541" s="463"/>
      <c r="P541" s="463"/>
      <c r="Q541" s="463"/>
      <c r="R541" s="463"/>
      <c r="S541" s="463"/>
      <c r="T541" s="463"/>
      <c r="U541" s="463"/>
      <c r="V541" s="463"/>
      <c r="W541" s="463"/>
      <c r="X541" s="463"/>
      <c r="Y541" s="463"/>
      <c r="Z541" s="463"/>
    </row>
    <row r="542" spans="1:26" ht="15.75" customHeight="1" x14ac:dyDescent="0.3">
      <c r="A542" s="463"/>
      <c r="B542" s="463"/>
      <c r="C542" s="463"/>
      <c r="D542" s="463"/>
      <c r="E542" s="463"/>
      <c r="F542" s="463"/>
      <c r="G542" s="463"/>
      <c r="H542" s="463"/>
      <c r="I542" s="463"/>
      <c r="J542" s="463"/>
      <c r="K542" s="463"/>
      <c r="L542" s="463"/>
      <c r="M542" s="463"/>
      <c r="N542" s="463"/>
      <c r="O542" s="463"/>
      <c r="P542" s="463"/>
      <c r="Q542" s="463"/>
      <c r="R542" s="463"/>
      <c r="S542" s="463"/>
      <c r="T542" s="463"/>
      <c r="U542" s="463"/>
      <c r="V542" s="463"/>
      <c r="W542" s="463"/>
      <c r="X542" s="463"/>
      <c r="Y542" s="463"/>
      <c r="Z542" s="463"/>
    </row>
    <row r="543" spans="1:26" ht="15.75" customHeight="1" x14ac:dyDescent="0.3">
      <c r="A543" s="463"/>
      <c r="B543" s="463"/>
      <c r="C543" s="463"/>
      <c r="D543" s="463"/>
      <c r="E543" s="463"/>
      <c r="F543" s="463"/>
      <c r="G543" s="463"/>
      <c r="H543" s="463"/>
      <c r="I543" s="463"/>
      <c r="J543" s="463"/>
      <c r="K543" s="463"/>
      <c r="L543" s="463"/>
      <c r="M543" s="463"/>
      <c r="N543" s="463"/>
      <c r="O543" s="463"/>
      <c r="P543" s="463"/>
      <c r="Q543" s="463"/>
      <c r="R543" s="463"/>
      <c r="S543" s="463"/>
      <c r="T543" s="463"/>
      <c r="U543" s="463"/>
      <c r="V543" s="463"/>
      <c r="W543" s="463"/>
      <c r="X543" s="463"/>
      <c r="Y543" s="463"/>
      <c r="Z543" s="463"/>
    </row>
    <row r="544" spans="1:26" ht="15.75" customHeight="1" x14ac:dyDescent="0.3">
      <c r="A544" s="463"/>
      <c r="B544" s="463"/>
      <c r="C544" s="463"/>
      <c r="D544" s="463"/>
      <c r="E544" s="463"/>
      <c r="F544" s="463"/>
      <c r="G544" s="463"/>
      <c r="H544" s="463"/>
      <c r="I544" s="463"/>
      <c r="J544" s="463"/>
      <c r="K544" s="463"/>
      <c r="L544" s="463"/>
      <c r="M544" s="463"/>
      <c r="N544" s="463"/>
      <c r="O544" s="463"/>
      <c r="P544" s="463"/>
      <c r="Q544" s="463"/>
      <c r="R544" s="463"/>
      <c r="S544" s="463"/>
      <c r="T544" s="463"/>
      <c r="U544" s="463"/>
      <c r="V544" s="463"/>
      <c r="W544" s="463"/>
      <c r="X544" s="463"/>
      <c r="Y544" s="463"/>
      <c r="Z544" s="463"/>
    </row>
    <row r="545" spans="1:26" ht="15.75" customHeight="1" x14ac:dyDescent="0.3">
      <c r="A545" s="463"/>
      <c r="B545" s="463"/>
      <c r="C545" s="463"/>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63"/>
      <c r="Z545" s="463"/>
    </row>
    <row r="546" spans="1:26" ht="15.75" customHeight="1" x14ac:dyDescent="0.3">
      <c r="A546" s="463"/>
      <c r="B546" s="463"/>
      <c r="C546" s="463"/>
      <c r="D546" s="463"/>
      <c r="E546" s="463"/>
      <c r="F546" s="463"/>
      <c r="G546" s="463"/>
      <c r="H546" s="463"/>
      <c r="I546" s="463"/>
      <c r="J546" s="463"/>
      <c r="K546" s="463"/>
      <c r="L546" s="463"/>
      <c r="M546" s="463"/>
      <c r="N546" s="463"/>
      <c r="O546" s="463"/>
      <c r="P546" s="463"/>
      <c r="Q546" s="463"/>
      <c r="R546" s="463"/>
      <c r="S546" s="463"/>
      <c r="T546" s="463"/>
      <c r="U546" s="463"/>
      <c r="V546" s="463"/>
      <c r="W546" s="463"/>
      <c r="X546" s="463"/>
      <c r="Y546" s="463"/>
      <c r="Z546" s="463"/>
    </row>
    <row r="547" spans="1:26" ht="15.75" customHeight="1" x14ac:dyDescent="0.3">
      <c r="A547" s="463"/>
      <c r="B547" s="463"/>
      <c r="C547" s="463"/>
      <c r="D547" s="463"/>
      <c r="E547" s="463"/>
      <c r="F547" s="463"/>
      <c r="G547" s="463"/>
      <c r="H547" s="463"/>
      <c r="I547" s="463"/>
      <c r="J547" s="463"/>
      <c r="K547" s="463"/>
      <c r="L547" s="463"/>
      <c r="M547" s="463"/>
      <c r="N547" s="463"/>
      <c r="O547" s="463"/>
      <c r="P547" s="463"/>
      <c r="Q547" s="463"/>
      <c r="R547" s="463"/>
      <c r="S547" s="463"/>
      <c r="T547" s="463"/>
      <c r="U547" s="463"/>
      <c r="V547" s="463"/>
      <c r="W547" s="463"/>
      <c r="X547" s="463"/>
      <c r="Y547" s="463"/>
      <c r="Z547" s="463"/>
    </row>
    <row r="548" spans="1:26" ht="15.75" customHeight="1" x14ac:dyDescent="0.3">
      <c r="A548" s="463"/>
      <c r="B548" s="463"/>
      <c r="C548" s="463"/>
      <c r="D548" s="463"/>
      <c r="E548" s="463"/>
      <c r="F548" s="463"/>
      <c r="G548" s="463"/>
      <c r="H548" s="463"/>
      <c r="I548" s="463"/>
      <c r="J548" s="463"/>
      <c r="K548" s="463"/>
      <c r="L548" s="463"/>
      <c r="M548" s="463"/>
      <c r="N548" s="463"/>
      <c r="O548" s="463"/>
      <c r="P548" s="463"/>
      <c r="Q548" s="463"/>
      <c r="R548" s="463"/>
      <c r="S548" s="463"/>
      <c r="T548" s="463"/>
      <c r="U548" s="463"/>
      <c r="V548" s="463"/>
      <c r="W548" s="463"/>
      <c r="X548" s="463"/>
      <c r="Y548" s="463"/>
      <c r="Z548" s="463"/>
    </row>
    <row r="549" spans="1:26" ht="15.75" customHeight="1" x14ac:dyDescent="0.3">
      <c r="A549" s="463"/>
      <c r="B549" s="463"/>
      <c r="C549" s="463"/>
      <c r="D549" s="463"/>
      <c r="E549" s="463"/>
      <c r="F549" s="463"/>
      <c r="G549" s="463"/>
      <c r="H549" s="463"/>
      <c r="I549" s="463"/>
      <c r="J549" s="463"/>
      <c r="K549" s="463"/>
      <c r="L549" s="463"/>
      <c r="M549" s="463"/>
      <c r="N549" s="463"/>
      <c r="O549" s="463"/>
      <c r="P549" s="463"/>
      <c r="Q549" s="463"/>
      <c r="R549" s="463"/>
      <c r="S549" s="463"/>
      <c r="T549" s="463"/>
      <c r="U549" s="463"/>
      <c r="V549" s="463"/>
      <c r="W549" s="463"/>
      <c r="X549" s="463"/>
      <c r="Y549" s="463"/>
      <c r="Z549" s="463"/>
    </row>
    <row r="550" spans="1:26" ht="15.75" customHeight="1" x14ac:dyDescent="0.3">
      <c r="A550" s="463"/>
      <c r="B550" s="463"/>
      <c r="C550" s="463"/>
      <c r="D550" s="463"/>
      <c r="E550" s="463"/>
      <c r="F550" s="463"/>
      <c r="G550" s="463"/>
      <c r="H550" s="463"/>
      <c r="I550" s="463"/>
      <c r="J550" s="463"/>
      <c r="K550" s="463"/>
      <c r="L550" s="463"/>
      <c r="M550" s="463"/>
      <c r="N550" s="463"/>
      <c r="O550" s="463"/>
      <c r="P550" s="463"/>
      <c r="Q550" s="463"/>
      <c r="R550" s="463"/>
      <c r="S550" s="463"/>
      <c r="T550" s="463"/>
      <c r="U550" s="463"/>
      <c r="V550" s="463"/>
      <c r="W550" s="463"/>
      <c r="X550" s="463"/>
      <c r="Y550" s="463"/>
      <c r="Z550" s="463"/>
    </row>
    <row r="551" spans="1:26" ht="15.75" customHeight="1" x14ac:dyDescent="0.3">
      <c r="A551" s="463"/>
      <c r="B551" s="463"/>
      <c r="C551" s="463"/>
      <c r="D551" s="463"/>
      <c r="E551" s="463"/>
      <c r="F551" s="463"/>
      <c r="G551" s="463"/>
      <c r="H551" s="463"/>
      <c r="I551" s="463"/>
      <c r="J551" s="463"/>
      <c r="K551" s="463"/>
      <c r="L551" s="463"/>
      <c r="M551" s="463"/>
      <c r="N551" s="463"/>
      <c r="O551" s="463"/>
      <c r="P551" s="463"/>
      <c r="Q551" s="463"/>
      <c r="R551" s="463"/>
      <c r="S551" s="463"/>
      <c r="T551" s="463"/>
      <c r="U551" s="463"/>
      <c r="V551" s="463"/>
      <c r="W551" s="463"/>
      <c r="X551" s="463"/>
      <c r="Y551" s="463"/>
      <c r="Z551" s="463"/>
    </row>
    <row r="552" spans="1:26" ht="15.75" customHeight="1" x14ac:dyDescent="0.3">
      <c r="A552" s="463"/>
      <c r="B552" s="463"/>
      <c r="C552" s="463"/>
      <c r="D552" s="463"/>
      <c r="E552" s="463"/>
      <c r="F552" s="463"/>
      <c r="G552" s="463"/>
      <c r="H552" s="463"/>
      <c r="I552" s="463"/>
      <c r="J552" s="463"/>
      <c r="K552" s="463"/>
      <c r="L552" s="463"/>
      <c r="M552" s="463"/>
      <c r="N552" s="463"/>
      <c r="O552" s="463"/>
      <c r="P552" s="463"/>
      <c r="Q552" s="463"/>
      <c r="R552" s="463"/>
      <c r="S552" s="463"/>
      <c r="T552" s="463"/>
      <c r="U552" s="463"/>
      <c r="V552" s="463"/>
      <c r="W552" s="463"/>
      <c r="X552" s="463"/>
      <c r="Y552" s="463"/>
      <c r="Z552" s="463"/>
    </row>
    <row r="553" spans="1:26" ht="15.75" customHeight="1" x14ac:dyDescent="0.3">
      <c r="A553" s="463"/>
      <c r="B553" s="463"/>
      <c r="C553" s="463"/>
      <c r="D553" s="463"/>
      <c r="E553" s="463"/>
      <c r="F553" s="463"/>
      <c r="G553" s="463"/>
      <c r="H553" s="463"/>
      <c r="I553" s="463"/>
      <c r="J553" s="463"/>
      <c r="K553" s="463"/>
      <c r="L553" s="463"/>
      <c r="M553" s="463"/>
      <c r="N553" s="463"/>
      <c r="O553" s="463"/>
      <c r="P553" s="463"/>
      <c r="Q553" s="463"/>
      <c r="R553" s="463"/>
      <c r="S553" s="463"/>
      <c r="T553" s="463"/>
      <c r="U553" s="463"/>
      <c r="V553" s="463"/>
      <c r="W553" s="463"/>
      <c r="X553" s="463"/>
      <c r="Y553" s="463"/>
      <c r="Z553" s="463"/>
    </row>
    <row r="554" spans="1:26" ht="15.75" customHeight="1" x14ac:dyDescent="0.3">
      <c r="A554" s="463"/>
      <c r="B554" s="463"/>
      <c r="C554" s="463"/>
      <c r="D554" s="463"/>
      <c r="E554" s="463"/>
      <c r="F554" s="463"/>
      <c r="G554" s="463"/>
      <c r="H554" s="463"/>
      <c r="I554" s="463"/>
      <c r="J554" s="463"/>
      <c r="K554" s="463"/>
      <c r="L554" s="463"/>
      <c r="M554" s="463"/>
      <c r="N554" s="463"/>
      <c r="O554" s="463"/>
      <c r="P554" s="463"/>
      <c r="Q554" s="463"/>
      <c r="R554" s="463"/>
      <c r="S554" s="463"/>
      <c r="T554" s="463"/>
      <c r="U554" s="463"/>
      <c r="V554" s="463"/>
      <c r="W554" s="463"/>
      <c r="X554" s="463"/>
      <c r="Y554" s="463"/>
      <c r="Z554" s="463"/>
    </row>
    <row r="555" spans="1:26" ht="15.75" customHeight="1" x14ac:dyDescent="0.3">
      <c r="A555" s="463"/>
      <c r="B555" s="463"/>
      <c r="C555" s="463"/>
      <c r="D555" s="463"/>
      <c r="E555" s="463"/>
      <c r="F555" s="463"/>
      <c r="G555" s="463"/>
      <c r="H555" s="463"/>
      <c r="I555" s="463"/>
      <c r="J555" s="463"/>
      <c r="K555" s="463"/>
      <c r="L555" s="463"/>
      <c r="M555" s="463"/>
      <c r="N555" s="463"/>
      <c r="O555" s="463"/>
      <c r="P555" s="463"/>
      <c r="Q555" s="463"/>
      <c r="R555" s="463"/>
      <c r="S555" s="463"/>
      <c r="T555" s="463"/>
      <c r="U555" s="463"/>
      <c r="V555" s="463"/>
      <c r="W555" s="463"/>
      <c r="X555" s="463"/>
      <c r="Y555" s="463"/>
      <c r="Z555" s="463"/>
    </row>
    <row r="556" spans="1:26" ht="15.75" customHeight="1" x14ac:dyDescent="0.3">
      <c r="A556" s="463"/>
      <c r="B556" s="463"/>
      <c r="C556" s="463"/>
      <c r="D556" s="463"/>
      <c r="E556" s="463"/>
      <c r="F556" s="463"/>
      <c r="G556" s="463"/>
      <c r="H556" s="463"/>
      <c r="I556" s="463"/>
      <c r="J556" s="463"/>
      <c r="K556" s="463"/>
      <c r="L556" s="463"/>
      <c r="M556" s="463"/>
      <c r="N556" s="463"/>
      <c r="O556" s="463"/>
      <c r="P556" s="463"/>
      <c r="Q556" s="463"/>
      <c r="R556" s="463"/>
      <c r="S556" s="463"/>
      <c r="T556" s="463"/>
      <c r="U556" s="463"/>
      <c r="V556" s="463"/>
      <c r="W556" s="463"/>
      <c r="X556" s="463"/>
      <c r="Y556" s="463"/>
      <c r="Z556" s="463"/>
    </row>
    <row r="557" spans="1:26" ht="15.75" customHeight="1" x14ac:dyDescent="0.3">
      <c r="A557" s="463"/>
      <c r="B557" s="463"/>
      <c r="C557" s="463"/>
      <c r="D557" s="463"/>
      <c r="E557" s="463"/>
      <c r="F557" s="463"/>
      <c r="G557" s="463"/>
      <c r="H557" s="463"/>
      <c r="I557" s="463"/>
      <c r="J557" s="463"/>
      <c r="K557" s="463"/>
      <c r="L557" s="463"/>
      <c r="M557" s="463"/>
      <c r="N557" s="463"/>
      <c r="O557" s="463"/>
      <c r="P557" s="463"/>
      <c r="Q557" s="463"/>
      <c r="R557" s="463"/>
      <c r="S557" s="463"/>
      <c r="T557" s="463"/>
      <c r="U557" s="463"/>
      <c r="V557" s="463"/>
      <c r="W557" s="463"/>
      <c r="X557" s="463"/>
      <c r="Y557" s="463"/>
      <c r="Z557" s="463"/>
    </row>
    <row r="558" spans="1:26" ht="15.75" customHeight="1" x14ac:dyDescent="0.3">
      <c r="A558" s="463"/>
      <c r="B558" s="463"/>
      <c r="C558" s="463"/>
      <c r="D558" s="463"/>
      <c r="E558" s="463"/>
      <c r="F558" s="463"/>
      <c r="G558" s="463"/>
      <c r="H558" s="463"/>
      <c r="I558" s="463"/>
      <c r="J558" s="463"/>
      <c r="K558" s="463"/>
      <c r="L558" s="463"/>
      <c r="M558" s="463"/>
      <c r="N558" s="463"/>
      <c r="O558" s="463"/>
      <c r="P558" s="463"/>
      <c r="Q558" s="463"/>
      <c r="R558" s="463"/>
      <c r="S558" s="463"/>
      <c r="T558" s="463"/>
      <c r="U558" s="463"/>
      <c r="V558" s="463"/>
      <c r="W558" s="463"/>
      <c r="X558" s="463"/>
      <c r="Y558" s="463"/>
      <c r="Z558" s="463"/>
    </row>
    <row r="559" spans="1:26" ht="15.75" customHeight="1" x14ac:dyDescent="0.3">
      <c r="A559" s="463"/>
      <c r="B559" s="463"/>
      <c r="C559" s="463"/>
      <c r="D559" s="463"/>
      <c r="E559" s="463"/>
      <c r="F559" s="463"/>
      <c r="G559" s="463"/>
      <c r="H559" s="463"/>
      <c r="I559" s="463"/>
      <c r="J559" s="463"/>
      <c r="K559" s="463"/>
      <c r="L559" s="463"/>
      <c r="M559" s="463"/>
      <c r="N559" s="463"/>
      <c r="O559" s="463"/>
      <c r="P559" s="463"/>
      <c r="Q559" s="463"/>
      <c r="R559" s="463"/>
      <c r="S559" s="463"/>
      <c r="T559" s="463"/>
      <c r="U559" s="463"/>
      <c r="V559" s="463"/>
      <c r="W559" s="463"/>
      <c r="X559" s="463"/>
      <c r="Y559" s="463"/>
      <c r="Z559" s="463"/>
    </row>
    <row r="560" spans="1:26" ht="15.75" customHeight="1" x14ac:dyDescent="0.3">
      <c r="A560" s="463"/>
      <c r="B560" s="463"/>
      <c r="C560" s="463"/>
      <c r="D560" s="463"/>
      <c r="E560" s="463"/>
      <c r="F560" s="463"/>
      <c r="G560" s="463"/>
      <c r="H560" s="463"/>
      <c r="I560" s="463"/>
      <c r="J560" s="463"/>
      <c r="K560" s="463"/>
      <c r="L560" s="463"/>
      <c r="M560" s="463"/>
      <c r="N560" s="463"/>
      <c r="O560" s="463"/>
      <c r="P560" s="463"/>
      <c r="Q560" s="463"/>
      <c r="R560" s="463"/>
      <c r="S560" s="463"/>
      <c r="T560" s="463"/>
      <c r="U560" s="463"/>
      <c r="V560" s="463"/>
      <c r="W560" s="463"/>
      <c r="X560" s="463"/>
      <c r="Y560" s="463"/>
      <c r="Z560" s="463"/>
    </row>
    <row r="561" spans="1:26" ht="15.75" customHeight="1" x14ac:dyDescent="0.3">
      <c r="A561" s="463"/>
      <c r="B561" s="463"/>
      <c r="C561" s="463"/>
      <c r="D561" s="463"/>
      <c r="E561" s="463"/>
      <c r="F561" s="463"/>
      <c r="G561" s="463"/>
      <c r="H561" s="463"/>
      <c r="I561" s="463"/>
      <c r="J561" s="463"/>
      <c r="K561" s="463"/>
      <c r="L561" s="463"/>
      <c r="M561" s="463"/>
      <c r="N561" s="463"/>
      <c r="O561" s="463"/>
      <c r="P561" s="463"/>
      <c r="Q561" s="463"/>
      <c r="R561" s="463"/>
      <c r="S561" s="463"/>
      <c r="T561" s="463"/>
      <c r="U561" s="463"/>
      <c r="V561" s="463"/>
      <c r="W561" s="463"/>
      <c r="X561" s="463"/>
      <c r="Y561" s="463"/>
      <c r="Z561" s="463"/>
    </row>
    <row r="562" spans="1:26" ht="15.75" customHeight="1" x14ac:dyDescent="0.3">
      <c r="A562" s="463"/>
      <c r="B562" s="463"/>
      <c r="C562" s="463"/>
      <c r="D562" s="463"/>
      <c r="E562" s="463"/>
      <c r="F562" s="463"/>
      <c r="G562" s="463"/>
      <c r="H562" s="463"/>
      <c r="I562" s="463"/>
      <c r="J562" s="463"/>
      <c r="K562" s="463"/>
      <c r="L562" s="463"/>
      <c r="M562" s="463"/>
      <c r="N562" s="463"/>
      <c r="O562" s="463"/>
      <c r="P562" s="463"/>
      <c r="Q562" s="463"/>
      <c r="R562" s="463"/>
      <c r="S562" s="463"/>
      <c r="T562" s="463"/>
      <c r="U562" s="463"/>
      <c r="V562" s="463"/>
      <c r="W562" s="463"/>
      <c r="X562" s="463"/>
      <c r="Y562" s="463"/>
      <c r="Z562" s="463"/>
    </row>
    <row r="563" spans="1:26" ht="15.75" customHeight="1" x14ac:dyDescent="0.3">
      <c r="A563" s="463"/>
      <c r="B563" s="463"/>
      <c r="C563" s="463"/>
      <c r="D563" s="463"/>
      <c r="E563" s="463"/>
      <c r="F563" s="463"/>
      <c r="G563" s="463"/>
      <c r="H563" s="463"/>
      <c r="I563" s="463"/>
      <c r="J563" s="463"/>
      <c r="K563" s="463"/>
      <c r="L563" s="463"/>
      <c r="M563" s="463"/>
      <c r="N563" s="463"/>
      <c r="O563" s="463"/>
      <c r="P563" s="463"/>
      <c r="Q563" s="463"/>
      <c r="R563" s="463"/>
      <c r="S563" s="463"/>
      <c r="T563" s="463"/>
      <c r="U563" s="463"/>
      <c r="V563" s="463"/>
      <c r="W563" s="463"/>
      <c r="X563" s="463"/>
      <c r="Y563" s="463"/>
      <c r="Z563" s="463"/>
    </row>
    <row r="564" spans="1:26" ht="15.75" customHeight="1" x14ac:dyDescent="0.3">
      <c r="A564" s="463"/>
      <c r="B564" s="463"/>
      <c r="C564" s="463"/>
      <c r="D564" s="463"/>
      <c r="E564" s="463"/>
      <c r="F564" s="463"/>
      <c r="G564" s="463"/>
      <c r="H564" s="463"/>
      <c r="I564" s="463"/>
      <c r="J564" s="463"/>
      <c r="K564" s="463"/>
      <c r="L564" s="463"/>
      <c r="M564" s="463"/>
      <c r="N564" s="463"/>
      <c r="O564" s="463"/>
      <c r="P564" s="463"/>
      <c r="Q564" s="463"/>
      <c r="R564" s="463"/>
      <c r="S564" s="463"/>
      <c r="T564" s="463"/>
      <c r="U564" s="463"/>
      <c r="V564" s="463"/>
      <c r="W564" s="463"/>
      <c r="X564" s="463"/>
      <c r="Y564" s="463"/>
      <c r="Z564" s="463"/>
    </row>
    <row r="565" spans="1:26" ht="15.75" customHeight="1" x14ac:dyDescent="0.3">
      <c r="A565" s="463"/>
      <c r="B565" s="463"/>
      <c r="C565" s="463"/>
      <c r="D565" s="463"/>
      <c r="E565" s="463"/>
      <c r="F565" s="463"/>
      <c r="G565" s="463"/>
      <c r="H565" s="463"/>
      <c r="I565" s="463"/>
      <c r="J565" s="463"/>
      <c r="K565" s="463"/>
      <c r="L565" s="463"/>
      <c r="M565" s="463"/>
      <c r="N565" s="463"/>
      <c r="O565" s="463"/>
      <c r="P565" s="463"/>
      <c r="Q565" s="463"/>
      <c r="R565" s="463"/>
      <c r="S565" s="463"/>
      <c r="T565" s="463"/>
      <c r="U565" s="463"/>
      <c r="V565" s="463"/>
      <c r="W565" s="463"/>
      <c r="X565" s="463"/>
      <c r="Y565" s="463"/>
      <c r="Z565" s="463"/>
    </row>
    <row r="566" spans="1:26" ht="15.75" customHeight="1" x14ac:dyDescent="0.3">
      <c r="A566" s="463"/>
      <c r="B566" s="463"/>
      <c r="C566" s="463"/>
      <c r="D566" s="463"/>
      <c r="E566" s="463"/>
      <c r="F566" s="463"/>
      <c r="G566" s="463"/>
      <c r="H566" s="463"/>
      <c r="I566" s="463"/>
      <c r="J566" s="463"/>
      <c r="K566" s="463"/>
      <c r="L566" s="463"/>
      <c r="M566" s="463"/>
      <c r="N566" s="463"/>
      <c r="O566" s="463"/>
      <c r="P566" s="463"/>
      <c r="Q566" s="463"/>
      <c r="R566" s="463"/>
      <c r="S566" s="463"/>
      <c r="T566" s="463"/>
      <c r="U566" s="463"/>
      <c r="V566" s="463"/>
      <c r="W566" s="463"/>
      <c r="X566" s="463"/>
      <c r="Y566" s="463"/>
      <c r="Z566" s="463"/>
    </row>
    <row r="567" spans="1:26" ht="15.75" customHeight="1" x14ac:dyDescent="0.3">
      <c r="A567" s="463"/>
      <c r="B567" s="463"/>
      <c r="C567" s="463"/>
      <c r="D567" s="463"/>
      <c r="E567" s="463"/>
      <c r="F567" s="463"/>
      <c r="G567" s="463"/>
      <c r="H567" s="463"/>
      <c r="I567" s="463"/>
      <c r="J567" s="463"/>
      <c r="K567" s="463"/>
      <c r="L567" s="463"/>
      <c r="M567" s="463"/>
      <c r="N567" s="463"/>
      <c r="O567" s="463"/>
      <c r="P567" s="463"/>
      <c r="Q567" s="463"/>
      <c r="R567" s="463"/>
      <c r="S567" s="463"/>
      <c r="T567" s="463"/>
      <c r="U567" s="463"/>
      <c r="V567" s="463"/>
      <c r="W567" s="463"/>
      <c r="X567" s="463"/>
      <c r="Y567" s="463"/>
      <c r="Z567" s="463"/>
    </row>
    <row r="568" spans="1:26" ht="15.75" customHeight="1" x14ac:dyDescent="0.3">
      <c r="A568" s="463"/>
      <c r="B568" s="463"/>
      <c r="C568" s="463"/>
      <c r="D568" s="463"/>
      <c r="E568" s="463"/>
      <c r="F568" s="463"/>
      <c r="G568" s="463"/>
      <c r="H568" s="463"/>
      <c r="I568" s="463"/>
      <c r="J568" s="463"/>
      <c r="K568" s="463"/>
      <c r="L568" s="463"/>
      <c r="M568" s="463"/>
      <c r="N568" s="463"/>
      <c r="O568" s="463"/>
      <c r="P568" s="463"/>
      <c r="Q568" s="463"/>
      <c r="R568" s="463"/>
      <c r="S568" s="463"/>
      <c r="T568" s="463"/>
      <c r="U568" s="463"/>
      <c r="V568" s="463"/>
      <c r="W568" s="463"/>
      <c r="X568" s="463"/>
      <c r="Y568" s="463"/>
      <c r="Z568" s="463"/>
    </row>
    <row r="569" spans="1:26" ht="15.75" customHeight="1" x14ac:dyDescent="0.3">
      <c r="A569" s="463"/>
      <c r="B569" s="463"/>
      <c r="C569" s="463"/>
      <c r="D569" s="463"/>
      <c r="E569" s="463"/>
      <c r="F569" s="463"/>
      <c r="G569" s="463"/>
      <c r="H569" s="463"/>
      <c r="I569" s="463"/>
      <c r="J569" s="463"/>
      <c r="K569" s="463"/>
      <c r="L569" s="463"/>
      <c r="M569" s="463"/>
      <c r="N569" s="463"/>
      <c r="O569" s="463"/>
      <c r="P569" s="463"/>
      <c r="Q569" s="463"/>
      <c r="R569" s="463"/>
      <c r="S569" s="463"/>
      <c r="T569" s="463"/>
      <c r="U569" s="463"/>
      <c r="V569" s="463"/>
      <c r="W569" s="463"/>
      <c r="X569" s="463"/>
      <c r="Y569" s="463"/>
      <c r="Z569" s="463"/>
    </row>
    <row r="570" spans="1:26" ht="15.75" customHeight="1" x14ac:dyDescent="0.3">
      <c r="A570" s="463"/>
      <c r="B570" s="463"/>
      <c r="C570" s="463"/>
      <c r="D570" s="463"/>
      <c r="E570" s="463"/>
      <c r="F570" s="463"/>
      <c r="G570" s="463"/>
      <c r="H570" s="463"/>
      <c r="I570" s="463"/>
      <c r="J570" s="463"/>
      <c r="K570" s="463"/>
      <c r="L570" s="463"/>
      <c r="M570" s="463"/>
      <c r="N570" s="463"/>
      <c r="O570" s="463"/>
      <c r="P570" s="463"/>
      <c r="Q570" s="463"/>
      <c r="R570" s="463"/>
      <c r="S570" s="463"/>
      <c r="T570" s="463"/>
      <c r="U570" s="463"/>
      <c r="V570" s="463"/>
      <c r="W570" s="463"/>
      <c r="X570" s="463"/>
      <c r="Y570" s="463"/>
      <c r="Z570" s="463"/>
    </row>
    <row r="571" spans="1:26" ht="15.75" customHeight="1" x14ac:dyDescent="0.3">
      <c r="A571" s="463"/>
      <c r="B571" s="463"/>
      <c r="C571" s="463"/>
      <c r="D571" s="463"/>
      <c r="E571" s="463"/>
      <c r="F571" s="463"/>
      <c r="G571" s="463"/>
      <c r="H571" s="463"/>
      <c r="I571" s="463"/>
      <c r="J571" s="463"/>
      <c r="K571" s="463"/>
      <c r="L571" s="463"/>
      <c r="M571" s="463"/>
      <c r="N571" s="463"/>
      <c r="O571" s="463"/>
      <c r="P571" s="463"/>
      <c r="Q571" s="463"/>
      <c r="R571" s="463"/>
      <c r="S571" s="463"/>
      <c r="T571" s="463"/>
      <c r="U571" s="463"/>
      <c r="V571" s="463"/>
      <c r="W571" s="463"/>
      <c r="X571" s="463"/>
      <c r="Y571" s="463"/>
      <c r="Z571" s="463"/>
    </row>
    <row r="572" spans="1:26" ht="15.75" customHeight="1" x14ac:dyDescent="0.3">
      <c r="A572" s="463"/>
      <c r="B572" s="463"/>
      <c r="C572" s="463"/>
      <c r="D572" s="463"/>
      <c r="E572" s="463"/>
      <c r="F572" s="463"/>
      <c r="G572" s="463"/>
      <c r="H572" s="463"/>
      <c r="I572" s="463"/>
      <c r="J572" s="463"/>
      <c r="K572" s="463"/>
      <c r="L572" s="463"/>
      <c r="M572" s="463"/>
      <c r="N572" s="463"/>
      <c r="O572" s="463"/>
      <c r="P572" s="463"/>
      <c r="Q572" s="463"/>
      <c r="R572" s="463"/>
      <c r="S572" s="463"/>
      <c r="T572" s="463"/>
      <c r="U572" s="463"/>
      <c r="V572" s="463"/>
      <c r="W572" s="463"/>
      <c r="X572" s="463"/>
      <c r="Y572" s="463"/>
      <c r="Z572" s="463"/>
    </row>
    <row r="573" spans="1:26" ht="15.75" customHeight="1" x14ac:dyDescent="0.3">
      <c r="A573" s="463"/>
      <c r="B573" s="463"/>
      <c r="C573" s="463"/>
      <c r="D573" s="463"/>
      <c r="E573" s="463"/>
      <c r="F573" s="463"/>
      <c r="G573" s="463"/>
      <c r="H573" s="463"/>
      <c r="I573" s="463"/>
      <c r="J573" s="463"/>
      <c r="K573" s="463"/>
      <c r="L573" s="463"/>
      <c r="M573" s="463"/>
      <c r="N573" s="463"/>
      <c r="O573" s="463"/>
      <c r="P573" s="463"/>
      <c r="Q573" s="463"/>
      <c r="R573" s="463"/>
      <c r="S573" s="463"/>
      <c r="T573" s="463"/>
      <c r="U573" s="463"/>
      <c r="V573" s="463"/>
      <c r="W573" s="463"/>
      <c r="X573" s="463"/>
      <c r="Y573" s="463"/>
      <c r="Z573" s="463"/>
    </row>
    <row r="574" spans="1:26" ht="15.75" customHeight="1" x14ac:dyDescent="0.3">
      <c r="A574" s="463"/>
      <c r="B574" s="463"/>
      <c r="C574" s="463"/>
      <c r="D574" s="463"/>
      <c r="E574" s="463"/>
      <c r="F574" s="463"/>
      <c r="G574" s="463"/>
      <c r="H574" s="463"/>
      <c r="I574" s="463"/>
      <c r="J574" s="463"/>
      <c r="K574" s="463"/>
      <c r="L574" s="463"/>
      <c r="M574" s="463"/>
      <c r="N574" s="463"/>
      <c r="O574" s="463"/>
      <c r="P574" s="463"/>
      <c r="Q574" s="463"/>
      <c r="R574" s="463"/>
      <c r="S574" s="463"/>
      <c r="T574" s="463"/>
      <c r="U574" s="463"/>
      <c r="V574" s="463"/>
      <c r="W574" s="463"/>
      <c r="X574" s="463"/>
      <c r="Y574" s="463"/>
      <c r="Z574" s="463"/>
    </row>
    <row r="575" spans="1:26" ht="15.75" customHeight="1" x14ac:dyDescent="0.3">
      <c r="A575" s="463"/>
      <c r="B575" s="463"/>
      <c r="C575" s="463"/>
      <c r="D575" s="463"/>
      <c r="E575" s="463"/>
      <c r="F575" s="463"/>
      <c r="G575" s="463"/>
      <c r="H575" s="463"/>
      <c r="I575" s="463"/>
      <c r="J575" s="463"/>
      <c r="K575" s="463"/>
      <c r="L575" s="463"/>
      <c r="M575" s="463"/>
      <c r="N575" s="463"/>
      <c r="O575" s="463"/>
      <c r="P575" s="463"/>
      <c r="Q575" s="463"/>
      <c r="R575" s="463"/>
      <c r="S575" s="463"/>
      <c r="T575" s="463"/>
      <c r="U575" s="463"/>
      <c r="V575" s="463"/>
      <c r="W575" s="463"/>
      <c r="X575" s="463"/>
      <c r="Y575" s="463"/>
      <c r="Z575" s="463"/>
    </row>
    <row r="576" spans="1:26" ht="15.75" customHeight="1" x14ac:dyDescent="0.3">
      <c r="A576" s="463"/>
      <c r="B576" s="463"/>
      <c r="C576" s="463"/>
      <c r="D576" s="463"/>
      <c r="E576" s="463"/>
      <c r="F576" s="463"/>
      <c r="G576" s="463"/>
      <c r="H576" s="463"/>
      <c r="I576" s="463"/>
      <c r="J576" s="463"/>
      <c r="K576" s="463"/>
      <c r="L576" s="463"/>
      <c r="M576" s="463"/>
      <c r="N576" s="463"/>
      <c r="O576" s="463"/>
      <c r="P576" s="463"/>
      <c r="Q576" s="463"/>
      <c r="R576" s="463"/>
      <c r="S576" s="463"/>
      <c r="T576" s="463"/>
      <c r="U576" s="463"/>
      <c r="V576" s="463"/>
      <c r="W576" s="463"/>
      <c r="X576" s="463"/>
      <c r="Y576" s="463"/>
      <c r="Z576" s="463"/>
    </row>
    <row r="577" spans="1:26" ht="15.75" customHeight="1" x14ac:dyDescent="0.3">
      <c r="A577" s="463"/>
      <c r="B577" s="463"/>
      <c r="C577" s="463"/>
      <c r="D577" s="463"/>
      <c r="E577" s="463"/>
      <c r="F577" s="463"/>
      <c r="G577" s="463"/>
      <c r="H577" s="463"/>
      <c r="I577" s="463"/>
      <c r="J577" s="463"/>
      <c r="K577" s="463"/>
      <c r="L577" s="463"/>
      <c r="M577" s="463"/>
      <c r="N577" s="463"/>
      <c r="O577" s="463"/>
      <c r="P577" s="463"/>
      <c r="Q577" s="463"/>
      <c r="R577" s="463"/>
      <c r="S577" s="463"/>
      <c r="T577" s="463"/>
      <c r="U577" s="463"/>
      <c r="V577" s="463"/>
      <c r="W577" s="463"/>
      <c r="X577" s="463"/>
      <c r="Y577" s="463"/>
      <c r="Z577" s="463"/>
    </row>
    <row r="578" spans="1:26" ht="15.75" customHeight="1" x14ac:dyDescent="0.3">
      <c r="A578" s="463"/>
      <c r="B578" s="463"/>
      <c r="C578" s="463"/>
      <c r="D578" s="463"/>
      <c r="E578" s="463"/>
      <c r="F578" s="463"/>
      <c r="G578" s="463"/>
      <c r="H578" s="463"/>
      <c r="I578" s="463"/>
      <c r="J578" s="463"/>
      <c r="K578" s="463"/>
      <c r="L578" s="463"/>
      <c r="M578" s="463"/>
      <c r="N578" s="463"/>
      <c r="O578" s="463"/>
      <c r="P578" s="463"/>
      <c r="Q578" s="463"/>
      <c r="R578" s="463"/>
      <c r="S578" s="463"/>
      <c r="T578" s="463"/>
      <c r="U578" s="463"/>
      <c r="V578" s="463"/>
      <c r="W578" s="463"/>
      <c r="X578" s="463"/>
      <c r="Y578" s="463"/>
      <c r="Z578" s="463"/>
    </row>
    <row r="579" spans="1:26" ht="15.75" customHeight="1" x14ac:dyDescent="0.3">
      <c r="A579" s="463"/>
      <c r="B579" s="463"/>
      <c r="C579" s="463"/>
      <c r="D579" s="463"/>
      <c r="E579" s="463"/>
      <c r="F579" s="463"/>
      <c r="G579" s="463"/>
      <c r="H579" s="463"/>
      <c r="I579" s="463"/>
      <c r="J579" s="463"/>
      <c r="K579" s="463"/>
      <c r="L579" s="463"/>
      <c r="M579" s="463"/>
      <c r="N579" s="463"/>
      <c r="O579" s="463"/>
      <c r="P579" s="463"/>
      <c r="Q579" s="463"/>
      <c r="R579" s="463"/>
      <c r="S579" s="463"/>
      <c r="T579" s="463"/>
      <c r="U579" s="463"/>
      <c r="V579" s="463"/>
      <c r="W579" s="463"/>
      <c r="X579" s="463"/>
      <c r="Y579" s="463"/>
      <c r="Z579" s="463"/>
    </row>
    <row r="580" spans="1:26" ht="15.75" customHeight="1" x14ac:dyDescent="0.3">
      <c r="A580" s="463"/>
      <c r="B580" s="463"/>
      <c r="C580" s="463"/>
      <c r="D580" s="463"/>
      <c r="E580" s="463"/>
      <c r="F580" s="463"/>
      <c r="G580" s="463"/>
      <c r="H580" s="463"/>
      <c r="I580" s="463"/>
      <c r="J580" s="463"/>
      <c r="K580" s="463"/>
      <c r="L580" s="463"/>
      <c r="M580" s="463"/>
      <c r="N580" s="463"/>
      <c r="O580" s="463"/>
      <c r="P580" s="463"/>
      <c r="Q580" s="463"/>
      <c r="R580" s="463"/>
      <c r="S580" s="463"/>
      <c r="T580" s="463"/>
      <c r="U580" s="463"/>
      <c r="V580" s="463"/>
      <c r="W580" s="463"/>
      <c r="X580" s="463"/>
      <c r="Y580" s="463"/>
      <c r="Z580" s="463"/>
    </row>
    <row r="581" spans="1:26" ht="15.75" customHeight="1" x14ac:dyDescent="0.3">
      <c r="A581" s="463"/>
      <c r="B581" s="463"/>
      <c r="C581" s="463"/>
      <c r="D581" s="463"/>
      <c r="E581" s="463"/>
      <c r="F581" s="463"/>
      <c r="G581" s="463"/>
      <c r="H581" s="463"/>
      <c r="I581" s="463"/>
      <c r="J581" s="463"/>
      <c r="K581" s="463"/>
      <c r="L581" s="463"/>
      <c r="M581" s="463"/>
      <c r="N581" s="463"/>
      <c r="O581" s="463"/>
      <c r="P581" s="463"/>
      <c r="Q581" s="463"/>
      <c r="R581" s="463"/>
      <c r="S581" s="463"/>
      <c r="T581" s="463"/>
      <c r="U581" s="463"/>
      <c r="V581" s="463"/>
      <c r="W581" s="463"/>
      <c r="X581" s="463"/>
      <c r="Y581" s="463"/>
      <c r="Z581" s="463"/>
    </row>
    <row r="582" spans="1:26" ht="15.75" customHeight="1" x14ac:dyDescent="0.3">
      <c r="A582" s="463"/>
      <c r="B582" s="463"/>
      <c r="C582" s="463"/>
      <c r="D582" s="463"/>
      <c r="E582" s="463"/>
      <c r="F582" s="463"/>
      <c r="G582" s="463"/>
      <c r="H582" s="463"/>
      <c r="I582" s="463"/>
      <c r="J582" s="463"/>
      <c r="K582" s="463"/>
      <c r="L582" s="463"/>
      <c r="M582" s="463"/>
      <c r="N582" s="463"/>
      <c r="O582" s="463"/>
      <c r="P582" s="463"/>
      <c r="Q582" s="463"/>
      <c r="R582" s="463"/>
      <c r="S582" s="463"/>
      <c r="T582" s="463"/>
      <c r="U582" s="463"/>
      <c r="V582" s="463"/>
      <c r="W582" s="463"/>
      <c r="X582" s="463"/>
      <c r="Y582" s="463"/>
      <c r="Z582" s="463"/>
    </row>
    <row r="583" spans="1:26" ht="15.75" customHeight="1" x14ac:dyDescent="0.3">
      <c r="A583" s="463"/>
      <c r="B583" s="463"/>
      <c r="C583" s="463"/>
      <c r="D583" s="463"/>
      <c r="E583" s="463"/>
      <c r="F583" s="463"/>
      <c r="G583" s="463"/>
      <c r="H583" s="463"/>
      <c r="I583" s="463"/>
      <c r="J583" s="463"/>
      <c r="K583" s="463"/>
      <c r="L583" s="463"/>
      <c r="M583" s="463"/>
      <c r="N583" s="463"/>
      <c r="O583" s="463"/>
      <c r="P583" s="463"/>
      <c r="Q583" s="463"/>
      <c r="R583" s="463"/>
      <c r="S583" s="463"/>
      <c r="T583" s="463"/>
      <c r="U583" s="463"/>
      <c r="V583" s="463"/>
      <c r="W583" s="463"/>
      <c r="X583" s="463"/>
      <c r="Y583" s="463"/>
      <c r="Z583" s="463"/>
    </row>
    <row r="584" spans="1:26" ht="15.75" customHeight="1" x14ac:dyDescent="0.3">
      <c r="A584" s="463"/>
      <c r="B584" s="463"/>
      <c r="C584" s="463"/>
      <c r="D584" s="463"/>
      <c r="E584" s="463"/>
      <c r="F584" s="463"/>
      <c r="G584" s="463"/>
      <c r="H584" s="463"/>
      <c r="I584" s="463"/>
      <c r="J584" s="463"/>
      <c r="K584" s="463"/>
      <c r="L584" s="463"/>
      <c r="M584" s="463"/>
      <c r="N584" s="463"/>
      <c r="O584" s="463"/>
      <c r="P584" s="463"/>
      <c r="Q584" s="463"/>
      <c r="R584" s="463"/>
      <c r="S584" s="463"/>
      <c r="T584" s="463"/>
      <c r="U584" s="463"/>
      <c r="V584" s="463"/>
      <c r="W584" s="463"/>
      <c r="X584" s="463"/>
      <c r="Y584" s="463"/>
      <c r="Z584" s="463"/>
    </row>
    <row r="585" spans="1:26" ht="15.75" customHeight="1" x14ac:dyDescent="0.3">
      <c r="A585" s="463"/>
      <c r="B585" s="463"/>
      <c r="C585" s="463"/>
      <c r="D585" s="463"/>
      <c r="E585" s="463"/>
      <c r="F585" s="463"/>
      <c r="G585" s="463"/>
      <c r="H585" s="463"/>
      <c r="I585" s="463"/>
      <c r="J585" s="463"/>
      <c r="K585" s="463"/>
      <c r="L585" s="463"/>
      <c r="M585" s="463"/>
      <c r="N585" s="463"/>
      <c r="O585" s="463"/>
      <c r="P585" s="463"/>
      <c r="Q585" s="463"/>
      <c r="R585" s="463"/>
      <c r="S585" s="463"/>
      <c r="T585" s="463"/>
      <c r="U585" s="463"/>
      <c r="V585" s="463"/>
      <c r="W585" s="463"/>
      <c r="X585" s="463"/>
      <c r="Y585" s="463"/>
      <c r="Z585" s="463"/>
    </row>
    <row r="586" spans="1:26" ht="15.75" customHeight="1" x14ac:dyDescent="0.3">
      <c r="A586" s="463"/>
      <c r="B586" s="463"/>
      <c r="C586" s="463"/>
      <c r="D586" s="463"/>
      <c r="E586" s="463"/>
      <c r="F586" s="463"/>
      <c r="G586" s="463"/>
      <c r="H586" s="463"/>
      <c r="I586" s="463"/>
      <c r="J586" s="463"/>
      <c r="K586" s="463"/>
      <c r="L586" s="463"/>
      <c r="M586" s="463"/>
      <c r="N586" s="463"/>
      <c r="O586" s="463"/>
      <c r="P586" s="463"/>
      <c r="Q586" s="463"/>
      <c r="R586" s="463"/>
      <c r="S586" s="463"/>
      <c r="T586" s="463"/>
      <c r="U586" s="463"/>
      <c r="V586" s="463"/>
      <c r="W586" s="463"/>
      <c r="X586" s="463"/>
      <c r="Y586" s="463"/>
      <c r="Z586" s="463"/>
    </row>
    <row r="587" spans="1:26" ht="15.75" customHeight="1" x14ac:dyDescent="0.3">
      <c r="A587" s="463"/>
      <c r="B587" s="463"/>
      <c r="C587" s="463"/>
      <c r="D587" s="463"/>
      <c r="E587" s="463"/>
      <c r="F587" s="463"/>
      <c r="G587" s="463"/>
      <c r="H587" s="463"/>
      <c r="I587" s="463"/>
      <c r="J587" s="463"/>
      <c r="K587" s="463"/>
      <c r="L587" s="463"/>
      <c r="M587" s="463"/>
      <c r="N587" s="463"/>
      <c r="O587" s="463"/>
      <c r="P587" s="463"/>
      <c r="Q587" s="463"/>
      <c r="R587" s="463"/>
      <c r="S587" s="463"/>
      <c r="T587" s="463"/>
      <c r="U587" s="463"/>
      <c r="V587" s="463"/>
      <c r="W587" s="463"/>
      <c r="X587" s="463"/>
      <c r="Y587" s="463"/>
      <c r="Z587" s="463"/>
    </row>
    <row r="588" spans="1:26" ht="15.75" customHeight="1" x14ac:dyDescent="0.3">
      <c r="A588" s="463"/>
      <c r="B588" s="463"/>
      <c r="C588" s="463"/>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63"/>
      <c r="Z588" s="463"/>
    </row>
    <row r="589" spans="1:26" ht="15.75" customHeight="1" x14ac:dyDescent="0.3">
      <c r="A589" s="463"/>
      <c r="B589" s="463"/>
      <c r="C589" s="463"/>
      <c r="D589" s="463"/>
      <c r="E589" s="463"/>
      <c r="F589" s="463"/>
      <c r="G589" s="463"/>
      <c r="H589" s="463"/>
      <c r="I589" s="463"/>
      <c r="J589" s="463"/>
      <c r="K589" s="463"/>
      <c r="L589" s="463"/>
      <c r="M589" s="463"/>
      <c r="N589" s="463"/>
      <c r="O589" s="463"/>
      <c r="P589" s="463"/>
      <c r="Q589" s="463"/>
      <c r="R589" s="463"/>
      <c r="S589" s="463"/>
      <c r="T589" s="463"/>
      <c r="U589" s="463"/>
      <c r="V589" s="463"/>
      <c r="W589" s="463"/>
      <c r="X589" s="463"/>
      <c r="Y589" s="463"/>
      <c r="Z589" s="463"/>
    </row>
    <row r="590" spans="1:26" ht="15.75" customHeight="1" x14ac:dyDescent="0.3">
      <c r="A590" s="463"/>
      <c r="B590" s="463"/>
      <c r="C590" s="463"/>
      <c r="D590" s="463"/>
      <c r="E590" s="463"/>
      <c r="F590" s="463"/>
      <c r="G590" s="463"/>
      <c r="H590" s="463"/>
      <c r="I590" s="463"/>
      <c r="J590" s="463"/>
      <c r="K590" s="463"/>
      <c r="L590" s="463"/>
      <c r="M590" s="463"/>
      <c r="N590" s="463"/>
      <c r="O590" s="463"/>
      <c r="P590" s="463"/>
      <c r="Q590" s="463"/>
      <c r="R590" s="463"/>
      <c r="S590" s="463"/>
      <c r="T590" s="463"/>
      <c r="U590" s="463"/>
      <c r="V590" s="463"/>
      <c r="W590" s="463"/>
      <c r="X590" s="463"/>
      <c r="Y590" s="463"/>
      <c r="Z590" s="463"/>
    </row>
    <row r="591" spans="1:26" ht="15.75" customHeight="1" x14ac:dyDescent="0.3">
      <c r="A591" s="463"/>
      <c r="B591" s="463"/>
      <c r="C591" s="463"/>
      <c r="D591" s="463"/>
      <c r="E591" s="463"/>
      <c r="F591" s="463"/>
      <c r="G591" s="463"/>
      <c r="H591" s="463"/>
      <c r="I591" s="463"/>
      <c r="J591" s="463"/>
      <c r="K591" s="463"/>
      <c r="L591" s="463"/>
      <c r="M591" s="463"/>
      <c r="N591" s="463"/>
      <c r="O591" s="463"/>
      <c r="P591" s="463"/>
      <c r="Q591" s="463"/>
      <c r="R591" s="463"/>
      <c r="S591" s="463"/>
      <c r="T591" s="463"/>
      <c r="U591" s="463"/>
      <c r="V591" s="463"/>
      <c r="W591" s="463"/>
      <c r="X591" s="463"/>
      <c r="Y591" s="463"/>
      <c r="Z591" s="463"/>
    </row>
    <row r="592" spans="1:26" ht="15.75" customHeight="1" x14ac:dyDescent="0.3">
      <c r="A592" s="463"/>
      <c r="B592" s="463"/>
      <c r="C592" s="463"/>
      <c r="D592" s="463"/>
      <c r="E592" s="463"/>
      <c r="F592" s="463"/>
      <c r="G592" s="463"/>
      <c r="H592" s="463"/>
      <c r="I592" s="463"/>
      <c r="J592" s="463"/>
      <c r="K592" s="463"/>
      <c r="L592" s="463"/>
      <c r="M592" s="463"/>
      <c r="N592" s="463"/>
      <c r="O592" s="463"/>
      <c r="P592" s="463"/>
      <c r="Q592" s="463"/>
      <c r="R592" s="463"/>
      <c r="S592" s="463"/>
      <c r="T592" s="463"/>
      <c r="U592" s="463"/>
      <c r="V592" s="463"/>
      <c r="W592" s="463"/>
      <c r="X592" s="463"/>
      <c r="Y592" s="463"/>
      <c r="Z592" s="463"/>
    </row>
    <row r="593" spans="1:26" ht="15.75" customHeight="1" x14ac:dyDescent="0.3">
      <c r="A593" s="463"/>
      <c r="B593" s="463"/>
      <c r="C593" s="463"/>
      <c r="D593" s="463"/>
      <c r="E593" s="463"/>
      <c r="F593" s="463"/>
      <c r="G593" s="463"/>
      <c r="H593" s="463"/>
      <c r="I593" s="463"/>
      <c r="J593" s="463"/>
      <c r="K593" s="463"/>
      <c r="L593" s="463"/>
      <c r="M593" s="463"/>
      <c r="N593" s="463"/>
      <c r="O593" s="463"/>
      <c r="P593" s="463"/>
      <c r="Q593" s="463"/>
      <c r="R593" s="463"/>
      <c r="S593" s="463"/>
      <c r="T593" s="463"/>
      <c r="U593" s="463"/>
      <c r="V593" s="463"/>
      <c r="W593" s="463"/>
      <c r="X593" s="463"/>
      <c r="Y593" s="463"/>
      <c r="Z593" s="463"/>
    </row>
    <row r="594" spans="1:26" ht="15.75" customHeight="1" x14ac:dyDescent="0.3">
      <c r="A594" s="463"/>
      <c r="B594" s="463"/>
      <c r="C594" s="463"/>
      <c r="D594" s="463"/>
      <c r="E594" s="463"/>
      <c r="F594" s="463"/>
      <c r="G594" s="463"/>
      <c r="H594" s="463"/>
      <c r="I594" s="463"/>
      <c r="J594" s="463"/>
      <c r="K594" s="463"/>
      <c r="L594" s="463"/>
      <c r="M594" s="463"/>
      <c r="N594" s="463"/>
      <c r="O594" s="463"/>
      <c r="P594" s="463"/>
      <c r="Q594" s="463"/>
      <c r="R594" s="463"/>
      <c r="S594" s="463"/>
      <c r="T594" s="463"/>
      <c r="U594" s="463"/>
      <c r="V594" s="463"/>
      <c r="W594" s="463"/>
      <c r="X594" s="463"/>
      <c r="Y594" s="463"/>
      <c r="Z594" s="463"/>
    </row>
    <row r="595" spans="1:26" ht="15.75" customHeight="1" x14ac:dyDescent="0.3">
      <c r="A595" s="463"/>
      <c r="B595" s="463"/>
      <c r="C595" s="463"/>
      <c r="D595" s="463"/>
      <c r="E595" s="463"/>
      <c r="F595" s="463"/>
      <c r="G595" s="463"/>
      <c r="H595" s="463"/>
      <c r="I595" s="463"/>
      <c r="J595" s="463"/>
      <c r="K595" s="463"/>
      <c r="L595" s="463"/>
      <c r="M595" s="463"/>
      <c r="N595" s="463"/>
      <c r="O595" s="463"/>
      <c r="P595" s="463"/>
      <c r="Q595" s="463"/>
      <c r="R595" s="463"/>
      <c r="S595" s="463"/>
      <c r="T595" s="463"/>
      <c r="U595" s="463"/>
      <c r="V595" s="463"/>
      <c r="W595" s="463"/>
      <c r="X595" s="463"/>
      <c r="Y595" s="463"/>
      <c r="Z595" s="463"/>
    </row>
    <row r="596" spans="1:26" ht="15.75" customHeight="1" x14ac:dyDescent="0.3">
      <c r="A596" s="463"/>
      <c r="B596" s="463"/>
      <c r="C596" s="463"/>
      <c r="D596" s="463"/>
      <c r="E596" s="463"/>
      <c r="F596" s="463"/>
      <c r="G596" s="463"/>
      <c r="H596" s="463"/>
      <c r="I596" s="463"/>
      <c r="J596" s="463"/>
      <c r="K596" s="463"/>
      <c r="L596" s="463"/>
      <c r="M596" s="463"/>
      <c r="N596" s="463"/>
      <c r="O596" s="463"/>
      <c r="P596" s="463"/>
      <c r="Q596" s="463"/>
      <c r="R596" s="463"/>
      <c r="S596" s="463"/>
      <c r="T596" s="463"/>
      <c r="U596" s="463"/>
      <c r="V596" s="463"/>
      <c r="W596" s="463"/>
      <c r="X596" s="463"/>
      <c r="Y596" s="463"/>
      <c r="Z596" s="463"/>
    </row>
    <row r="597" spans="1:26" ht="15.75" customHeight="1" x14ac:dyDescent="0.3">
      <c r="A597" s="463"/>
      <c r="B597" s="463"/>
      <c r="C597" s="463"/>
      <c r="D597" s="463"/>
      <c r="E597" s="463"/>
      <c r="F597" s="463"/>
      <c r="G597" s="463"/>
      <c r="H597" s="463"/>
      <c r="I597" s="463"/>
      <c r="J597" s="463"/>
      <c r="K597" s="463"/>
      <c r="L597" s="463"/>
      <c r="M597" s="463"/>
      <c r="N597" s="463"/>
      <c r="O597" s="463"/>
      <c r="P597" s="463"/>
      <c r="Q597" s="463"/>
      <c r="R597" s="463"/>
      <c r="S597" s="463"/>
      <c r="T597" s="463"/>
      <c r="U597" s="463"/>
      <c r="V597" s="463"/>
      <c r="W597" s="463"/>
      <c r="X597" s="463"/>
      <c r="Y597" s="463"/>
      <c r="Z597" s="463"/>
    </row>
    <row r="598" spans="1:26" ht="15.75" customHeight="1" x14ac:dyDescent="0.3">
      <c r="A598" s="463"/>
      <c r="B598" s="463"/>
      <c r="C598" s="463"/>
      <c r="D598" s="463"/>
      <c r="E598" s="463"/>
      <c r="F598" s="463"/>
      <c r="G598" s="463"/>
      <c r="H598" s="463"/>
      <c r="I598" s="463"/>
      <c r="J598" s="463"/>
      <c r="K598" s="463"/>
      <c r="L598" s="463"/>
      <c r="M598" s="463"/>
      <c r="N598" s="463"/>
      <c r="O598" s="463"/>
      <c r="P598" s="463"/>
      <c r="Q598" s="463"/>
      <c r="R598" s="463"/>
      <c r="S598" s="463"/>
      <c r="T598" s="463"/>
      <c r="U598" s="463"/>
      <c r="V598" s="463"/>
      <c r="W598" s="463"/>
      <c r="X598" s="463"/>
      <c r="Y598" s="463"/>
      <c r="Z598" s="463"/>
    </row>
    <row r="599" spans="1:26" ht="15.75" customHeight="1" x14ac:dyDescent="0.3">
      <c r="A599" s="463"/>
      <c r="B599" s="463"/>
      <c r="C599" s="463"/>
      <c r="D599" s="463"/>
      <c r="E599" s="463"/>
      <c r="F599" s="463"/>
      <c r="G599" s="463"/>
      <c r="H599" s="463"/>
      <c r="I599" s="463"/>
      <c r="J599" s="463"/>
      <c r="K599" s="463"/>
      <c r="L599" s="463"/>
      <c r="M599" s="463"/>
      <c r="N599" s="463"/>
      <c r="O599" s="463"/>
      <c r="P599" s="463"/>
      <c r="Q599" s="463"/>
      <c r="R599" s="463"/>
      <c r="S599" s="463"/>
      <c r="T599" s="463"/>
      <c r="U599" s="463"/>
      <c r="V599" s="463"/>
      <c r="W599" s="463"/>
      <c r="X599" s="463"/>
      <c r="Y599" s="463"/>
      <c r="Z599" s="463"/>
    </row>
    <row r="600" spans="1:26" ht="15.75" customHeight="1" x14ac:dyDescent="0.3">
      <c r="A600" s="463"/>
      <c r="B600" s="463"/>
      <c r="C600" s="463"/>
      <c r="D600" s="463"/>
      <c r="E600" s="463"/>
      <c r="F600" s="463"/>
      <c r="G600" s="463"/>
      <c r="H600" s="463"/>
      <c r="I600" s="463"/>
      <c r="J600" s="463"/>
      <c r="K600" s="463"/>
      <c r="L600" s="463"/>
      <c r="M600" s="463"/>
      <c r="N600" s="463"/>
      <c r="O600" s="463"/>
      <c r="P600" s="463"/>
      <c r="Q600" s="463"/>
      <c r="R600" s="463"/>
      <c r="S600" s="463"/>
      <c r="T600" s="463"/>
      <c r="U600" s="463"/>
      <c r="V600" s="463"/>
      <c r="W600" s="463"/>
      <c r="X600" s="463"/>
      <c r="Y600" s="463"/>
      <c r="Z600" s="463"/>
    </row>
    <row r="601" spans="1:26" ht="15.75" customHeight="1" x14ac:dyDescent="0.3">
      <c r="A601" s="463"/>
      <c r="B601" s="463"/>
      <c r="C601" s="463"/>
      <c r="D601" s="463"/>
      <c r="E601" s="463"/>
      <c r="F601" s="463"/>
      <c r="G601" s="463"/>
      <c r="H601" s="463"/>
      <c r="I601" s="463"/>
      <c r="J601" s="463"/>
      <c r="K601" s="463"/>
      <c r="L601" s="463"/>
      <c r="M601" s="463"/>
      <c r="N601" s="463"/>
      <c r="O601" s="463"/>
      <c r="P601" s="463"/>
      <c r="Q601" s="463"/>
      <c r="R601" s="463"/>
      <c r="S601" s="463"/>
      <c r="T601" s="463"/>
      <c r="U601" s="463"/>
      <c r="V601" s="463"/>
      <c r="W601" s="463"/>
      <c r="X601" s="463"/>
      <c r="Y601" s="463"/>
      <c r="Z601" s="463"/>
    </row>
    <row r="602" spans="1:26" ht="15.75" customHeight="1" x14ac:dyDescent="0.3">
      <c r="A602" s="463"/>
      <c r="B602" s="463"/>
      <c r="C602" s="463"/>
      <c r="D602" s="463"/>
      <c r="E602" s="463"/>
      <c r="F602" s="463"/>
      <c r="G602" s="463"/>
      <c r="H602" s="463"/>
      <c r="I602" s="463"/>
      <c r="J602" s="463"/>
      <c r="K602" s="463"/>
      <c r="L602" s="463"/>
      <c r="M602" s="463"/>
      <c r="N602" s="463"/>
      <c r="O602" s="463"/>
      <c r="P602" s="463"/>
      <c r="Q602" s="463"/>
      <c r="R602" s="463"/>
      <c r="S602" s="463"/>
      <c r="T602" s="463"/>
      <c r="U602" s="463"/>
      <c r="V602" s="463"/>
      <c r="W602" s="463"/>
      <c r="X602" s="463"/>
      <c r="Y602" s="463"/>
      <c r="Z602" s="463"/>
    </row>
    <row r="603" spans="1:26" ht="15.75" customHeight="1" x14ac:dyDescent="0.3">
      <c r="A603" s="463"/>
      <c r="B603" s="463"/>
      <c r="C603" s="463"/>
      <c r="D603" s="463"/>
      <c r="E603" s="463"/>
      <c r="F603" s="463"/>
      <c r="G603" s="463"/>
      <c r="H603" s="463"/>
      <c r="I603" s="463"/>
      <c r="J603" s="463"/>
      <c r="K603" s="463"/>
      <c r="L603" s="463"/>
      <c r="M603" s="463"/>
      <c r="N603" s="463"/>
      <c r="O603" s="463"/>
      <c r="P603" s="463"/>
      <c r="Q603" s="463"/>
      <c r="R603" s="463"/>
      <c r="S603" s="463"/>
      <c r="T603" s="463"/>
      <c r="U603" s="463"/>
      <c r="V603" s="463"/>
      <c r="W603" s="463"/>
      <c r="X603" s="463"/>
      <c r="Y603" s="463"/>
      <c r="Z603" s="463"/>
    </row>
    <row r="604" spans="1:26" ht="15.75" customHeight="1" x14ac:dyDescent="0.3">
      <c r="A604" s="463"/>
      <c r="B604" s="463"/>
      <c r="C604" s="463"/>
      <c r="D604" s="463"/>
      <c r="E604" s="463"/>
      <c r="F604" s="463"/>
      <c r="G604" s="463"/>
      <c r="H604" s="463"/>
      <c r="I604" s="463"/>
      <c r="J604" s="463"/>
      <c r="K604" s="463"/>
      <c r="L604" s="463"/>
      <c r="M604" s="463"/>
      <c r="N604" s="463"/>
      <c r="O604" s="463"/>
      <c r="P604" s="463"/>
      <c r="Q604" s="463"/>
      <c r="R604" s="463"/>
      <c r="S604" s="463"/>
      <c r="T604" s="463"/>
      <c r="U604" s="463"/>
      <c r="V604" s="463"/>
      <c r="W604" s="463"/>
      <c r="X604" s="463"/>
      <c r="Y604" s="463"/>
      <c r="Z604" s="463"/>
    </row>
    <row r="605" spans="1:26" ht="15.75" customHeight="1" x14ac:dyDescent="0.3">
      <c r="A605" s="463"/>
      <c r="B605" s="463"/>
      <c r="C605" s="463"/>
      <c r="D605" s="463"/>
      <c r="E605" s="463"/>
      <c r="F605" s="463"/>
      <c r="G605" s="463"/>
      <c r="H605" s="463"/>
      <c r="I605" s="463"/>
      <c r="J605" s="463"/>
      <c r="K605" s="463"/>
      <c r="L605" s="463"/>
      <c r="M605" s="463"/>
      <c r="N605" s="463"/>
      <c r="O605" s="463"/>
      <c r="P605" s="463"/>
      <c r="Q605" s="463"/>
      <c r="R605" s="463"/>
      <c r="S605" s="463"/>
      <c r="T605" s="463"/>
      <c r="U605" s="463"/>
      <c r="V605" s="463"/>
      <c r="W605" s="463"/>
      <c r="X605" s="463"/>
      <c r="Y605" s="463"/>
      <c r="Z605" s="463"/>
    </row>
    <row r="606" spans="1:26" ht="15.75" customHeight="1" x14ac:dyDescent="0.3">
      <c r="A606" s="463"/>
      <c r="B606" s="463"/>
      <c r="C606" s="463"/>
      <c r="D606" s="463"/>
      <c r="E606" s="463"/>
      <c r="F606" s="463"/>
      <c r="G606" s="463"/>
      <c r="H606" s="463"/>
      <c r="I606" s="463"/>
      <c r="J606" s="463"/>
      <c r="K606" s="463"/>
      <c r="L606" s="463"/>
      <c r="M606" s="463"/>
      <c r="N606" s="463"/>
      <c r="O606" s="463"/>
      <c r="P606" s="463"/>
      <c r="Q606" s="463"/>
      <c r="R606" s="463"/>
      <c r="S606" s="463"/>
      <c r="T606" s="463"/>
      <c r="U606" s="463"/>
      <c r="V606" s="463"/>
      <c r="W606" s="463"/>
      <c r="X606" s="463"/>
      <c r="Y606" s="463"/>
      <c r="Z606" s="463"/>
    </row>
    <row r="607" spans="1:26" ht="15.75" customHeight="1" x14ac:dyDescent="0.3">
      <c r="A607" s="463"/>
      <c r="B607" s="463"/>
      <c r="C607" s="463"/>
      <c r="D607" s="463"/>
      <c r="E607" s="463"/>
      <c r="F607" s="463"/>
      <c r="G607" s="463"/>
      <c r="H607" s="463"/>
      <c r="I607" s="463"/>
      <c r="J607" s="463"/>
      <c r="K607" s="463"/>
      <c r="L607" s="463"/>
      <c r="M607" s="463"/>
      <c r="N607" s="463"/>
      <c r="O607" s="463"/>
      <c r="P607" s="463"/>
      <c r="Q607" s="463"/>
      <c r="R607" s="463"/>
      <c r="S607" s="463"/>
      <c r="T607" s="463"/>
      <c r="U607" s="463"/>
      <c r="V607" s="463"/>
      <c r="W607" s="463"/>
      <c r="X607" s="463"/>
      <c r="Y607" s="463"/>
      <c r="Z607" s="463"/>
    </row>
    <row r="608" spans="1:26" ht="15.75" customHeight="1" x14ac:dyDescent="0.3">
      <c r="A608" s="463"/>
      <c r="B608" s="463"/>
      <c r="C608" s="463"/>
      <c r="D608" s="463"/>
      <c r="E608" s="463"/>
      <c r="F608" s="463"/>
      <c r="G608" s="463"/>
      <c r="H608" s="463"/>
      <c r="I608" s="463"/>
      <c r="J608" s="463"/>
      <c r="K608" s="463"/>
      <c r="L608" s="463"/>
      <c r="M608" s="463"/>
      <c r="N608" s="463"/>
      <c r="O608" s="463"/>
      <c r="P608" s="463"/>
      <c r="Q608" s="463"/>
      <c r="R608" s="463"/>
      <c r="S608" s="463"/>
      <c r="T608" s="463"/>
      <c r="U608" s="463"/>
      <c r="V608" s="463"/>
      <c r="W608" s="463"/>
      <c r="X608" s="463"/>
      <c r="Y608" s="463"/>
      <c r="Z608" s="463"/>
    </row>
    <row r="609" spans="1:26" ht="15.75" customHeight="1" x14ac:dyDescent="0.3">
      <c r="A609" s="463"/>
      <c r="B609" s="463"/>
      <c r="C609" s="463"/>
      <c r="D609" s="463"/>
      <c r="E609" s="463"/>
      <c r="F609" s="463"/>
      <c r="G609" s="463"/>
      <c r="H609" s="463"/>
      <c r="I609" s="463"/>
      <c r="J609" s="463"/>
      <c r="K609" s="463"/>
      <c r="L609" s="463"/>
      <c r="M609" s="463"/>
      <c r="N609" s="463"/>
      <c r="O609" s="463"/>
      <c r="P609" s="463"/>
      <c r="Q609" s="463"/>
      <c r="R609" s="463"/>
      <c r="S609" s="463"/>
      <c r="T609" s="463"/>
      <c r="U609" s="463"/>
      <c r="V609" s="463"/>
      <c r="W609" s="463"/>
      <c r="X609" s="463"/>
      <c r="Y609" s="463"/>
      <c r="Z609" s="463"/>
    </row>
    <row r="610" spans="1:26" ht="15.75" customHeight="1" x14ac:dyDescent="0.3">
      <c r="A610" s="463"/>
      <c r="B610" s="463"/>
      <c r="C610" s="463"/>
      <c r="D610" s="463"/>
      <c r="E610" s="463"/>
      <c r="F610" s="463"/>
      <c r="G610" s="463"/>
      <c r="H610" s="463"/>
      <c r="I610" s="463"/>
      <c r="J610" s="463"/>
      <c r="K610" s="463"/>
      <c r="L610" s="463"/>
      <c r="M610" s="463"/>
      <c r="N610" s="463"/>
      <c r="O610" s="463"/>
      <c r="P610" s="463"/>
      <c r="Q610" s="463"/>
      <c r="R610" s="463"/>
      <c r="S610" s="463"/>
      <c r="T610" s="463"/>
      <c r="U610" s="463"/>
      <c r="V610" s="463"/>
      <c r="W610" s="463"/>
      <c r="X610" s="463"/>
      <c r="Y610" s="463"/>
      <c r="Z610" s="463"/>
    </row>
    <row r="611" spans="1:26" ht="15.75" customHeight="1" x14ac:dyDescent="0.3">
      <c r="A611" s="463"/>
      <c r="B611" s="463"/>
      <c r="C611" s="463"/>
      <c r="D611" s="463"/>
      <c r="E611" s="463"/>
      <c r="F611" s="463"/>
      <c r="G611" s="463"/>
      <c r="H611" s="463"/>
      <c r="I611" s="463"/>
      <c r="J611" s="463"/>
      <c r="K611" s="463"/>
      <c r="L611" s="463"/>
      <c r="M611" s="463"/>
      <c r="N611" s="463"/>
      <c r="O611" s="463"/>
      <c r="P611" s="463"/>
      <c r="Q611" s="463"/>
      <c r="R611" s="463"/>
      <c r="S611" s="463"/>
      <c r="T611" s="463"/>
      <c r="U611" s="463"/>
      <c r="V611" s="463"/>
      <c r="W611" s="463"/>
      <c r="X611" s="463"/>
      <c r="Y611" s="463"/>
      <c r="Z611" s="463"/>
    </row>
    <row r="612" spans="1:26" ht="15.75" customHeight="1" x14ac:dyDescent="0.3">
      <c r="A612" s="463"/>
      <c r="B612" s="463"/>
      <c r="C612" s="463"/>
      <c r="D612" s="463"/>
      <c r="E612" s="463"/>
      <c r="F612" s="463"/>
      <c r="G612" s="463"/>
      <c r="H612" s="463"/>
      <c r="I612" s="463"/>
      <c r="J612" s="463"/>
      <c r="K612" s="463"/>
      <c r="L612" s="463"/>
      <c r="M612" s="463"/>
      <c r="N612" s="463"/>
      <c r="O612" s="463"/>
      <c r="P612" s="463"/>
      <c r="Q612" s="463"/>
      <c r="R612" s="463"/>
      <c r="S612" s="463"/>
      <c r="T612" s="463"/>
      <c r="U612" s="463"/>
      <c r="V612" s="463"/>
      <c r="W612" s="463"/>
      <c r="X612" s="463"/>
      <c r="Y612" s="463"/>
      <c r="Z612" s="463"/>
    </row>
    <row r="613" spans="1:26" ht="15.75" customHeight="1" x14ac:dyDescent="0.3">
      <c r="A613" s="463"/>
      <c r="B613" s="463"/>
      <c r="C613" s="463"/>
      <c r="D613" s="463"/>
      <c r="E613" s="463"/>
      <c r="F613" s="463"/>
      <c r="G613" s="463"/>
      <c r="H613" s="463"/>
      <c r="I613" s="463"/>
      <c r="J613" s="463"/>
      <c r="K613" s="463"/>
      <c r="L613" s="463"/>
      <c r="M613" s="463"/>
      <c r="N613" s="463"/>
      <c r="O613" s="463"/>
      <c r="P613" s="463"/>
      <c r="Q613" s="463"/>
      <c r="R613" s="463"/>
      <c r="S613" s="463"/>
      <c r="T613" s="463"/>
      <c r="U613" s="463"/>
      <c r="V613" s="463"/>
      <c r="W613" s="463"/>
      <c r="X613" s="463"/>
      <c r="Y613" s="463"/>
      <c r="Z613" s="463"/>
    </row>
    <row r="614" spans="1:26" ht="15.75" customHeight="1" x14ac:dyDescent="0.3">
      <c r="A614" s="463"/>
      <c r="B614" s="463"/>
      <c r="C614" s="463"/>
      <c r="D614" s="463"/>
      <c r="E614" s="463"/>
      <c r="F614" s="463"/>
      <c r="G614" s="463"/>
      <c r="H614" s="463"/>
      <c r="I614" s="463"/>
      <c r="J614" s="463"/>
      <c r="K614" s="463"/>
      <c r="L614" s="463"/>
      <c r="M614" s="463"/>
      <c r="N614" s="463"/>
      <c r="O614" s="463"/>
      <c r="P614" s="463"/>
      <c r="Q614" s="463"/>
      <c r="R614" s="463"/>
      <c r="S614" s="463"/>
      <c r="T614" s="463"/>
      <c r="U614" s="463"/>
      <c r="V614" s="463"/>
      <c r="W614" s="463"/>
      <c r="X614" s="463"/>
      <c r="Y614" s="463"/>
      <c r="Z614" s="463"/>
    </row>
    <row r="615" spans="1:26" ht="15.75" customHeight="1" x14ac:dyDescent="0.3">
      <c r="A615" s="463"/>
      <c r="B615" s="463"/>
      <c r="C615" s="463"/>
      <c r="D615" s="463"/>
      <c r="E615" s="463"/>
      <c r="F615" s="463"/>
      <c r="G615" s="463"/>
      <c r="H615" s="463"/>
      <c r="I615" s="463"/>
      <c r="J615" s="463"/>
      <c r="K615" s="463"/>
      <c r="L615" s="463"/>
      <c r="M615" s="463"/>
      <c r="N615" s="463"/>
      <c r="O615" s="463"/>
      <c r="P615" s="463"/>
      <c r="Q615" s="463"/>
      <c r="R615" s="463"/>
      <c r="S615" s="463"/>
      <c r="T615" s="463"/>
      <c r="U615" s="463"/>
      <c r="V615" s="463"/>
      <c r="W615" s="463"/>
      <c r="X615" s="463"/>
      <c r="Y615" s="463"/>
      <c r="Z615" s="463"/>
    </row>
    <row r="616" spans="1:26" ht="15.75" customHeight="1" x14ac:dyDescent="0.3">
      <c r="A616" s="463"/>
      <c r="B616" s="463"/>
      <c r="C616" s="463"/>
      <c r="D616" s="463"/>
      <c r="E616" s="463"/>
      <c r="F616" s="463"/>
      <c r="G616" s="463"/>
      <c r="H616" s="463"/>
      <c r="I616" s="463"/>
      <c r="J616" s="463"/>
      <c r="K616" s="463"/>
      <c r="L616" s="463"/>
      <c r="M616" s="463"/>
      <c r="N616" s="463"/>
      <c r="O616" s="463"/>
      <c r="P616" s="463"/>
      <c r="Q616" s="463"/>
      <c r="R616" s="463"/>
      <c r="S616" s="463"/>
      <c r="T616" s="463"/>
      <c r="U616" s="463"/>
      <c r="V616" s="463"/>
      <c r="W616" s="463"/>
      <c r="X616" s="463"/>
      <c r="Y616" s="463"/>
      <c r="Z616" s="463"/>
    </row>
    <row r="617" spans="1:26" ht="15.75" customHeight="1" x14ac:dyDescent="0.3">
      <c r="A617" s="463"/>
      <c r="B617" s="463"/>
      <c r="C617" s="463"/>
      <c r="D617" s="463"/>
      <c r="E617" s="463"/>
      <c r="F617" s="463"/>
      <c r="G617" s="463"/>
      <c r="H617" s="463"/>
      <c r="I617" s="463"/>
      <c r="J617" s="463"/>
      <c r="K617" s="463"/>
      <c r="L617" s="463"/>
      <c r="M617" s="463"/>
      <c r="N617" s="463"/>
      <c r="O617" s="463"/>
      <c r="P617" s="463"/>
      <c r="Q617" s="463"/>
      <c r="R617" s="463"/>
      <c r="S617" s="463"/>
      <c r="T617" s="463"/>
      <c r="U617" s="463"/>
      <c r="V617" s="463"/>
      <c r="W617" s="463"/>
      <c r="X617" s="463"/>
      <c r="Y617" s="463"/>
      <c r="Z617" s="463"/>
    </row>
    <row r="618" spans="1:26" ht="15.75" customHeight="1" x14ac:dyDescent="0.3">
      <c r="A618" s="463"/>
      <c r="B618" s="463"/>
      <c r="C618" s="463"/>
      <c r="D618" s="463"/>
      <c r="E618" s="463"/>
      <c r="F618" s="463"/>
      <c r="G618" s="463"/>
      <c r="H618" s="463"/>
      <c r="I618" s="463"/>
      <c r="J618" s="463"/>
      <c r="K618" s="463"/>
      <c r="L618" s="463"/>
      <c r="M618" s="463"/>
      <c r="N618" s="463"/>
      <c r="O618" s="463"/>
      <c r="P618" s="463"/>
      <c r="Q618" s="463"/>
      <c r="R618" s="463"/>
      <c r="S618" s="463"/>
      <c r="T618" s="463"/>
      <c r="U618" s="463"/>
      <c r="V618" s="463"/>
      <c r="W618" s="463"/>
      <c r="X618" s="463"/>
      <c r="Y618" s="463"/>
      <c r="Z618" s="463"/>
    </row>
    <row r="619" spans="1:26" ht="15.75" customHeight="1" x14ac:dyDescent="0.3">
      <c r="A619" s="463"/>
      <c r="B619" s="463"/>
      <c r="C619" s="463"/>
      <c r="D619" s="463"/>
      <c r="E619" s="463"/>
      <c r="F619" s="463"/>
      <c r="G619" s="463"/>
      <c r="H619" s="463"/>
      <c r="I619" s="463"/>
      <c r="J619" s="463"/>
      <c r="K619" s="463"/>
      <c r="L619" s="463"/>
      <c r="M619" s="463"/>
      <c r="N619" s="463"/>
      <c r="O619" s="463"/>
      <c r="P619" s="463"/>
      <c r="Q619" s="463"/>
      <c r="R619" s="463"/>
      <c r="S619" s="463"/>
      <c r="T619" s="463"/>
      <c r="U619" s="463"/>
      <c r="V619" s="463"/>
      <c r="W619" s="463"/>
      <c r="X619" s="463"/>
      <c r="Y619" s="463"/>
      <c r="Z619" s="463"/>
    </row>
    <row r="620" spans="1:26" ht="15.75" customHeight="1" x14ac:dyDescent="0.3">
      <c r="A620" s="463"/>
      <c r="B620" s="463"/>
      <c r="C620" s="463"/>
      <c r="D620" s="463"/>
      <c r="E620" s="463"/>
      <c r="F620" s="463"/>
      <c r="G620" s="463"/>
      <c r="H620" s="463"/>
      <c r="I620" s="463"/>
      <c r="J620" s="463"/>
      <c r="K620" s="463"/>
      <c r="L620" s="463"/>
      <c r="M620" s="463"/>
      <c r="N620" s="463"/>
      <c r="O620" s="463"/>
      <c r="P620" s="463"/>
      <c r="Q620" s="463"/>
      <c r="R620" s="463"/>
      <c r="S620" s="463"/>
      <c r="T620" s="463"/>
      <c r="U620" s="463"/>
      <c r="V620" s="463"/>
      <c r="W620" s="463"/>
      <c r="X620" s="463"/>
      <c r="Y620" s="463"/>
      <c r="Z620" s="463"/>
    </row>
    <row r="621" spans="1:26" ht="15.75" customHeight="1" x14ac:dyDescent="0.3">
      <c r="A621" s="463"/>
      <c r="B621" s="463"/>
      <c r="C621" s="463"/>
      <c r="D621" s="463"/>
      <c r="E621" s="463"/>
      <c r="F621" s="463"/>
      <c r="G621" s="463"/>
      <c r="H621" s="463"/>
      <c r="I621" s="463"/>
      <c r="J621" s="463"/>
      <c r="K621" s="463"/>
      <c r="L621" s="463"/>
      <c r="M621" s="463"/>
      <c r="N621" s="463"/>
      <c r="O621" s="463"/>
      <c r="P621" s="463"/>
      <c r="Q621" s="463"/>
      <c r="R621" s="463"/>
      <c r="S621" s="463"/>
      <c r="T621" s="463"/>
      <c r="U621" s="463"/>
      <c r="V621" s="463"/>
      <c r="W621" s="463"/>
      <c r="X621" s="463"/>
      <c r="Y621" s="463"/>
      <c r="Z621" s="463"/>
    </row>
    <row r="622" spans="1:26" ht="15.75" customHeight="1" x14ac:dyDescent="0.3">
      <c r="A622" s="463"/>
      <c r="B622" s="463"/>
      <c r="C622" s="463"/>
      <c r="D622" s="463"/>
      <c r="E622" s="463"/>
      <c r="F622" s="463"/>
      <c r="G622" s="463"/>
      <c r="H622" s="463"/>
      <c r="I622" s="463"/>
      <c r="J622" s="463"/>
      <c r="K622" s="463"/>
      <c r="L622" s="463"/>
      <c r="M622" s="463"/>
      <c r="N622" s="463"/>
      <c r="O622" s="463"/>
      <c r="P622" s="463"/>
      <c r="Q622" s="463"/>
      <c r="R622" s="463"/>
      <c r="S622" s="463"/>
      <c r="T622" s="463"/>
      <c r="U622" s="463"/>
      <c r="V622" s="463"/>
      <c r="W622" s="463"/>
      <c r="X622" s="463"/>
      <c r="Y622" s="463"/>
      <c r="Z622" s="463"/>
    </row>
    <row r="623" spans="1:26" ht="15.75" customHeight="1" x14ac:dyDescent="0.3">
      <c r="A623" s="463"/>
      <c r="B623" s="463"/>
      <c r="C623" s="463"/>
      <c r="D623" s="463"/>
      <c r="E623" s="463"/>
      <c r="F623" s="463"/>
      <c r="G623" s="463"/>
      <c r="H623" s="463"/>
      <c r="I623" s="463"/>
      <c r="J623" s="463"/>
      <c r="K623" s="463"/>
      <c r="L623" s="463"/>
      <c r="M623" s="463"/>
      <c r="N623" s="463"/>
      <c r="O623" s="463"/>
      <c r="P623" s="463"/>
      <c r="Q623" s="463"/>
      <c r="R623" s="463"/>
      <c r="S623" s="463"/>
      <c r="T623" s="463"/>
      <c r="U623" s="463"/>
      <c r="V623" s="463"/>
      <c r="W623" s="463"/>
      <c r="X623" s="463"/>
      <c r="Y623" s="463"/>
      <c r="Z623" s="463"/>
    </row>
    <row r="624" spans="1:26" ht="15.75" customHeight="1" x14ac:dyDescent="0.3">
      <c r="A624" s="463"/>
      <c r="B624" s="463"/>
      <c r="C624" s="463"/>
      <c r="D624" s="463"/>
      <c r="E624" s="463"/>
      <c r="F624" s="463"/>
      <c r="G624" s="463"/>
      <c r="H624" s="463"/>
      <c r="I624" s="463"/>
      <c r="J624" s="463"/>
      <c r="K624" s="463"/>
      <c r="L624" s="463"/>
      <c r="M624" s="463"/>
      <c r="N624" s="463"/>
      <c r="O624" s="463"/>
      <c r="P624" s="463"/>
      <c r="Q624" s="463"/>
      <c r="R624" s="463"/>
      <c r="S624" s="463"/>
      <c r="T624" s="463"/>
      <c r="U624" s="463"/>
      <c r="V624" s="463"/>
      <c r="W624" s="463"/>
      <c r="X624" s="463"/>
      <c r="Y624" s="463"/>
      <c r="Z624" s="463"/>
    </row>
    <row r="625" spans="1:26" ht="15.75" customHeight="1" x14ac:dyDescent="0.3">
      <c r="A625" s="463"/>
      <c r="B625" s="463"/>
      <c r="C625" s="463"/>
      <c r="D625" s="463"/>
      <c r="E625" s="463"/>
      <c r="F625" s="463"/>
      <c r="G625" s="463"/>
      <c r="H625" s="463"/>
      <c r="I625" s="463"/>
      <c r="J625" s="463"/>
      <c r="K625" s="463"/>
      <c r="L625" s="463"/>
      <c r="M625" s="463"/>
      <c r="N625" s="463"/>
      <c r="O625" s="463"/>
      <c r="P625" s="463"/>
      <c r="Q625" s="463"/>
      <c r="R625" s="463"/>
      <c r="S625" s="463"/>
      <c r="T625" s="463"/>
      <c r="U625" s="463"/>
      <c r="V625" s="463"/>
      <c r="W625" s="463"/>
      <c r="X625" s="463"/>
      <c r="Y625" s="463"/>
      <c r="Z625" s="463"/>
    </row>
    <row r="626" spans="1:26" ht="15.75" customHeight="1" x14ac:dyDescent="0.3">
      <c r="A626" s="463"/>
      <c r="B626" s="463"/>
      <c r="C626" s="463"/>
      <c r="D626" s="463"/>
      <c r="E626" s="463"/>
      <c r="F626" s="463"/>
      <c r="G626" s="463"/>
      <c r="H626" s="463"/>
      <c r="I626" s="463"/>
      <c r="J626" s="463"/>
      <c r="K626" s="463"/>
      <c r="L626" s="463"/>
      <c r="M626" s="463"/>
      <c r="N626" s="463"/>
      <c r="O626" s="463"/>
      <c r="P626" s="463"/>
      <c r="Q626" s="463"/>
      <c r="R626" s="463"/>
      <c r="S626" s="463"/>
      <c r="T626" s="463"/>
      <c r="U626" s="463"/>
      <c r="V626" s="463"/>
      <c r="W626" s="463"/>
      <c r="X626" s="463"/>
      <c r="Y626" s="463"/>
      <c r="Z626" s="463"/>
    </row>
    <row r="627" spans="1:26" ht="15.75" customHeight="1" x14ac:dyDescent="0.3">
      <c r="A627" s="463"/>
      <c r="B627" s="463"/>
      <c r="C627" s="463"/>
      <c r="D627" s="463"/>
      <c r="E627" s="463"/>
      <c r="F627" s="463"/>
      <c r="G627" s="463"/>
      <c r="H627" s="463"/>
      <c r="I627" s="463"/>
      <c r="J627" s="463"/>
      <c r="K627" s="463"/>
      <c r="L627" s="463"/>
      <c r="M627" s="463"/>
      <c r="N627" s="463"/>
      <c r="O627" s="463"/>
      <c r="P627" s="463"/>
      <c r="Q627" s="463"/>
      <c r="R627" s="463"/>
      <c r="S627" s="463"/>
      <c r="T627" s="463"/>
      <c r="U627" s="463"/>
      <c r="V627" s="463"/>
      <c r="W627" s="463"/>
      <c r="X627" s="463"/>
      <c r="Y627" s="463"/>
      <c r="Z627" s="463"/>
    </row>
    <row r="628" spans="1:26" ht="15.75" customHeight="1" x14ac:dyDescent="0.3">
      <c r="A628" s="463"/>
      <c r="B628" s="463"/>
      <c r="C628" s="463"/>
      <c r="D628" s="463"/>
      <c r="E628" s="463"/>
      <c r="F628" s="463"/>
      <c r="G628" s="463"/>
      <c r="H628" s="463"/>
      <c r="I628" s="463"/>
      <c r="J628" s="463"/>
      <c r="K628" s="463"/>
      <c r="L628" s="463"/>
      <c r="M628" s="463"/>
      <c r="N628" s="463"/>
      <c r="O628" s="463"/>
      <c r="P628" s="463"/>
      <c r="Q628" s="463"/>
      <c r="R628" s="463"/>
      <c r="S628" s="463"/>
      <c r="T628" s="463"/>
      <c r="U628" s="463"/>
      <c r="V628" s="463"/>
      <c r="W628" s="463"/>
      <c r="X628" s="463"/>
      <c r="Y628" s="463"/>
      <c r="Z628" s="463"/>
    </row>
    <row r="629" spans="1:26" ht="15.75" customHeight="1" x14ac:dyDescent="0.3">
      <c r="A629" s="463"/>
      <c r="B629" s="463"/>
      <c r="C629" s="463"/>
      <c r="D629" s="463"/>
      <c r="E629" s="463"/>
      <c r="F629" s="463"/>
      <c r="G629" s="463"/>
      <c r="H629" s="463"/>
      <c r="I629" s="463"/>
      <c r="J629" s="463"/>
      <c r="K629" s="463"/>
      <c r="L629" s="463"/>
      <c r="M629" s="463"/>
      <c r="N629" s="463"/>
      <c r="O629" s="463"/>
      <c r="P629" s="463"/>
      <c r="Q629" s="463"/>
      <c r="R629" s="463"/>
      <c r="S629" s="463"/>
      <c r="T629" s="463"/>
      <c r="U629" s="463"/>
      <c r="V629" s="463"/>
      <c r="W629" s="463"/>
      <c r="X629" s="463"/>
      <c r="Y629" s="463"/>
      <c r="Z629" s="463"/>
    </row>
    <row r="630" spans="1:26" ht="15.75" customHeight="1" x14ac:dyDescent="0.3">
      <c r="A630" s="463"/>
      <c r="B630" s="463"/>
      <c r="C630" s="463"/>
      <c r="D630" s="463"/>
      <c r="E630" s="463"/>
      <c r="F630" s="463"/>
      <c r="G630" s="463"/>
      <c r="H630" s="463"/>
      <c r="I630" s="463"/>
      <c r="J630" s="463"/>
      <c r="K630" s="463"/>
      <c r="L630" s="463"/>
      <c r="M630" s="463"/>
      <c r="N630" s="463"/>
      <c r="O630" s="463"/>
      <c r="P630" s="463"/>
      <c r="Q630" s="463"/>
      <c r="R630" s="463"/>
      <c r="S630" s="463"/>
      <c r="T630" s="463"/>
      <c r="U630" s="463"/>
      <c r="V630" s="463"/>
      <c r="W630" s="463"/>
      <c r="X630" s="463"/>
      <c r="Y630" s="463"/>
      <c r="Z630" s="463"/>
    </row>
    <row r="631" spans="1:26" ht="15.75" customHeight="1" x14ac:dyDescent="0.3">
      <c r="A631" s="463"/>
      <c r="B631" s="463"/>
      <c r="C631" s="463"/>
      <c r="D631" s="463"/>
      <c r="E631" s="463"/>
      <c r="F631" s="463"/>
      <c r="G631" s="463"/>
      <c r="H631" s="463"/>
      <c r="I631" s="463"/>
      <c r="J631" s="463"/>
      <c r="K631" s="463"/>
      <c r="L631" s="463"/>
      <c r="M631" s="463"/>
      <c r="N631" s="463"/>
      <c r="O631" s="463"/>
      <c r="P631" s="463"/>
      <c r="Q631" s="463"/>
      <c r="R631" s="463"/>
      <c r="S631" s="463"/>
      <c r="T631" s="463"/>
      <c r="U631" s="463"/>
      <c r="V631" s="463"/>
      <c r="W631" s="463"/>
      <c r="X631" s="463"/>
      <c r="Y631" s="463"/>
      <c r="Z631" s="463"/>
    </row>
    <row r="632" spans="1:26" ht="15.75" customHeight="1" x14ac:dyDescent="0.3">
      <c r="A632" s="463"/>
      <c r="B632" s="463"/>
      <c r="C632" s="463"/>
      <c r="D632" s="463"/>
      <c r="E632" s="463"/>
      <c r="F632" s="463"/>
      <c r="G632" s="463"/>
      <c r="H632" s="463"/>
      <c r="I632" s="463"/>
      <c r="J632" s="463"/>
      <c r="K632" s="463"/>
      <c r="L632" s="463"/>
      <c r="M632" s="463"/>
      <c r="N632" s="463"/>
      <c r="O632" s="463"/>
      <c r="P632" s="463"/>
      <c r="Q632" s="463"/>
      <c r="R632" s="463"/>
      <c r="S632" s="463"/>
      <c r="T632" s="463"/>
      <c r="U632" s="463"/>
      <c r="V632" s="463"/>
      <c r="W632" s="463"/>
      <c r="X632" s="463"/>
      <c r="Y632" s="463"/>
      <c r="Z632" s="463"/>
    </row>
    <row r="633" spans="1:26" ht="15.75" customHeight="1" x14ac:dyDescent="0.3">
      <c r="A633" s="463"/>
      <c r="B633" s="463"/>
      <c r="C633" s="463"/>
      <c r="D633" s="463"/>
      <c r="E633" s="463"/>
      <c r="F633" s="463"/>
      <c r="G633" s="463"/>
      <c r="H633" s="463"/>
      <c r="I633" s="463"/>
      <c r="J633" s="463"/>
      <c r="K633" s="463"/>
      <c r="L633" s="463"/>
      <c r="M633" s="463"/>
      <c r="N633" s="463"/>
      <c r="O633" s="463"/>
      <c r="P633" s="463"/>
      <c r="Q633" s="463"/>
      <c r="R633" s="463"/>
      <c r="S633" s="463"/>
      <c r="T633" s="463"/>
      <c r="U633" s="463"/>
      <c r="V633" s="463"/>
      <c r="W633" s="463"/>
      <c r="X633" s="463"/>
      <c r="Y633" s="463"/>
      <c r="Z633" s="463"/>
    </row>
    <row r="634" spans="1:26" ht="15.75" customHeight="1" x14ac:dyDescent="0.3">
      <c r="A634" s="463"/>
      <c r="B634" s="463"/>
      <c r="C634" s="463"/>
      <c r="D634" s="463"/>
      <c r="E634" s="463"/>
      <c r="F634" s="463"/>
      <c r="G634" s="463"/>
      <c r="H634" s="463"/>
      <c r="I634" s="463"/>
      <c r="J634" s="463"/>
      <c r="K634" s="463"/>
      <c r="L634" s="463"/>
      <c r="M634" s="463"/>
      <c r="N634" s="463"/>
      <c r="O634" s="463"/>
      <c r="P634" s="463"/>
      <c r="Q634" s="463"/>
      <c r="R634" s="463"/>
      <c r="S634" s="463"/>
      <c r="T634" s="463"/>
      <c r="U634" s="463"/>
      <c r="V634" s="463"/>
      <c r="W634" s="463"/>
      <c r="X634" s="463"/>
      <c r="Y634" s="463"/>
      <c r="Z634" s="463"/>
    </row>
    <row r="635" spans="1:26" ht="15.75" customHeight="1" x14ac:dyDescent="0.3">
      <c r="A635" s="463"/>
      <c r="B635" s="463"/>
      <c r="C635" s="463"/>
      <c r="D635" s="463"/>
      <c r="E635" s="463"/>
      <c r="F635" s="463"/>
      <c r="G635" s="463"/>
      <c r="H635" s="463"/>
      <c r="I635" s="463"/>
      <c r="J635" s="463"/>
      <c r="K635" s="463"/>
      <c r="L635" s="463"/>
      <c r="M635" s="463"/>
      <c r="N635" s="463"/>
      <c r="O635" s="463"/>
      <c r="P635" s="463"/>
      <c r="Q635" s="463"/>
      <c r="R635" s="463"/>
      <c r="S635" s="463"/>
      <c r="T635" s="463"/>
      <c r="U635" s="463"/>
      <c r="V635" s="463"/>
      <c r="W635" s="463"/>
      <c r="X635" s="463"/>
      <c r="Y635" s="463"/>
      <c r="Z635" s="463"/>
    </row>
    <row r="636" spans="1:26" ht="15.75" customHeight="1" x14ac:dyDescent="0.3">
      <c r="A636" s="463"/>
      <c r="B636" s="463"/>
      <c r="C636" s="463"/>
      <c r="D636" s="463"/>
      <c r="E636" s="463"/>
      <c r="F636" s="463"/>
      <c r="G636" s="463"/>
      <c r="H636" s="463"/>
      <c r="I636" s="463"/>
      <c r="J636" s="463"/>
      <c r="K636" s="463"/>
      <c r="L636" s="463"/>
      <c r="M636" s="463"/>
      <c r="N636" s="463"/>
      <c r="O636" s="463"/>
      <c r="P636" s="463"/>
      <c r="Q636" s="463"/>
      <c r="R636" s="463"/>
      <c r="S636" s="463"/>
      <c r="T636" s="463"/>
      <c r="U636" s="463"/>
      <c r="V636" s="463"/>
      <c r="W636" s="463"/>
      <c r="X636" s="463"/>
      <c r="Y636" s="463"/>
      <c r="Z636" s="463"/>
    </row>
    <row r="637" spans="1:26" ht="15.75" customHeight="1" x14ac:dyDescent="0.3">
      <c r="A637" s="463"/>
      <c r="B637" s="463"/>
      <c r="C637" s="463"/>
      <c r="D637" s="463"/>
      <c r="E637" s="463"/>
      <c r="F637" s="463"/>
      <c r="G637" s="463"/>
      <c r="H637" s="463"/>
      <c r="I637" s="463"/>
      <c r="J637" s="463"/>
      <c r="K637" s="463"/>
      <c r="L637" s="463"/>
      <c r="M637" s="463"/>
      <c r="N637" s="463"/>
      <c r="O637" s="463"/>
      <c r="P637" s="463"/>
      <c r="Q637" s="463"/>
      <c r="R637" s="463"/>
      <c r="S637" s="463"/>
      <c r="T637" s="463"/>
      <c r="U637" s="463"/>
      <c r="V637" s="463"/>
      <c r="W637" s="463"/>
      <c r="X637" s="463"/>
      <c r="Y637" s="463"/>
      <c r="Z637" s="463"/>
    </row>
    <row r="638" spans="1:26" ht="15.75" customHeight="1" x14ac:dyDescent="0.3">
      <c r="A638" s="463"/>
      <c r="B638" s="463"/>
      <c r="C638" s="463"/>
      <c r="D638" s="463"/>
      <c r="E638" s="463"/>
      <c r="F638" s="463"/>
      <c r="G638" s="463"/>
      <c r="H638" s="463"/>
      <c r="I638" s="463"/>
      <c r="J638" s="463"/>
      <c r="K638" s="463"/>
      <c r="L638" s="463"/>
      <c r="M638" s="463"/>
      <c r="N638" s="463"/>
      <c r="O638" s="463"/>
      <c r="P638" s="463"/>
      <c r="Q638" s="463"/>
      <c r="R638" s="463"/>
      <c r="S638" s="463"/>
      <c r="T638" s="463"/>
      <c r="U638" s="463"/>
      <c r="V638" s="463"/>
      <c r="W638" s="463"/>
      <c r="X638" s="463"/>
      <c r="Y638" s="463"/>
      <c r="Z638" s="463"/>
    </row>
    <row r="639" spans="1:26" ht="15.75" customHeight="1" x14ac:dyDescent="0.3">
      <c r="A639" s="463"/>
      <c r="B639" s="463"/>
      <c r="C639" s="463"/>
      <c r="D639" s="463"/>
      <c r="E639" s="463"/>
      <c r="F639" s="463"/>
      <c r="G639" s="463"/>
      <c r="H639" s="463"/>
      <c r="I639" s="463"/>
      <c r="J639" s="463"/>
      <c r="K639" s="463"/>
      <c r="L639" s="463"/>
      <c r="M639" s="463"/>
      <c r="N639" s="463"/>
      <c r="O639" s="463"/>
      <c r="P639" s="463"/>
      <c r="Q639" s="463"/>
      <c r="R639" s="463"/>
      <c r="S639" s="463"/>
      <c r="T639" s="463"/>
      <c r="U639" s="463"/>
      <c r="V639" s="463"/>
      <c r="W639" s="463"/>
      <c r="X639" s="463"/>
      <c r="Y639" s="463"/>
      <c r="Z639" s="463"/>
    </row>
    <row r="640" spans="1:26" ht="15.75" customHeight="1" x14ac:dyDescent="0.3">
      <c r="A640" s="463"/>
      <c r="B640" s="463"/>
      <c r="C640" s="463"/>
      <c r="D640" s="463"/>
      <c r="E640" s="463"/>
      <c r="F640" s="463"/>
      <c r="G640" s="463"/>
      <c r="H640" s="463"/>
      <c r="I640" s="463"/>
      <c r="J640" s="463"/>
      <c r="K640" s="463"/>
      <c r="L640" s="463"/>
      <c r="M640" s="463"/>
      <c r="N640" s="463"/>
      <c r="O640" s="463"/>
      <c r="P640" s="463"/>
      <c r="Q640" s="463"/>
      <c r="R640" s="463"/>
      <c r="S640" s="463"/>
      <c r="T640" s="463"/>
      <c r="U640" s="463"/>
      <c r="V640" s="463"/>
      <c r="W640" s="463"/>
      <c r="X640" s="463"/>
      <c r="Y640" s="463"/>
      <c r="Z640" s="463"/>
    </row>
    <row r="641" spans="1:26" ht="15.75" customHeight="1" x14ac:dyDescent="0.3">
      <c r="A641" s="463"/>
      <c r="B641" s="463"/>
      <c r="C641" s="463"/>
      <c r="D641" s="463"/>
      <c r="E641" s="463"/>
      <c r="F641" s="463"/>
      <c r="G641" s="463"/>
      <c r="H641" s="463"/>
      <c r="I641" s="463"/>
      <c r="J641" s="463"/>
      <c r="K641" s="463"/>
      <c r="L641" s="463"/>
      <c r="M641" s="463"/>
      <c r="N641" s="463"/>
      <c r="O641" s="463"/>
      <c r="P641" s="463"/>
      <c r="Q641" s="463"/>
      <c r="R641" s="463"/>
      <c r="S641" s="463"/>
      <c r="T641" s="463"/>
      <c r="U641" s="463"/>
      <c r="V641" s="463"/>
      <c r="W641" s="463"/>
      <c r="X641" s="463"/>
      <c r="Y641" s="463"/>
      <c r="Z641" s="463"/>
    </row>
    <row r="642" spans="1:26" ht="15.75" customHeight="1" x14ac:dyDescent="0.3">
      <c r="A642" s="463"/>
      <c r="B642" s="463"/>
      <c r="C642" s="463"/>
      <c r="D642" s="463"/>
      <c r="E642" s="463"/>
      <c r="F642" s="463"/>
      <c r="G642" s="463"/>
      <c r="H642" s="463"/>
      <c r="I642" s="463"/>
      <c r="J642" s="463"/>
      <c r="K642" s="463"/>
      <c r="L642" s="463"/>
      <c r="M642" s="463"/>
      <c r="N642" s="463"/>
      <c r="O642" s="463"/>
      <c r="P642" s="463"/>
      <c r="Q642" s="463"/>
      <c r="R642" s="463"/>
      <c r="S642" s="463"/>
      <c r="T642" s="463"/>
      <c r="U642" s="463"/>
      <c r="V642" s="463"/>
      <c r="W642" s="463"/>
      <c r="X642" s="463"/>
      <c r="Y642" s="463"/>
      <c r="Z642" s="463"/>
    </row>
    <row r="643" spans="1:26" ht="15.75" customHeight="1" x14ac:dyDescent="0.3">
      <c r="A643" s="463"/>
      <c r="B643" s="463"/>
      <c r="C643" s="463"/>
      <c r="D643" s="463"/>
      <c r="E643" s="463"/>
      <c r="F643" s="463"/>
      <c r="G643" s="463"/>
      <c r="H643" s="463"/>
      <c r="I643" s="463"/>
      <c r="J643" s="463"/>
      <c r="K643" s="463"/>
      <c r="L643" s="463"/>
      <c r="M643" s="463"/>
      <c r="N643" s="463"/>
      <c r="O643" s="463"/>
      <c r="P643" s="463"/>
      <c r="Q643" s="463"/>
      <c r="R643" s="463"/>
      <c r="S643" s="463"/>
      <c r="T643" s="463"/>
      <c r="U643" s="463"/>
      <c r="V643" s="463"/>
      <c r="W643" s="463"/>
      <c r="X643" s="463"/>
      <c r="Y643" s="463"/>
      <c r="Z643" s="463"/>
    </row>
    <row r="644" spans="1:26" ht="15.75" customHeight="1" x14ac:dyDescent="0.3">
      <c r="A644" s="463"/>
      <c r="B644" s="463"/>
      <c r="C644" s="463"/>
      <c r="D644" s="463"/>
      <c r="E644" s="463"/>
      <c r="F644" s="463"/>
      <c r="G644" s="463"/>
      <c r="H644" s="463"/>
      <c r="I644" s="463"/>
      <c r="J644" s="463"/>
      <c r="K644" s="463"/>
      <c r="L644" s="463"/>
      <c r="M644" s="463"/>
      <c r="N644" s="463"/>
      <c r="O644" s="463"/>
      <c r="P644" s="463"/>
      <c r="Q644" s="463"/>
      <c r="R644" s="463"/>
      <c r="S644" s="463"/>
      <c r="T644" s="463"/>
      <c r="U644" s="463"/>
      <c r="V644" s="463"/>
      <c r="W644" s="463"/>
      <c r="X644" s="463"/>
      <c r="Y644" s="463"/>
      <c r="Z644" s="463"/>
    </row>
    <row r="645" spans="1:26" ht="15.75" customHeight="1" x14ac:dyDescent="0.3">
      <c r="A645" s="463"/>
      <c r="B645" s="463"/>
      <c r="C645" s="463"/>
      <c r="D645" s="463"/>
      <c r="E645" s="463"/>
      <c r="F645" s="463"/>
      <c r="G645" s="463"/>
      <c r="H645" s="463"/>
      <c r="I645" s="463"/>
      <c r="J645" s="463"/>
      <c r="K645" s="463"/>
      <c r="L645" s="463"/>
      <c r="M645" s="463"/>
      <c r="N645" s="463"/>
      <c r="O645" s="463"/>
      <c r="P645" s="463"/>
      <c r="Q645" s="463"/>
      <c r="R645" s="463"/>
      <c r="S645" s="463"/>
      <c r="T645" s="463"/>
      <c r="U645" s="463"/>
      <c r="V645" s="463"/>
      <c r="W645" s="463"/>
      <c r="X645" s="463"/>
      <c r="Y645" s="463"/>
      <c r="Z645" s="463"/>
    </row>
    <row r="646" spans="1:26" ht="15.75" customHeight="1" x14ac:dyDescent="0.3">
      <c r="A646" s="463"/>
      <c r="B646" s="463"/>
      <c r="C646" s="463"/>
      <c r="D646" s="463"/>
      <c r="E646" s="463"/>
      <c r="F646" s="463"/>
      <c r="G646" s="463"/>
      <c r="H646" s="463"/>
      <c r="I646" s="463"/>
      <c r="J646" s="463"/>
      <c r="K646" s="463"/>
      <c r="L646" s="463"/>
      <c r="M646" s="463"/>
      <c r="N646" s="463"/>
      <c r="O646" s="463"/>
      <c r="P646" s="463"/>
      <c r="Q646" s="463"/>
      <c r="R646" s="463"/>
      <c r="S646" s="463"/>
      <c r="T646" s="463"/>
      <c r="U646" s="463"/>
      <c r="V646" s="463"/>
      <c r="W646" s="463"/>
      <c r="X646" s="463"/>
      <c r="Y646" s="463"/>
      <c r="Z646" s="463"/>
    </row>
    <row r="647" spans="1:26" ht="15.75" customHeight="1" x14ac:dyDescent="0.3">
      <c r="A647" s="463"/>
      <c r="B647" s="463"/>
      <c r="C647" s="463"/>
      <c r="D647" s="463"/>
      <c r="E647" s="463"/>
      <c r="F647" s="463"/>
      <c r="G647" s="463"/>
      <c r="H647" s="463"/>
      <c r="I647" s="463"/>
      <c r="J647" s="463"/>
      <c r="K647" s="463"/>
      <c r="L647" s="463"/>
      <c r="M647" s="463"/>
      <c r="N647" s="463"/>
      <c r="O647" s="463"/>
      <c r="P647" s="463"/>
      <c r="Q647" s="463"/>
      <c r="R647" s="463"/>
      <c r="S647" s="463"/>
      <c r="T647" s="463"/>
      <c r="U647" s="463"/>
      <c r="V647" s="463"/>
      <c r="W647" s="463"/>
      <c r="X647" s="463"/>
      <c r="Y647" s="463"/>
      <c r="Z647" s="463"/>
    </row>
    <row r="648" spans="1:26" ht="15.75" customHeight="1" x14ac:dyDescent="0.3">
      <c r="A648" s="463"/>
      <c r="B648" s="463"/>
      <c r="C648" s="463"/>
      <c r="D648" s="463"/>
      <c r="E648" s="463"/>
      <c r="F648" s="463"/>
      <c r="G648" s="463"/>
      <c r="H648" s="463"/>
      <c r="I648" s="463"/>
      <c r="J648" s="463"/>
      <c r="K648" s="463"/>
      <c r="L648" s="463"/>
      <c r="M648" s="463"/>
      <c r="N648" s="463"/>
      <c r="O648" s="463"/>
      <c r="P648" s="463"/>
      <c r="Q648" s="463"/>
      <c r="R648" s="463"/>
      <c r="S648" s="463"/>
      <c r="T648" s="463"/>
      <c r="U648" s="463"/>
      <c r="V648" s="463"/>
      <c r="W648" s="463"/>
      <c r="X648" s="463"/>
      <c r="Y648" s="463"/>
      <c r="Z648" s="463"/>
    </row>
    <row r="649" spans="1:26" ht="15.75" customHeight="1" x14ac:dyDescent="0.3">
      <c r="A649" s="463"/>
      <c r="B649" s="463"/>
      <c r="C649" s="463"/>
      <c r="D649" s="463"/>
      <c r="E649" s="463"/>
      <c r="F649" s="463"/>
      <c r="G649" s="463"/>
      <c r="H649" s="463"/>
      <c r="I649" s="463"/>
      <c r="J649" s="463"/>
      <c r="K649" s="463"/>
      <c r="L649" s="463"/>
      <c r="M649" s="463"/>
      <c r="N649" s="463"/>
      <c r="O649" s="463"/>
      <c r="P649" s="463"/>
      <c r="Q649" s="463"/>
      <c r="R649" s="463"/>
      <c r="S649" s="463"/>
      <c r="T649" s="463"/>
      <c r="U649" s="463"/>
      <c r="V649" s="463"/>
      <c r="W649" s="463"/>
      <c r="X649" s="463"/>
      <c r="Y649" s="463"/>
      <c r="Z649" s="463"/>
    </row>
    <row r="650" spans="1:26" ht="15.75" customHeight="1" x14ac:dyDescent="0.3">
      <c r="A650" s="463"/>
      <c r="B650" s="463"/>
      <c r="C650" s="463"/>
      <c r="D650" s="463"/>
      <c r="E650" s="463"/>
      <c r="F650" s="463"/>
      <c r="G650" s="463"/>
      <c r="H650" s="463"/>
      <c r="I650" s="463"/>
      <c r="J650" s="463"/>
      <c r="K650" s="463"/>
      <c r="L650" s="463"/>
      <c r="M650" s="463"/>
      <c r="N650" s="463"/>
      <c r="O650" s="463"/>
      <c r="P650" s="463"/>
      <c r="Q650" s="463"/>
      <c r="R650" s="463"/>
      <c r="S650" s="463"/>
      <c r="T650" s="463"/>
      <c r="U650" s="463"/>
      <c r="V650" s="463"/>
      <c r="W650" s="463"/>
      <c r="X650" s="463"/>
      <c r="Y650" s="463"/>
      <c r="Z650" s="463"/>
    </row>
    <row r="651" spans="1:26" ht="15.75" customHeight="1" x14ac:dyDescent="0.3">
      <c r="A651" s="463"/>
      <c r="B651" s="463"/>
      <c r="C651" s="463"/>
      <c r="D651" s="463"/>
      <c r="E651" s="463"/>
      <c r="F651" s="463"/>
      <c r="G651" s="463"/>
      <c r="H651" s="463"/>
      <c r="I651" s="463"/>
      <c r="J651" s="463"/>
      <c r="K651" s="463"/>
      <c r="L651" s="463"/>
      <c r="M651" s="463"/>
      <c r="N651" s="463"/>
      <c r="O651" s="463"/>
      <c r="P651" s="463"/>
      <c r="Q651" s="463"/>
      <c r="R651" s="463"/>
      <c r="S651" s="463"/>
      <c r="T651" s="463"/>
      <c r="U651" s="463"/>
      <c r="V651" s="463"/>
      <c r="W651" s="463"/>
      <c r="X651" s="463"/>
      <c r="Y651" s="463"/>
      <c r="Z651" s="463"/>
    </row>
    <row r="652" spans="1:26" ht="15.75" customHeight="1" x14ac:dyDescent="0.3">
      <c r="A652" s="463"/>
      <c r="B652" s="463"/>
      <c r="C652" s="463"/>
      <c r="D652" s="463"/>
      <c r="E652" s="463"/>
      <c r="F652" s="463"/>
      <c r="G652" s="463"/>
      <c r="H652" s="463"/>
      <c r="I652" s="463"/>
      <c r="J652" s="463"/>
      <c r="K652" s="463"/>
      <c r="L652" s="463"/>
      <c r="M652" s="463"/>
      <c r="N652" s="463"/>
      <c r="O652" s="463"/>
      <c r="P652" s="463"/>
      <c r="Q652" s="463"/>
      <c r="R652" s="463"/>
      <c r="S652" s="463"/>
      <c r="T652" s="463"/>
      <c r="U652" s="463"/>
      <c r="V652" s="463"/>
      <c r="W652" s="463"/>
      <c r="X652" s="463"/>
      <c r="Y652" s="463"/>
      <c r="Z652" s="463"/>
    </row>
    <row r="653" spans="1:26" ht="15.75" customHeight="1" x14ac:dyDescent="0.3">
      <c r="A653" s="463"/>
      <c r="B653" s="463"/>
      <c r="C653" s="463"/>
      <c r="D653" s="463"/>
      <c r="E653" s="463"/>
      <c r="F653" s="463"/>
      <c r="G653" s="463"/>
      <c r="H653" s="463"/>
      <c r="I653" s="463"/>
      <c r="J653" s="463"/>
      <c r="K653" s="463"/>
      <c r="L653" s="463"/>
      <c r="M653" s="463"/>
      <c r="N653" s="463"/>
      <c r="O653" s="463"/>
      <c r="P653" s="463"/>
      <c r="Q653" s="463"/>
      <c r="R653" s="463"/>
      <c r="S653" s="463"/>
      <c r="T653" s="463"/>
      <c r="U653" s="463"/>
      <c r="V653" s="463"/>
      <c r="W653" s="463"/>
      <c r="X653" s="463"/>
      <c r="Y653" s="463"/>
      <c r="Z653" s="463"/>
    </row>
    <row r="654" spans="1:26" ht="15.75" customHeight="1" x14ac:dyDescent="0.3">
      <c r="A654" s="463"/>
      <c r="B654" s="463"/>
      <c r="C654" s="463"/>
      <c r="D654" s="463"/>
      <c r="E654" s="463"/>
      <c r="F654" s="463"/>
      <c r="G654" s="463"/>
      <c r="H654" s="463"/>
      <c r="I654" s="463"/>
      <c r="J654" s="463"/>
      <c r="K654" s="463"/>
      <c r="L654" s="463"/>
      <c r="M654" s="463"/>
      <c r="N654" s="463"/>
      <c r="O654" s="463"/>
      <c r="P654" s="463"/>
      <c r="Q654" s="463"/>
      <c r="R654" s="463"/>
      <c r="S654" s="463"/>
      <c r="T654" s="463"/>
      <c r="U654" s="463"/>
      <c r="V654" s="463"/>
      <c r="W654" s="463"/>
      <c r="X654" s="463"/>
      <c r="Y654" s="463"/>
      <c r="Z654" s="463"/>
    </row>
    <row r="655" spans="1:26" ht="15.75" customHeight="1" x14ac:dyDescent="0.3">
      <c r="A655" s="463"/>
      <c r="B655" s="463"/>
      <c r="C655" s="463"/>
      <c r="D655" s="463"/>
      <c r="E655" s="463"/>
      <c r="F655" s="463"/>
      <c r="G655" s="463"/>
      <c r="H655" s="463"/>
      <c r="I655" s="463"/>
      <c r="J655" s="463"/>
      <c r="K655" s="463"/>
      <c r="L655" s="463"/>
      <c r="M655" s="463"/>
      <c r="N655" s="463"/>
      <c r="O655" s="463"/>
      <c r="P655" s="463"/>
      <c r="Q655" s="463"/>
      <c r="R655" s="463"/>
      <c r="S655" s="463"/>
      <c r="T655" s="463"/>
      <c r="U655" s="463"/>
      <c r="V655" s="463"/>
      <c r="W655" s="463"/>
      <c r="X655" s="463"/>
      <c r="Y655" s="463"/>
      <c r="Z655" s="463"/>
    </row>
    <row r="656" spans="1:26" ht="15.75" customHeight="1" x14ac:dyDescent="0.3">
      <c r="A656" s="463"/>
      <c r="B656" s="463"/>
      <c r="C656" s="463"/>
      <c r="D656" s="463"/>
      <c r="E656" s="463"/>
      <c r="F656" s="463"/>
      <c r="G656" s="463"/>
      <c r="H656" s="463"/>
      <c r="I656" s="463"/>
      <c r="J656" s="463"/>
      <c r="K656" s="463"/>
      <c r="L656" s="463"/>
      <c r="M656" s="463"/>
      <c r="N656" s="463"/>
      <c r="O656" s="463"/>
      <c r="P656" s="463"/>
      <c r="Q656" s="463"/>
      <c r="R656" s="463"/>
      <c r="S656" s="463"/>
      <c r="T656" s="463"/>
      <c r="U656" s="463"/>
      <c r="V656" s="463"/>
      <c r="W656" s="463"/>
      <c r="X656" s="463"/>
      <c r="Y656" s="463"/>
      <c r="Z656" s="463"/>
    </row>
    <row r="657" spans="1:26" ht="15.75" customHeight="1" x14ac:dyDescent="0.3">
      <c r="A657" s="463"/>
      <c r="B657" s="463"/>
      <c r="C657" s="463"/>
      <c r="D657" s="463"/>
      <c r="E657" s="463"/>
      <c r="F657" s="463"/>
      <c r="G657" s="463"/>
      <c r="H657" s="463"/>
      <c r="I657" s="463"/>
      <c r="J657" s="463"/>
      <c r="K657" s="463"/>
      <c r="L657" s="463"/>
      <c r="M657" s="463"/>
      <c r="N657" s="463"/>
      <c r="O657" s="463"/>
      <c r="P657" s="463"/>
      <c r="Q657" s="463"/>
      <c r="R657" s="463"/>
      <c r="S657" s="463"/>
      <c r="T657" s="463"/>
      <c r="U657" s="463"/>
      <c r="V657" s="463"/>
      <c r="W657" s="463"/>
      <c r="X657" s="463"/>
      <c r="Y657" s="463"/>
      <c r="Z657" s="463"/>
    </row>
    <row r="658" spans="1:26" ht="15.75" customHeight="1" x14ac:dyDescent="0.3">
      <c r="A658" s="463"/>
      <c r="B658" s="463"/>
      <c r="C658" s="463"/>
      <c r="D658" s="463"/>
      <c r="E658" s="463"/>
      <c r="F658" s="463"/>
      <c r="G658" s="463"/>
      <c r="H658" s="463"/>
      <c r="I658" s="463"/>
      <c r="J658" s="463"/>
      <c r="K658" s="463"/>
      <c r="L658" s="463"/>
      <c r="M658" s="463"/>
      <c r="N658" s="463"/>
      <c r="O658" s="463"/>
      <c r="P658" s="463"/>
      <c r="Q658" s="463"/>
      <c r="R658" s="463"/>
      <c r="S658" s="463"/>
      <c r="T658" s="463"/>
      <c r="U658" s="463"/>
      <c r="V658" s="463"/>
      <c r="W658" s="463"/>
      <c r="X658" s="463"/>
      <c r="Y658" s="463"/>
      <c r="Z658" s="463"/>
    </row>
    <row r="659" spans="1:26" ht="15.75" customHeight="1" x14ac:dyDescent="0.3">
      <c r="A659" s="463"/>
      <c r="B659" s="463"/>
      <c r="C659" s="463"/>
      <c r="D659" s="463"/>
      <c r="E659" s="463"/>
      <c r="F659" s="463"/>
      <c r="G659" s="463"/>
      <c r="H659" s="463"/>
      <c r="I659" s="463"/>
      <c r="J659" s="463"/>
      <c r="K659" s="463"/>
      <c r="L659" s="463"/>
      <c r="M659" s="463"/>
      <c r="N659" s="463"/>
      <c r="O659" s="463"/>
      <c r="P659" s="463"/>
      <c r="Q659" s="463"/>
      <c r="R659" s="463"/>
      <c r="S659" s="463"/>
      <c r="T659" s="463"/>
      <c r="U659" s="463"/>
      <c r="V659" s="463"/>
      <c r="W659" s="463"/>
      <c r="X659" s="463"/>
      <c r="Y659" s="463"/>
      <c r="Z659" s="463"/>
    </row>
    <row r="660" spans="1:26" ht="15.75" customHeight="1" x14ac:dyDescent="0.3">
      <c r="A660" s="463"/>
      <c r="B660" s="463"/>
      <c r="C660" s="463"/>
      <c r="D660" s="463"/>
      <c r="E660" s="463"/>
      <c r="F660" s="463"/>
      <c r="G660" s="463"/>
      <c r="H660" s="463"/>
      <c r="I660" s="463"/>
      <c r="J660" s="463"/>
      <c r="K660" s="463"/>
      <c r="L660" s="463"/>
      <c r="M660" s="463"/>
      <c r="N660" s="463"/>
      <c r="O660" s="463"/>
      <c r="P660" s="463"/>
      <c r="Q660" s="463"/>
      <c r="R660" s="463"/>
      <c r="S660" s="463"/>
      <c r="T660" s="463"/>
      <c r="U660" s="463"/>
      <c r="V660" s="463"/>
      <c r="W660" s="463"/>
      <c r="X660" s="463"/>
      <c r="Y660" s="463"/>
      <c r="Z660" s="463"/>
    </row>
    <row r="661" spans="1:26" ht="15.75" customHeight="1" x14ac:dyDescent="0.3">
      <c r="A661" s="463"/>
      <c r="B661" s="463"/>
      <c r="C661" s="463"/>
      <c r="D661" s="463"/>
      <c r="E661" s="463"/>
      <c r="F661" s="463"/>
      <c r="G661" s="463"/>
      <c r="H661" s="463"/>
      <c r="I661" s="463"/>
      <c r="J661" s="463"/>
      <c r="K661" s="463"/>
      <c r="L661" s="463"/>
      <c r="M661" s="463"/>
      <c r="N661" s="463"/>
      <c r="O661" s="463"/>
      <c r="P661" s="463"/>
      <c r="Q661" s="463"/>
      <c r="R661" s="463"/>
      <c r="S661" s="463"/>
      <c r="T661" s="463"/>
      <c r="U661" s="463"/>
      <c r="V661" s="463"/>
      <c r="W661" s="463"/>
      <c r="X661" s="463"/>
      <c r="Y661" s="463"/>
      <c r="Z661" s="463"/>
    </row>
    <row r="662" spans="1:26" ht="15.75" customHeight="1" x14ac:dyDescent="0.3">
      <c r="A662" s="463"/>
      <c r="B662" s="463"/>
      <c r="C662" s="463"/>
      <c r="D662" s="463"/>
      <c r="E662" s="463"/>
      <c r="F662" s="463"/>
      <c r="G662" s="463"/>
      <c r="H662" s="463"/>
      <c r="I662" s="463"/>
      <c r="J662" s="463"/>
      <c r="K662" s="463"/>
      <c r="L662" s="463"/>
      <c r="M662" s="463"/>
      <c r="N662" s="463"/>
      <c r="O662" s="463"/>
      <c r="P662" s="463"/>
      <c r="Q662" s="463"/>
      <c r="R662" s="463"/>
      <c r="S662" s="463"/>
      <c r="T662" s="463"/>
      <c r="U662" s="463"/>
      <c r="V662" s="463"/>
      <c r="W662" s="463"/>
      <c r="X662" s="463"/>
      <c r="Y662" s="463"/>
      <c r="Z662" s="463"/>
    </row>
    <row r="663" spans="1:26" ht="15.75" customHeight="1" x14ac:dyDescent="0.3">
      <c r="A663" s="463"/>
      <c r="B663" s="463"/>
      <c r="C663" s="463"/>
      <c r="D663" s="463"/>
      <c r="E663" s="463"/>
      <c r="F663" s="463"/>
      <c r="G663" s="463"/>
      <c r="H663" s="463"/>
      <c r="I663" s="463"/>
      <c r="J663" s="463"/>
      <c r="K663" s="463"/>
      <c r="L663" s="463"/>
      <c r="M663" s="463"/>
      <c r="N663" s="463"/>
      <c r="O663" s="463"/>
      <c r="P663" s="463"/>
      <c r="Q663" s="463"/>
      <c r="R663" s="463"/>
      <c r="S663" s="463"/>
      <c r="T663" s="463"/>
      <c r="U663" s="463"/>
      <c r="V663" s="463"/>
      <c r="W663" s="463"/>
      <c r="X663" s="463"/>
      <c r="Y663" s="463"/>
      <c r="Z663" s="463"/>
    </row>
    <row r="664" spans="1:26" ht="15.75" customHeight="1" x14ac:dyDescent="0.3">
      <c r="A664" s="463"/>
      <c r="B664" s="463"/>
      <c r="C664" s="463"/>
      <c r="D664" s="463"/>
      <c r="E664" s="463"/>
      <c r="F664" s="463"/>
      <c r="G664" s="463"/>
      <c r="H664" s="463"/>
      <c r="I664" s="463"/>
      <c r="J664" s="463"/>
      <c r="K664" s="463"/>
      <c r="L664" s="463"/>
      <c r="M664" s="463"/>
      <c r="N664" s="463"/>
      <c r="O664" s="463"/>
      <c r="P664" s="463"/>
      <c r="Q664" s="463"/>
      <c r="R664" s="463"/>
      <c r="S664" s="463"/>
      <c r="T664" s="463"/>
      <c r="U664" s="463"/>
      <c r="V664" s="463"/>
      <c r="W664" s="463"/>
      <c r="X664" s="463"/>
      <c r="Y664" s="463"/>
      <c r="Z664" s="463"/>
    </row>
    <row r="665" spans="1:26" ht="15.75" customHeight="1" x14ac:dyDescent="0.3">
      <c r="A665" s="463"/>
      <c r="B665" s="463"/>
      <c r="C665" s="463"/>
      <c r="D665" s="463"/>
      <c r="E665" s="463"/>
      <c r="F665" s="463"/>
      <c r="G665" s="463"/>
      <c r="H665" s="463"/>
      <c r="I665" s="463"/>
      <c r="J665" s="463"/>
      <c r="K665" s="463"/>
      <c r="L665" s="463"/>
      <c r="M665" s="463"/>
      <c r="N665" s="463"/>
      <c r="O665" s="463"/>
      <c r="P665" s="463"/>
      <c r="Q665" s="463"/>
      <c r="R665" s="463"/>
      <c r="S665" s="463"/>
      <c r="T665" s="463"/>
      <c r="U665" s="463"/>
      <c r="V665" s="463"/>
      <c r="W665" s="463"/>
      <c r="X665" s="463"/>
      <c r="Y665" s="463"/>
      <c r="Z665" s="463"/>
    </row>
    <row r="666" spans="1:26" ht="15.75" customHeight="1" x14ac:dyDescent="0.3">
      <c r="A666" s="463"/>
      <c r="B666" s="463"/>
      <c r="C666" s="463"/>
      <c r="D666" s="463"/>
      <c r="E666" s="463"/>
      <c r="F666" s="463"/>
      <c r="G666" s="463"/>
      <c r="H666" s="463"/>
      <c r="I666" s="463"/>
      <c r="J666" s="463"/>
      <c r="K666" s="463"/>
      <c r="L666" s="463"/>
      <c r="M666" s="463"/>
      <c r="N666" s="463"/>
      <c r="O666" s="463"/>
      <c r="P666" s="463"/>
      <c r="Q666" s="463"/>
      <c r="R666" s="463"/>
      <c r="S666" s="463"/>
      <c r="T666" s="463"/>
      <c r="U666" s="463"/>
      <c r="V666" s="463"/>
      <c r="W666" s="463"/>
      <c r="X666" s="463"/>
      <c r="Y666" s="463"/>
      <c r="Z666" s="463"/>
    </row>
    <row r="667" spans="1:26" ht="15.75" customHeight="1" x14ac:dyDescent="0.3">
      <c r="A667" s="463"/>
      <c r="B667" s="463"/>
      <c r="C667" s="463"/>
      <c r="D667" s="463"/>
      <c r="E667" s="463"/>
      <c r="F667" s="463"/>
      <c r="G667" s="463"/>
      <c r="H667" s="463"/>
      <c r="I667" s="463"/>
      <c r="J667" s="463"/>
      <c r="K667" s="463"/>
      <c r="L667" s="463"/>
      <c r="M667" s="463"/>
      <c r="N667" s="463"/>
      <c r="O667" s="463"/>
      <c r="P667" s="463"/>
      <c r="Q667" s="463"/>
      <c r="R667" s="463"/>
      <c r="S667" s="463"/>
      <c r="T667" s="463"/>
      <c r="U667" s="463"/>
      <c r="V667" s="463"/>
      <c r="W667" s="463"/>
      <c r="X667" s="463"/>
      <c r="Y667" s="463"/>
      <c r="Z667" s="463"/>
    </row>
    <row r="668" spans="1:26" ht="15.75" customHeight="1" x14ac:dyDescent="0.3">
      <c r="A668" s="463"/>
      <c r="B668" s="463"/>
      <c r="C668" s="463"/>
      <c r="D668" s="463"/>
      <c r="E668" s="463"/>
      <c r="F668" s="463"/>
      <c r="G668" s="463"/>
      <c r="H668" s="463"/>
      <c r="I668" s="463"/>
      <c r="J668" s="463"/>
      <c r="K668" s="463"/>
      <c r="L668" s="463"/>
      <c r="M668" s="463"/>
      <c r="N668" s="463"/>
      <c r="O668" s="463"/>
      <c r="P668" s="463"/>
      <c r="Q668" s="463"/>
      <c r="R668" s="463"/>
      <c r="S668" s="463"/>
      <c r="T668" s="463"/>
      <c r="U668" s="463"/>
      <c r="V668" s="463"/>
      <c r="W668" s="463"/>
      <c r="X668" s="463"/>
      <c r="Y668" s="463"/>
      <c r="Z668" s="463"/>
    </row>
    <row r="669" spans="1:26" ht="15.75" customHeight="1" x14ac:dyDescent="0.3">
      <c r="A669" s="463"/>
      <c r="B669" s="463"/>
      <c r="C669" s="463"/>
      <c r="D669" s="463"/>
      <c r="E669" s="463"/>
      <c r="F669" s="463"/>
      <c r="G669" s="463"/>
      <c r="H669" s="463"/>
      <c r="I669" s="463"/>
      <c r="J669" s="463"/>
      <c r="K669" s="463"/>
      <c r="L669" s="463"/>
      <c r="M669" s="463"/>
      <c r="N669" s="463"/>
      <c r="O669" s="463"/>
      <c r="P669" s="463"/>
      <c r="Q669" s="463"/>
      <c r="R669" s="463"/>
      <c r="S669" s="463"/>
      <c r="T669" s="463"/>
      <c r="U669" s="463"/>
      <c r="V669" s="463"/>
      <c r="W669" s="463"/>
      <c r="X669" s="463"/>
      <c r="Y669" s="463"/>
      <c r="Z669" s="463"/>
    </row>
    <row r="670" spans="1:26" ht="15.75" customHeight="1" x14ac:dyDescent="0.3">
      <c r="A670" s="463"/>
      <c r="B670" s="463"/>
      <c r="C670" s="463"/>
      <c r="D670" s="463"/>
      <c r="E670" s="463"/>
      <c r="F670" s="463"/>
      <c r="G670" s="463"/>
      <c r="H670" s="463"/>
      <c r="I670" s="463"/>
      <c r="J670" s="463"/>
      <c r="K670" s="463"/>
      <c r="L670" s="463"/>
      <c r="M670" s="463"/>
      <c r="N670" s="463"/>
      <c r="O670" s="463"/>
      <c r="P670" s="463"/>
      <c r="Q670" s="463"/>
      <c r="R670" s="463"/>
      <c r="S670" s="463"/>
      <c r="T670" s="463"/>
      <c r="U670" s="463"/>
      <c r="V670" s="463"/>
      <c r="W670" s="463"/>
      <c r="X670" s="463"/>
      <c r="Y670" s="463"/>
      <c r="Z670" s="463"/>
    </row>
    <row r="671" spans="1:26" ht="15.75" customHeight="1" x14ac:dyDescent="0.3">
      <c r="A671" s="463"/>
      <c r="B671" s="463"/>
      <c r="C671" s="463"/>
      <c r="D671" s="463"/>
      <c r="E671" s="463"/>
      <c r="F671" s="463"/>
      <c r="G671" s="463"/>
      <c r="H671" s="463"/>
      <c r="I671" s="463"/>
      <c r="J671" s="463"/>
      <c r="K671" s="463"/>
      <c r="L671" s="463"/>
      <c r="M671" s="463"/>
      <c r="N671" s="463"/>
      <c r="O671" s="463"/>
      <c r="P671" s="463"/>
      <c r="Q671" s="463"/>
      <c r="R671" s="463"/>
      <c r="S671" s="463"/>
      <c r="T671" s="463"/>
      <c r="U671" s="463"/>
      <c r="V671" s="463"/>
      <c r="W671" s="463"/>
      <c r="X671" s="463"/>
      <c r="Y671" s="463"/>
      <c r="Z671" s="463"/>
    </row>
    <row r="672" spans="1:26" ht="15.75" customHeight="1" x14ac:dyDescent="0.3">
      <c r="A672" s="463"/>
      <c r="B672" s="463"/>
      <c r="C672" s="463"/>
      <c r="D672" s="463"/>
      <c r="E672" s="463"/>
      <c r="F672" s="463"/>
      <c r="G672" s="463"/>
      <c r="H672" s="463"/>
      <c r="I672" s="463"/>
      <c r="J672" s="463"/>
      <c r="K672" s="463"/>
      <c r="L672" s="463"/>
      <c r="M672" s="463"/>
      <c r="N672" s="463"/>
      <c r="O672" s="463"/>
      <c r="P672" s="463"/>
      <c r="Q672" s="463"/>
      <c r="R672" s="463"/>
      <c r="S672" s="463"/>
      <c r="T672" s="463"/>
      <c r="U672" s="463"/>
      <c r="V672" s="463"/>
      <c r="W672" s="463"/>
      <c r="X672" s="463"/>
      <c r="Y672" s="463"/>
      <c r="Z672" s="463"/>
    </row>
    <row r="673" spans="1:26" ht="15.75" customHeight="1" x14ac:dyDescent="0.3">
      <c r="A673" s="463"/>
      <c r="B673" s="463"/>
      <c r="C673" s="463"/>
      <c r="D673" s="463"/>
      <c r="E673" s="463"/>
      <c r="F673" s="463"/>
      <c r="G673" s="463"/>
      <c r="H673" s="463"/>
      <c r="I673" s="463"/>
      <c r="J673" s="463"/>
      <c r="K673" s="463"/>
      <c r="L673" s="463"/>
      <c r="M673" s="463"/>
      <c r="N673" s="463"/>
      <c r="O673" s="463"/>
      <c r="P673" s="463"/>
      <c r="Q673" s="463"/>
      <c r="R673" s="463"/>
      <c r="S673" s="463"/>
      <c r="T673" s="463"/>
      <c r="U673" s="463"/>
      <c r="V673" s="463"/>
      <c r="W673" s="463"/>
      <c r="X673" s="463"/>
      <c r="Y673" s="463"/>
      <c r="Z673" s="463"/>
    </row>
    <row r="674" spans="1:26" ht="15.75" customHeight="1" x14ac:dyDescent="0.3">
      <c r="A674" s="463"/>
      <c r="B674" s="463"/>
      <c r="C674" s="463"/>
      <c r="D674" s="463"/>
      <c r="E674" s="463"/>
      <c r="F674" s="463"/>
      <c r="G674" s="463"/>
      <c r="H674" s="463"/>
      <c r="I674" s="463"/>
      <c r="J674" s="463"/>
      <c r="K674" s="463"/>
      <c r="L674" s="463"/>
      <c r="M674" s="463"/>
      <c r="N674" s="463"/>
      <c r="O674" s="463"/>
      <c r="P674" s="463"/>
      <c r="Q674" s="463"/>
      <c r="R674" s="463"/>
      <c r="S674" s="463"/>
      <c r="T674" s="463"/>
      <c r="U674" s="463"/>
      <c r="V674" s="463"/>
      <c r="W674" s="463"/>
      <c r="X674" s="463"/>
      <c r="Y674" s="463"/>
      <c r="Z674" s="463"/>
    </row>
    <row r="675" spans="1:26" ht="15.75" customHeight="1" x14ac:dyDescent="0.3">
      <c r="A675" s="463"/>
      <c r="B675" s="463"/>
      <c r="C675" s="463"/>
      <c r="D675" s="463"/>
      <c r="E675" s="463"/>
      <c r="F675" s="463"/>
      <c r="G675" s="463"/>
      <c r="H675" s="463"/>
      <c r="I675" s="463"/>
      <c r="J675" s="463"/>
      <c r="K675" s="463"/>
      <c r="L675" s="463"/>
      <c r="M675" s="463"/>
      <c r="N675" s="463"/>
      <c r="O675" s="463"/>
      <c r="P675" s="463"/>
      <c r="Q675" s="463"/>
      <c r="R675" s="463"/>
      <c r="S675" s="463"/>
      <c r="T675" s="463"/>
      <c r="U675" s="463"/>
      <c r="V675" s="463"/>
      <c r="W675" s="463"/>
      <c r="X675" s="463"/>
      <c r="Y675" s="463"/>
      <c r="Z675" s="463"/>
    </row>
    <row r="676" spans="1:26" ht="15.75" customHeight="1" x14ac:dyDescent="0.3">
      <c r="A676" s="463"/>
      <c r="B676" s="463"/>
      <c r="C676" s="463"/>
      <c r="D676" s="463"/>
      <c r="E676" s="463"/>
      <c r="F676" s="463"/>
      <c r="G676" s="463"/>
      <c r="H676" s="463"/>
      <c r="I676" s="463"/>
      <c r="J676" s="463"/>
      <c r="K676" s="463"/>
      <c r="L676" s="463"/>
      <c r="M676" s="463"/>
      <c r="N676" s="463"/>
      <c r="O676" s="463"/>
      <c r="P676" s="463"/>
      <c r="Q676" s="463"/>
      <c r="R676" s="463"/>
      <c r="S676" s="463"/>
      <c r="T676" s="463"/>
      <c r="U676" s="463"/>
      <c r="V676" s="463"/>
      <c r="W676" s="463"/>
      <c r="X676" s="463"/>
      <c r="Y676" s="463"/>
      <c r="Z676" s="463"/>
    </row>
    <row r="677" spans="1:26" ht="15.75" customHeight="1" x14ac:dyDescent="0.3">
      <c r="A677" s="463"/>
      <c r="B677" s="463"/>
      <c r="C677" s="463"/>
      <c r="D677" s="463"/>
      <c r="E677" s="463"/>
      <c r="F677" s="463"/>
      <c r="G677" s="463"/>
      <c r="H677" s="463"/>
      <c r="I677" s="463"/>
      <c r="J677" s="463"/>
      <c r="K677" s="463"/>
      <c r="L677" s="463"/>
      <c r="M677" s="463"/>
      <c r="N677" s="463"/>
      <c r="O677" s="463"/>
      <c r="P677" s="463"/>
      <c r="Q677" s="463"/>
      <c r="R677" s="463"/>
      <c r="S677" s="463"/>
      <c r="T677" s="463"/>
      <c r="U677" s="463"/>
      <c r="V677" s="463"/>
      <c r="W677" s="463"/>
      <c r="X677" s="463"/>
      <c r="Y677" s="463"/>
      <c r="Z677" s="463"/>
    </row>
    <row r="678" spans="1:26" ht="15.75" customHeight="1" x14ac:dyDescent="0.3">
      <c r="A678" s="463"/>
      <c r="B678" s="463"/>
      <c r="C678" s="463"/>
      <c r="D678" s="463"/>
      <c r="E678" s="463"/>
      <c r="F678" s="463"/>
      <c r="G678" s="463"/>
      <c r="H678" s="463"/>
      <c r="I678" s="463"/>
      <c r="J678" s="463"/>
      <c r="K678" s="463"/>
      <c r="L678" s="463"/>
      <c r="M678" s="463"/>
      <c r="N678" s="463"/>
      <c r="O678" s="463"/>
      <c r="P678" s="463"/>
      <c r="Q678" s="463"/>
      <c r="R678" s="463"/>
      <c r="S678" s="463"/>
      <c r="T678" s="463"/>
      <c r="U678" s="463"/>
      <c r="V678" s="463"/>
      <c r="W678" s="463"/>
      <c r="X678" s="463"/>
      <c r="Y678" s="463"/>
      <c r="Z678" s="463"/>
    </row>
    <row r="679" spans="1:26" ht="15.75" customHeight="1" x14ac:dyDescent="0.3">
      <c r="A679" s="463"/>
      <c r="B679" s="463"/>
      <c r="C679" s="463"/>
      <c r="D679" s="463"/>
      <c r="E679" s="463"/>
      <c r="F679" s="463"/>
      <c r="G679" s="463"/>
      <c r="H679" s="463"/>
      <c r="I679" s="463"/>
      <c r="J679" s="463"/>
      <c r="K679" s="463"/>
      <c r="L679" s="463"/>
      <c r="M679" s="463"/>
      <c r="N679" s="463"/>
      <c r="O679" s="463"/>
      <c r="P679" s="463"/>
      <c r="Q679" s="463"/>
      <c r="R679" s="463"/>
      <c r="S679" s="463"/>
      <c r="T679" s="463"/>
      <c r="U679" s="463"/>
      <c r="V679" s="463"/>
      <c r="W679" s="463"/>
      <c r="X679" s="463"/>
      <c r="Y679" s="463"/>
      <c r="Z679" s="463"/>
    </row>
    <row r="680" spans="1:26" ht="15.75" customHeight="1" x14ac:dyDescent="0.3">
      <c r="A680" s="463"/>
      <c r="B680" s="463"/>
      <c r="C680" s="463"/>
      <c r="D680" s="463"/>
      <c r="E680" s="463"/>
      <c r="F680" s="463"/>
      <c r="G680" s="463"/>
      <c r="H680" s="463"/>
      <c r="I680" s="463"/>
      <c r="J680" s="463"/>
      <c r="K680" s="463"/>
      <c r="L680" s="463"/>
      <c r="M680" s="463"/>
      <c r="N680" s="463"/>
      <c r="O680" s="463"/>
      <c r="P680" s="463"/>
      <c r="Q680" s="463"/>
      <c r="R680" s="463"/>
      <c r="S680" s="463"/>
      <c r="T680" s="463"/>
      <c r="U680" s="463"/>
      <c r="V680" s="463"/>
      <c r="W680" s="463"/>
      <c r="X680" s="463"/>
      <c r="Y680" s="463"/>
      <c r="Z680" s="463"/>
    </row>
    <row r="681" spans="1:26" ht="15.75" customHeight="1" x14ac:dyDescent="0.3">
      <c r="A681" s="463"/>
      <c r="B681" s="463"/>
      <c r="C681" s="463"/>
      <c r="D681" s="463"/>
      <c r="E681" s="463"/>
      <c r="F681" s="463"/>
      <c r="G681" s="463"/>
      <c r="H681" s="463"/>
      <c r="I681" s="463"/>
      <c r="J681" s="463"/>
      <c r="K681" s="463"/>
      <c r="L681" s="463"/>
      <c r="M681" s="463"/>
      <c r="N681" s="463"/>
      <c r="O681" s="463"/>
      <c r="P681" s="463"/>
      <c r="Q681" s="463"/>
      <c r="R681" s="463"/>
      <c r="S681" s="463"/>
      <c r="T681" s="463"/>
      <c r="U681" s="463"/>
      <c r="V681" s="463"/>
      <c r="W681" s="463"/>
      <c r="X681" s="463"/>
      <c r="Y681" s="463"/>
      <c r="Z681" s="463"/>
    </row>
    <row r="682" spans="1:26" ht="15.75" customHeight="1" x14ac:dyDescent="0.3">
      <c r="A682" s="463"/>
      <c r="B682" s="463"/>
      <c r="C682" s="463"/>
      <c r="D682" s="463"/>
      <c r="E682" s="463"/>
      <c r="F682" s="463"/>
      <c r="G682" s="463"/>
      <c r="H682" s="463"/>
      <c r="I682" s="463"/>
      <c r="J682" s="463"/>
      <c r="K682" s="463"/>
      <c r="L682" s="463"/>
      <c r="M682" s="463"/>
      <c r="N682" s="463"/>
      <c r="O682" s="463"/>
      <c r="P682" s="463"/>
      <c r="Q682" s="463"/>
      <c r="R682" s="463"/>
      <c r="S682" s="463"/>
      <c r="T682" s="463"/>
      <c r="U682" s="463"/>
      <c r="V682" s="463"/>
      <c r="W682" s="463"/>
      <c r="X682" s="463"/>
      <c r="Y682" s="463"/>
      <c r="Z682" s="463"/>
    </row>
    <row r="683" spans="1:26" ht="15.75" customHeight="1" x14ac:dyDescent="0.3">
      <c r="A683" s="463"/>
      <c r="B683" s="463"/>
      <c r="C683" s="463"/>
      <c r="D683" s="463"/>
      <c r="E683" s="463"/>
      <c r="F683" s="463"/>
      <c r="G683" s="463"/>
      <c r="H683" s="463"/>
      <c r="I683" s="463"/>
      <c r="J683" s="463"/>
      <c r="K683" s="463"/>
      <c r="L683" s="463"/>
      <c r="M683" s="463"/>
      <c r="N683" s="463"/>
      <c r="O683" s="463"/>
      <c r="P683" s="463"/>
      <c r="Q683" s="463"/>
      <c r="R683" s="463"/>
      <c r="S683" s="463"/>
      <c r="T683" s="463"/>
      <c r="U683" s="463"/>
      <c r="V683" s="463"/>
      <c r="W683" s="463"/>
      <c r="X683" s="463"/>
      <c r="Y683" s="463"/>
      <c r="Z683" s="463"/>
    </row>
    <row r="684" spans="1:26" ht="15.75" customHeight="1" x14ac:dyDescent="0.3">
      <c r="A684" s="463"/>
      <c r="B684" s="463"/>
      <c r="C684" s="463"/>
      <c r="D684" s="463"/>
      <c r="E684" s="463"/>
      <c r="F684" s="463"/>
      <c r="G684" s="463"/>
      <c r="H684" s="463"/>
      <c r="I684" s="463"/>
      <c r="J684" s="463"/>
      <c r="K684" s="463"/>
      <c r="L684" s="463"/>
      <c r="M684" s="463"/>
      <c r="N684" s="463"/>
      <c r="O684" s="463"/>
      <c r="P684" s="463"/>
      <c r="Q684" s="463"/>
      <c r="R684" s="463"/>
      <c r="S684" s="463"/>
      <c r="T684" s="463"/>
      <c r="U684" s="463"/>
      <c r="V684" s="463"/>
      <c r="W684" s="463"/>
      <c r="X684" s="463"/>
      <c r="Y684" s="463"/>
      <c r="Z684" s="463"/>
    </row>
    <row r="685" spans="1:26" ht="15.75" customHeight="1" x14ac:dyDescent="0.3">
      <c r="A685" s="463"/>
      <c r="B685" s="463"/>
      <c r="C685" s="463"/>
      <c r="D685" s="463"/>
      <c r="E685" s="463"/>
      <c r="F685" s="463"/>
      <c r="G685" s="463"/>
      <c r="H685" s="463"/>
      <c r="I685" s="463"/>
      <c r="J685" s="463"/>
      <c r="K685" s="463"/>
      <c r="L685" s="463"/>
      <c r="M685" s="463"/>
      <c r="N685" s="463"/>
      <c r="O685" s="463"/>
      <c r="P685" s="463"/>
      <c r="Q685" s="463"/>
      <c r="R685" s="463"/>
      <c r="S685" s="463"/>
      <c r="T685" s="463"/>
      <c r="U685" s="463"/>
      <c r="V685" s="463"/>
      <c r="W685" s="463"/>
      <c r="X685" s="463"/>
      <c r="Y685" s="463"/>
      <c r="Z685" s="463"/>
    </row>
    <row r="686" spans="1:26" ht="15.75" customHeight="1" x14ac:dyDescent="0.3">
      <c r="A686" s="463"/>
      <c r="B686" s="463"/>
      <c r="C686" s="463"/>
      <c r="D686" s="463"/>
      <c r="E686" s="463"/>
      <c r="F686" s="463"/>
      <c r="G686" s="463"/>
      <c r="H686" s="463"/>
      <c r="I686" s="463"/>
      <c r="J686" s="463"/>
      <c r="K686" s="463"/>
      <c r="L686" s="463"/>
      <c r="M686" s="463"/>
      <c r="N686" s="463"/>
      <c r="O686" s="463"/>
      <c r="P686" s="463"/>
      <c r="Q686" s="463"/>
      <c r="R686" s="463"/>
      <c r="S686" s="463"/>
      <c r="T686" s="463"/>
      <c r="U686" s="463"/>
      <c r="V686" s="463"/>
      <c r="W686" s="463"/>
      <c r="X686" s="463"/>
      <c r="Y686" s="463"/>
      <c r="Z686" s="463"/>
    </row>
    <row r="687" spans="1:26" ht="15.75" customHeight="1" x14ac:dyDescent="0.3">
      <c r="A687" s="463"/>
      <c r="B687" s="463"/>
      <c r="C687" s="463"/>
      <c r="D687" s="463"/>
      <c r="E687" s="463"/>
      <c r="F687" s="463"/>
      <c r="G687" s="463"/>
      <c r="H687" s="463"/>
      <c r="I687" s="463"/>
      <c r="J687" s="463"/>
      <c r="K687" s="463"/>
      <c r="L687" s="463"/>
      <c r="M687" s="463"/>
      <c r="N687" s="463"/>
      <c r="O687" s="463"/>
      <c r="P687" s="463"/>
      <c r="Q687" s="463"/>
      <c r="R687" s="463"/>
      <c r="S687" s="463"/>
      <c r="T687" s="463"/>
      <c r="U687" s="463"/>
      <c r="V687" s="463"/>
      <c r="W687" s="463"/>
      <c r="X687" s="463"/>
      <c r="Y687" s="463"/>
      <c r="Z687" s="463"/>
    </row>
    <row r="688" spans="1:26" ht="15.75" customHeight="1" x14ac:dyDescent="0.3">
      <c r="A688" s="463"/>
      <c r="B688" s="463"/>
      <c r="C688" s="463"/>
      <c r="D688" s="463"/>
      <c r="E688" s="463"/>
      <c r="F688" s="463"/>
      <c r="G688" s="463"/>
      <c r="H688" s="463"/>
      <c r="I688" s="463"/>
      <c r="J688" s="463"/>
      <c r="K688" s="463"/>
      <c r="L688" s="463"/>
      <c r="M688" s="463"/>
      <c r="N688" s="463"/>
      <c r="O688" s="463"/>
      <c r="P688" s="463"/>
      <c r="Q688" s="463"/>
      <c r="R688" s="463"/>
      <c r="S688" s="463"/>
      <c r="T688" s="463"/>
      <c r="U688" s="463"/>
      <c r="V688" s="463"/>
      <c r="W688" s="463"/>
      <c r="X688" s="463"/>
      <c r="Y688" s="463"/>
      <c r="Z688" s="463"/>
    </row>
    <row r="689" spans="1:26" ht="15.75" customHeight="1" x14ac:dyDescent="0.3">
      <c r="A689" s="463"/>
      <c r="B689" s="463"/>
      <c r="C689" s="463"/>
      <c r="D689" s="463"/>
      <c r="E689" s="463"/>
      <c r="F689" s="463"/>
      <c r="G689" s="463"/>
      <c r="H689" s="463"/>
      <c r="I689" s="463"/>
      <c r="J689" s="463"/>
      <c r="K689" s="463"/>
      <c r="L689" s="463"/>
      <c r="M689" s="463"/>
      <c r="N689" s="463"/>
      <c r="O689" s="463"/>
      <c r="P689" s="463"/>
      <c r="Q689" s="463"/>
      <c r="R689" s="463"/>
      <c r="S689" s="463"/>
      <c r="T689" s="463"/>
      <c r="U689" s="463"/>
      <c r="V689" s="463"/>
      <c r="W689" s="463"/>
      <c r="X689" s="463"/>
      <c r="Y689" s="463"/>
      <c r="Z689" s="463"/>
    </row>
    <row r="690" spans="1:26" ht="15.75" customHeight="1" x14ac:dyDescent="0.3">
      <c r="A690" s="463"/>
      <c r="B690" s="463"/>
      <c r="C690" s="463"/>
      <c r="D690" s="463"/>
      <c r="E690" s="463"/>
      <c r="F690" s="463"/>
      <c r="G690" s="463"/>
      <c r="H690" s="463"/>
      <c r="I690" s="463"/>
      <c r="J690" s="463"/>
      <c r="K690" s="463"/>
      <c r="L690" s="463"/>
      <c r="M690" s="463"/>
      <c r="N690" s="463"/>
      <c r="O690" s="463"/>
      <c r="P690" s="463"/>
      <c r="Q690" s="463"/>
      <c r="R690" s="463"/>
      <c r="S690" s="463"/>
      <c r="T690" s="463"/>
      <c r="U690" s="463"/>
      <c r="V690" s="463"/>
      <c r="W690" s="463"/>
      <c r="X690" s="463"/>
      <c r="Y690" s="463"/>
      <c r="Z690" s="463"/>
    </row>
    <row r="691" spans="1:26" ht="15.75" customHeight="1" x14ac:dyDescent="0.3">
      <c r="A691" s="463"/>
      <c r="B691" s="463"/>
      <c r="C691" s="463"/>
      <c r="D691" s="463"/>
      <c r="E691" s="463"/>
      <c r="F691" s="463"/>
      <c r="G691" s="463"/>
      <c r="H691" s="463"/>
      <c r="I691" s="463"/>
      <c r="J691" s="463"/>
      <c r="K691" s="463"/>
      <c r="L691" s="463"/>
      <c r="M691" s="463"/>
      <c r="N691" s="463"/>
      <c r="O691" s="463"/>
      <c r="P691" s="463"/>
      <c r="Q691" s="463"/>
      <c r="R691" s="463"/>
      <c r="S691" s="463"/>
      <c r="T691" s="463"/>
      <c r="U691" s="463"/>
      <c r="V691" s="463"/>
      <c r="W691" s="463"/>
      <c r="X691" s="463"/>
      <c r="Y691" s="463"/>
      <c r="Z691" s="463"/>
    </row>
    <row r="692" spans="1:26" ht="15.75" customHeight="1" x14ac:dyDescent="0.3">
      <c r="A692" s="463"/>
      <c r="B692" s="463"/>
      <c r="C692" s="463"/>
      <c r="D692" s="463"/>
      <c r="E692" s="463"/>
      <c r="F692" s="463"/>
      <c r="G692" s="463"/>
      <c r="H692" s="463"/>
      <c r="I692" s="463"/>
      <c r="J692" s="463"/>
      <c r="K692" s="463"/>
      <c r="L692" s="463"/>
      <c r="M692" s="463"/>
      <c r="N692" s="463"/>
      <c r="O692" s="463"/>
      <c r="P692" s="463"/>
      <c r="Q692" s="463"/>
      <c r="R692" s="463"/>
      <c r="S692" s="463"/>
      <c r="T692" s="463"/>
      <c r="U692" s="463"/>
      <c r="V692" s="463"/>
      <c r="W692" s="463"/>
      <c r="X692" s="463"/>
      <c r="Y692" s="463"/>
      <c r="Z692" s="463"/>
    </row>
    <row r="693" spans="1:26" ht="15.75" customHeight="1" x14ac:dyDescent="0.3">
      <c r="A693" s="463"/>
      <c r="B693" s="463"/>
      <c r="C693" s="463"/>
      <c r="D693" s="463"/>
      <c r="E693" s="463"/>
      <c r="F693" s="463"/>
      <c r="G693" s="463"/>
      <c r="H693" s="463"/>
      <c r="I693" s="463"/>
      <c r="J693" s="463"/>
      <c r="K693" s="463"/>
      <c r="L693" s="463"/>
      <c r="M693" s="463"/>
      <c r="N693" s="463"/>
      <c r="O693" s="463"/>
      <c r="P693" s="463"/>
      <c r="Q693" s="463"/>
      <c r="R693" s="463"/>
      <c r="S693" s="463"/>
      <c r="T693" s="463"/>
      <c r="U693" s="463"/>
      <c r="V693" s="463"/>
      <c r="W693" s="463"/>
      <c r="X693" s="463"/>
      <c r="Y693" s="463"/>
      <c r="Z693" s="463"/>
    </row>
    <row r="694" spans="1:26" ht="15.75" customHeight="1" x14ac:dyDescent="0.3">
      <c r="A694" s="463"/>
      <c r="B694" s="463"/>
      <c r="C694" s="463"/>
      <c r="D694" s="463"/>
      <c r="E694" s="463"/>
      <c r="F694" s="463"/>
      <c r="G694" s="463"/>
      <c r="H694" s="463"/>
      <c r="I694" s="463"/>
      <c r="J694" s="463"/>
      <c r="K694" s="463"/>
      <c r="L694" s="463"/>
      <c r="M694" s="463"/>
      <c r="N694" s="463"/>
      <c r="O694" s="463"/>
      <c r="P694" s="463"/>
      <c r="Q694" s="463"/>
      <c r="R694" s="463"/>
      <c r="S694" s="463"/>
      <c r="T694" s="463"/>
      <c r="U694" s="463"/>
      <c r="V694" s="463"/>
      <c r="W694" s="463"/>
      <c r="X694" s="463"/>
      <c r="Y694" s="463"/>
      <c r="Z694" s="463"/>
    </row>
    <row r="695" spans="1:26" ht="15.75" customHeight="1" x14ac:dyDescent="0.3">
      <c r="A695" s="463"/>
      <c r="B695" s="463"/>
      <c r="C695" s="463"/>
      <c r="D695" s="463"/>
      <c r="E695" s="463"/>
      <c r="F695" s="463"/>
      <c r="G695" s="463"/>
      <c r="H695" s="463"/>
      <c r="I695" s="463"/>
      <c r="J695" s="463"/>
      <c r="K695" s="463"/>
      <c r="L695" s="463"/>
      <c r="M695" s="463"/>
      <c r="N695" s="463"/>
      <c r="O695" s="463"/>
      <c r="P695" s="463"/>
      <c r="Q695" s="463"/>
      <c r="R695" s="463"/>
      <c r="S695" s="463"/>
      <c r="T695" s="463"/>
      <c r="U695" s="463"/>
      <c r="V695" s="463"/>
      <c r="W695" s="463"/>
      <c r="X695" s="463"/>
      <c r="Y695" s="463"/>
      <c r="Z695" s="463"/>
    </row>
    <row r="696" spans="1:26" ht="15.75" customHeight="1" x14ac:dyDescent="0.3">
      <c r="A696" s="463"/>
      <c r="B696" s="463"/>
      <c r="C696" s="463"/>
      <c r="D696" s="463"/>
      <c r="E696" s="463"/>
      <c r="F696" s="463"/>
      <c r="G696" s="463"/>
      <c r="H696" s="463"/>
      <c r="I696" s="463"/>
      <c r="J696" s="463"/>
      <c r="K696" s="463"/>
      <c r="L696" s="463"/>
      <c r="M696" s="463"/>
      <c r="N696" s="463"/>
      <c r="O696" s="463"/>
      <c r="P696" s="463"/>
      <c r="Q696" s="463"/>
      <c r="R696" s="463"/>
      <c r="S696" s="463"/>
      <c r="T696" s="463"/>
      <c r="U696" s="463"/>
      <c r="V696" s="463"/>
      <c r="W696" s="463"/>
      <c r="X696" s="463"/>
      <c r="Y696" s="463"/>
      <c r="Z696" s="463"/>
    </row>
    <row r="697" spans="1:26" ht="15.75" customHeight="1" x14ac:dyDescent="0.3">
      <c r="A697" s="463"/>
      <c r="B697" s="463"/>
      <c r="C697" s="463"/>
      <c r="D697" s="463"/>
      <c r="E697" s="463"/>
      <c r="F697" s="463"/>
      <c r="G697" s="463"/>
      <c r="H697" s="463"/>
      <c r="I697" s="463"/>
      <c r="J697" s="463"/>
      <c r="K697" s="463"/>
      <c r="L697" s="463"/>
      <c r="M697" s="463"/>
      <c r="N697" s="463"/>
      <c r="O697" s="463"/>
      <c r="P697" s="463"/>
      <c r="Q697" s="463"/>
      <c r="R697" s="463"/>
      <c r="S697" s="463"/>
      <c r="T697" s="463"/>
      <c r="U697" s="463"/>
      <c r="V697" s="463"/>
      <c r="W697" s="463"/>
      <c r="X697" s="463"/>
      <c r="Y697" s="463"/>
      <c r="Z697" s="463"/>
    </row>
    <row r="698" spans="1:26" ht="15.75" customHeight="1" x14ac:dyDescent="0.3">
      <c r="A698" s="463"/>
      <c r="B698" s="463"/>
      <c r="C698" s="463"/>
      <c r="D698" s="463"/>
      <c r="E698" s="463"/>
      <c r="F698" s="463"/>
      <c r="G698" s="463"/>
      <c r="H698" s="463"/>
      <c r="I698" s="463"/>
      <c r="J698" s="463"/>
      <c r="K698" s="463"/>
      <c r="L698" s="463"/>
      <c r="M698" s="463"/>
      <c r="N698" s="463"/>
      <c r="O698" s="463"/>
      <c r="P698" s="463"/>
      <c r="Q698" s="463"/>
      <c r="R698" s="463"/>
      <c r="S698" s="463"/>
      <c r="T698" s="463"/>
      <c r="U698" s="463"/>
      <c r="V698" s="463"/>
      <c r="W698" s="463"/>
      <c r="X698" s="463"/>
      <c r="Y698" s="463"/>
      <c r="Z698" s="463"/>
    </row>
    <row r="699" spans="1:26" ht="15.75" customHeight="1" x14ac:dyDescent="0.3">
      <c r="A699" s="463"/>
      <c r="B699" s="463"/>
      <c r="C699" s="463"/>
      <c r="D699" s="463"/>
      <c r="E699" s="463"/>
      <c r="F699" s="463"/>
      <c r="G699" s="463"/>
      <c r="H699" s="463"/>
      <c r="I699" s="463"/>
      <c r="J699" s="463"/>
      <c r="K699" s="463"/>
      <c r="L699" s="463"/>
      <c r="M699" s="463"/>
      <c r="N699" s="463"/>
      <c r="O699" s="463"/>
      <c r="P699" s="463"/>
      <c r="Q699" s="463"/>
      <c r="R699" s="463"/>
      <c r="S699" s="463"/>
      <c r="T699" s="463"/>
      <c r="U699" s="463"/>
      <c r="V699" s="463"/>
      <c r="W699" s="463"/>
      <c r="X699" s="463"/>
      <c r="Y699" s="463"/>
      <c r="Z699" s="463"/>
    </row>
    <row r="700" spans="1:26" ht="15.75" customHeight="1" x14ac:dyDescent="0.3">
      <c r="A700" s="463"/>
      <c r="B700" s="463"/>
      <c r="C700" s="463"/>
      <c r="D700" s="463"/>
      <c r="E700" s="463"/>
      <c r="F700" s="463"/>
      <c r="G700" s="463"/>
      <c r="H700" s="463"/>
      <c r="I700" s="463"/>
      <c r="J700" s="463"/>
      <c r="K700" s="463"/>
      <c r="L700" s="463"/>
      <c r="M700" s="463"/>
      <c r="N700" s="463"/>
      <c r="O700" s="463"/>
      <c r="P700" s="463"/>
      <c r="Q700" s="463"/>
      <c r="R700" s="463"/>
      <c r="S700" s="463"/>
      <c r="T700" s="463"/>
      <c r="U700" s="463"/>
      <c r="V700" s="463"/>
      <c r="W700" s="463"/>
      <c r="X700" s="463"/>
      <c r="Y700" s="463"/>
      <c r="Z700" s="463"/>
    </row>
    <row r="701" spans="1:26" ht="15.75" customHeight="1" x14ac:dyDescent="0.3">
      <c r="A701" s="463"/>
      <c r="B701" s="463"/>
      <c r="C701" s="463"/>
      <c r="D701" s="463"/>
      <c r="E701" s="463"/>
      <c r="F701" s="463"/>
      <c r="G701" s="463"/>
      <c r="H701" s="463"/>
      <c r="I701" s="463"/>
      <c r="J701" s="463"/>
      <c r="K701" s="463"/>
      <c r="L701" s="463"/>
      <c r="M701" s="463"/>
      <c r="N701" s="463"/>
      <c r="O701" s="463"/>
      <c r="P701" s="463"/>
      <c r="Q701" s="463"/>
      <c r="R701" s="463"/>
      <c r="S701" s="463"/>
      <c r="T701" s="463"/>
      <c r="U701" s="463"/>
      <c r="V701" s="463"/>
      <c r="W701" s="463"/>
      <c r="X701" s="463"/>
      <c r="Y701" s="463"/>
      <c r="Z701" s="463"/>
    </row>
    <row r="702" spans="1:26" ht="15.75" customHeight="1" x14ac:dyDescent="0.3">
      <c r="A702" s="463"/>
      <c r="B702" s="463"/>
      <c r="C702" s="463"/>
      <c r="D702" s="463"/>
      <c r="E702" s="463"/>
      <c r="F702" s="463"/>
      <c r="G702" s="463"/>
      <c r="H702" s="463"/>
      <c r="I702" s="463"/>
      <c r="J702" s="463"/>
      <c r="K702" s="463"/>
      <c r="L702" s="463"/>
      <c r="M702" s="463"/>
      <c r="N702" s="463"/>
      <c r="O702" s="463"/>
      <c r="P702" s="463"/>
      <c r="Q702" s="463"/>
      <c r="R702" s="463"/>
      <c r="S702" s="463"/>
      <c r="T702" s="463"/>
      <c r="U702" s="463"/>
      <c r="V702" s="463"/>
      <c r="W702" s="463"/>
      <c r="X702" s="463"/>
      <c r="Y702" s="463"/>
      <c r="Z702" s="463"/>
    </row>
    <row r="703" spans="1:26" ht="15.75" customHeight="1" x14ac:dyDescent="0.3">
      <c r="A703" s="463"/>
      <c r="B703" s="463"/>
      <c r="C703" s="463"/>
      <c r="D703" s="463"/>
      <c r="E703" s="463"/>
      <c r="F703" s="463"/>
      <c r="G703" s="463"/>
      <c r="H703" s="463"/>
      <c r="I703" s="463"/>
      <c r="J703" s="463"/>
      <c r="K703" s="463"/>
      <c r="L703" s="463"/>
      <c r="M703" s="463"/>
      <c r="N703" s="463"/>
      <c r="O703" s="463"/>
      <c r="P703" s="463"/>
      <c r="Q703" s="463"/>
      <c r="R703" s="463"/>
      <c r="S703" s="463"/>
      <c r="T703" s="463"/>
      <c r="U703" s="463"/>
      <c r="V703" s="463"/>
      <c r="W703" s="463"/>
      <c r="X703" s="463"/>
      <c r="Y703" s="463"/>
      <c r="Z703" s="463"/>
    </row>
    <row r="704" spans="1:26" ht="15.75" customHeight="1" x14ac:dyDescent="0.3">
      <c r="A704" s="463"/>
      <c r="B704" s="463"/>
      <c r="C704" s="463"/>
      <c r="D704" s="463"/>
      <c r="E704" s="463"/>
      <c r="F704" s="463"/>
      <c r="G704" s="463"/>
      <c r="H704" s="463"/>
      <c r="I704" s="463"/>
      <c r="J704" s="463"/>
      <c r="K704" s="463"/>
      <c r="L704" s="463"/>
      <c r="M704" s="463"/>
      <c r="N704" s="463"/>
      <c r="O704" s="463"/>
      <c r="P704" s="463"/>
      <c r="Q704" s="463"/>
      <c r="R704" s="463"/>
      <c r="S704" s="463"/>
      <c r="T704" s="463"/>
      <c r="U704" s="463"/>
      <c r="V704" s="463"/>
      <c r="W704" s="463"/>
      <c r="X704" s="463"/>
      <c r="Y704" s="463"/>
      <c r="Z704" s="463"/>
    </row>
    <row r="705" spans="1:26" ht="15.75" customHeight="1" x14ac:dyDescent="0.3">
      <c r="A705" s="463"/>
      <c r="B705" s="463"/>
      <c r="C705" s="463"/>
      <c r="D705" s="463"/>
      <c r="E705" s="463"/>
      <c r="F705" s="463"/>
      <c r="G705" s="463"/>
      <c r="H705" s="463"/>
      <c r="I705" s="463"/>
      <c r="J705" s="463"/>
      <c r="K705" s="463"/>
      <c r="L705" s="463"/>
      <c r="M705" s="463"/>
      <c r="N705" s="463"/>
      <c r="O705" s="463"/>
      <c r="P705" s="463"/>
      <c r="Q705" s="463"/>
      <c r="R705" s="463"/>
      <c r="S705" s="463"/>
      <c r="T705" s="463"/>
      <c r="U705" s="463"/>
      <c r="V705" s="463"/>
      <c r="W705" s="463"/>
      <c r="X705" s="463"/>
      <c r="Y705" s="463"/>
      <c r="Z705" s="463"/>
    </row>
    <row r="706" spans="1:26" ht="15.75" customHeight="1" x14ac:dyDescent="0.3">
      <c r="A706" s="463"/>
      <c r="B706" s="463"/>
      <c r="C706" s="463"/>
      <c r="D706" s="463"/>
      <c r="E706" s="463"/>
      <c r="F706" s="463"/>
      <c r="G706" s="463"/>
      <c r="H706" s="463"/>
      <c r="I706" s="463"/>
      <c r="J706" s="463"/>
      <c r="K706" s="463"/>
      <c r="L706" s="463"/>
      <c r="M706" s="463"/>
      <c r="N706" s="463"/>
      <c r="O706" s="463"/>
      <c r="P706" s="463"/>
      <c r="Q706" s="463"/>
      <c r="R706" s="463"/>
      <c r="S706" s="463"/>
      <c r="T706" s="463"/>
      <c r="U706" s="463"/>
      <c r="V706" s="463"/>
      <c r="W706" s="463"/>
      <c r="X706" s="463"/>
      <c r="Y706" s="463"/>
      <c r="Z706" s="463"/>
    </row>
    <row r="707" spans="1:26" ht="15.75" customHeight="1" x14ac:dyDescent="0.3">
      <c r="A707" s="463"/>
      <c r="B707" s="463"/>
      <c r="C707" s="463"/>
      <c r="D707" s="463"/>
      <c r="E707" s="463"/>
      <c r="F707" s="463"/>
      <c r="G707" s="463"/>
      <c r="H707" s="463"/>
      <c r="I707" s="463"/>
      <c r="J707" s="463"/>
      <c r="K707" s="463"/>
      <c r="L707" s="463"/>
      <c r="M707" s="463"/>
      <c r="N707" s="463"/>
      <c r="O707" s="463"/>
      <c r="P707" s="463"/>
      <c r="Q707" s="463"/>
      <c r="R707" s="463"/>
      <c r="S707" s="463"/>
      <c r="T707" s="463"/>
      <c r="U707" s="463"/>
      <c r="V707" s="463"/>
      <c r="W707" s="463"/>
      <c r="X707" s="463"/>
      <c r="Y707" s="463"/>
      <c r="Z707" s="463"/>
    </row>
    <row r="708" spans="1:26" ht="15.75" customHeight="1" x14ac:dyDescent="0.3">
      <c r="A708" s="463"/>
      <c r="B708" s="463"/>
      <c r="C708" s="463"/>
      <c r="D708" s="463"/>
      <c r="E708" s="463"/>
      <c r="F708" s="463"/>
      <c r="G708" s="463"/>
      <c r="H708" s="463"/>
      <c r="I708" s="463"/>
      <c r="J708" s="463"/>
      <c r="K708" s="463"/>
      <c r="L708" s="463"/>
      <c r="M708" s="463"/>
      <c r="N708" s="463"/>
      <c r="O708" s="463"/>
      <c r="P708" s="463"/>
      <c r="Q708" s="463"/>
      <c r="R708" s="463"/>
      <c r="S708" s="463"/>
      <c r="T708" s="463"/>
      <c r="U708" s="463"/>
      <c r="V708" s="463"/>
      <c r="W708" s="463"/>
      <c r="X708" s="463"/>
      <c r="Y708" s="463"/>
      <c r="Z708" s="463"/>
    </row>
    <row r="709" spans="1:26" ht="15.75" customHeight="1" x14ac:dyDescent="0.3">
      <c r="A709" s="463"/>
      <c r="B709" s="463"/>
      <c r="C709" s="463"/>
      <c r="D709" s="463"/>
      <c r="E709" s="463"/>
      <c r="F709" s="463"/>
      <c r="G709" s="463"/>
      <c r="H709" s="463"/>
      <c r="I709" s="463"/>
      <c r="J709" s="463"/>
      <c r="K709" s="463"/>
      <c r="L709" s="463"/>
      <c r="M709" s="463"/>
      <c r="N709" s="463"/>
      <c r="O709" s="463"/>
      <c r="P709" s="463"/>
      <c r="Q709" s="463"/>
      <c r="R709" s="463"/>
      <c r="S709" s="463"/>
      <c r="T709" s="463"/>
      <c r="U709" s="463"/>
      <c r="V709" s="463"/>
      <c r="W709" s="463"/>
      <c r="X709" s="463"/>
      <c r="Y709" s="463"/>
      <c r="Z709" s="463"/>
    </row>
    <row r="710" spans="1:26" ht="15.75" customHeight="1" x14ac:dyDescent="0.3">
      <c r="A710" s="463"/>
      <c r="B710" s="463"/>
      <c r="C710" s="463"/>
      <c r="D710" s="463"/>
      <c r="E710" s="463"/>
      <c r="F710" s="463"/>
      <c r="G710" s="463"/>
      <c r="H710" s="463"/>
      <c r="I710" s="463"/>
      <c r="J710" s="463"/>
      <c r="K710" s="463"/>
      <c r="L710" s="463"/>
      <c r="M710" s="463"/>
      <c r="N710" s="463"/>
      <c r="O710" s="463"/>
      <c r="P710" s="463"/>
      <c r="Q710" s="463"/>
      <c r="R710" s="463"/>
      <c r="S710" s="463"/>
      <c r="T710" s="463"/>
      <c r="U710" s="463"/>
      <c r="V710" s="463"/>
      <c r="W710" s="463"/>
      <c r="X710" s="463"/>
      <c r="Y710" s="463"/>
      <c r="Z710" s="463"/>
    </row>
    <row r="711" spans="1:26" ht="15.75" customHeight="1" x14ac:dyDescent="0.3">
      <c r="A711" s="463"/>
      <c r="B711" s="463"/>
      <c r="C711" s="463"/>
      <c r="D711" s="463"/>
      <c r="E711" s="463"/>
      <c r="F711" s="463"/>
      <c r="G711" s="463"/>
      <c r="H711" s="463"/>
      <c r="I711" s="463"/>
      <c r="J711" s="463"/>
      <c r="K711" s="463"/>
      <c r="L711" s="463"/>
      <c r="M711" s="463"/>
      <c r="N711" s="463"/>
      <c r="O711" s="463"/>
      <c r="P711" s="463"/>
      <c r="Q711" s="463"/>
      <c r="R711" s="463"/>
      <c r="S711" s="463"/>
      <c r="T711" s="463"/>
      <c r="U711" s="463"/>
      <c r="V711" s="463"/>
      <c r="W711" s="463"/>
      <c r="X711" s="463"/>
      <c r="Y711" s="463"/>
      <c r="Z711" s="463"/>
    </row>
    <row r="712" spans="1:26" ht="15.75" customHeight="1" x14ac:dyDescent="0.3">
      <c r="A712" s="463"/>
      <c r="B712" s="463"/>
      <c r="C712" s="463"/>
      <c r="D712" s="463"/>
      <c r="E712" s="463"/>
      <c r="F712" s="463"/>
      <c r="G712" s="463"/>
      <c r="H712" s="463"/>
      <c r="I712" s="463"/>
      <c r="J712" s="463"/>
      <c r="K712" s="463"/>
      <c r="L712" s="463"/>
      <c r="M712" s="463"/>
      <c r="N712" s="463"/>
      <c r="O712" s="463"/>
      <c r="P712" s="463"/>
      <c r="Q712" s="463"/>
      <c r="R712" s="463"/>
      <c r="S712" s="463"/>
      <c r="T712" s="463"/>
      <c r="U712" s="463"/>
      <c r="V712" s="463"/>
      <c r="W712" s="463"/>
      <c r="X712" s="463"/>
      <c r="Y712" s="463"/>
      <c r="Z712" s="463"/>
    </row>
    <row r="713" spans="1:26" ht="15.75" customHeight="1" x14ac:dyDescent="0.3">
      <c r="A713" s="463"/>
      <c r="B713" s="463"/>
      <c r="C713" s="463"/>
      <c r="D713" s="463"/>
      <c r="E713" s="463"/>
      <c r="F713" s="463"/>
      <c r="G713" s="463"/>
      <c r="H713" s="463"/>
      <c r="I713" s="463"/>
      <c r="J713" s="463"/>
      <c r="K713" s="463"/>
      <c r="L713" s="463"/>
      <c r="M713" s="463"/>
      <c r="N713" s="463"/>
      <c r="O713" s="463"/>
      <c r="P713" s="463"/>
      <c r="Q713" s="463"/>
      <c r="R713" s="463"/>
      <c r="S713" s="463"/>
      <c r="T713" s="463"/>
      <c r="U713" s="463"/>
      <c r="V713" s="463"/>
      <c r="W713" s="463"/>
      <c r="X713" s="463"/>
      <c r="Y713" s="463"/>
      <c r="Z713" s="463"/>
    </row>
    <row r="714" spans="1:26" ht="15.75" customHeight="1" x14ac:dyDescent="0.3">
      <c r="A714" s="463"/>
      <c r="B714" s="463"/>
      <c r="C714" s="463"/>
      <c r="D714" s="463"/>
      <c r="E714" s="463"/>
      <c r="F714" s="463"/>
      <c r="G714" s="463"/>
      <c r="H714" s="463"/>
      <c r="I714" s="463"/>
      <c r="J714" s="463"/>
      <c r="K714" s="463"/>
      <c r="L714" s="463"/>
      <c r="M714" s="463"/>
      <c r="N714" s="463"/>
      <c r="O714" s="463"/>
      <c r="P714" s="463"/>
      <c r="Q714" s="463"/>
      <c r="R714" s="463"/>
      <c r="S714" s="463"/>
      <c r="T714" s="463"/>
      <c r="U714" s="463"/>
      <c r="V714" s="463"/>
      <c r="W714" s="463"/>
      <c r="X714" s="463"/>
      <c r="Y714" s="463"/>
      <c r="Z714" s="463"/>
    </row>
    <row r="715" spans="1:26" ht="15.75" customHeight="1" x14ac:dyDescent="0.3">
      <c r="A715" s="463"/>
      <c r="B715" s="463"/>
      <c r="C715" s="463"/>
      <c r="D715" s="463"/>
      <c r="E715" s="463"/>
      <c r="F715" s="463"/>
      <c r="G715" s="463"/>
      <c r="H715" s="463"/>
      <c r="I715" s="463"/>
      <c r="J715" s="463"/>
      <c r="K715" s="463"/>
      <c r="L715" s="463"/>
      <c r="M715" s="463"/>
      <c r="N715" s="463"/>
      <c r="O715" s="463"/>
      <c r="P715" s="463"/>
      <c r="Q715" s="463"/>
      <c r="R715" s="463"/>
      <c r="S715" s="463"/>
      <c r="T715" s="463"/>
      <c r="U715" s="463"/>
      <c r="V715" s="463"/>
      <c r="W715" s="463"/>
      <c r="X715" s="463"/>
      <c r="Y715" s="463"/>
      <c r="Z715" s="463"/>
    </row>
    <row r="716" spans="1:26" ht="15.75" customHeight="1" x14ac:dyDescent="0.3">
      <c r="A716" s="463"/>
      <c r="B716" s="463"/>
      <c r="C716" s="463"/>
      <c r="D716" s="463"/>
      <c r="E716" s="463"/>
      <c r="F716" s="463"/>
      <c r="G716" s="463"/>
      <c r="H716" s="463"/>
      <c r="I716" s="463"/>
      <c r="J716" s="463"/>
      <c r="K716" s="463"/>
      <c r="L716" s="463"/>
      <c r="M716" s="463"/>
      <c r="N716" s="463"/>
      <c r="O716" s="463"/>
      <c r="P716" s="463"/>
      <c r="Q716" s="463"/>
      <c r="R716" s="463"/>
      <c r="S716" s="463"/>
      <c r="T716" s="463"/>
      <c r="U716" s="463"/>
      <c r="V716" s="463"/>
      <c r="W716" s="463"/>
      <c r="X716" s="463"/>
      <c r="Y716" s="463"/>
      <c r="Z716" s="463"/>
    </row>
    <row r="717" spans="1:26" ht="15.75" customHeight="1" x14ac:dyDescent="0.3">
      <c r="A717" s="463"/>
      <c r="B717" s="463"/>
      <c r="C717" s="463"/>
      <c r="D717" s="463"/>
      <c r="E717" s="463"/>
      <c r="F717" s="463"/>
      <c r="G717" s="463"/>
      <c r="H717" s="463"/>
      <c r="I717" s="463"/>
      <c r="J717" s="463"/>
      <c r="K717" s="463"/>
      <c r="L717" s="463"/>
      <c r="M717" s="463"/>
      <c r="N717" s="463"/>
      <c r="O717" s="463"/>
      <c r="P717" s="463"/>
      <c r="Q717" s="463"/>
      <c r="R717" s="463"/>
      <c r="S717" s="463"/>
      <c r="T717" s="463"/>
      <c r="U717" s="463"/>
      <c r="V717" s="463"/>
      <c r="W717" s="463"/>
      <c r="X717" s="463"/>
      <c r="Y717" s="463"/>
      <c r="Z717" s="463"/>
    </row>
    <row r="718" spans="1:26" ht="15.75" customHeight="1" x14ac:dyDescent="0.3">
      <c r="A718" s="463"/>
      <c r="B718" s="463"/>
      <c r="C718" s="463"/>
      <c r="D718" s="463"/>
      <c r="E718" s="463"/>
      <c r="F718" s="463"/>
      <c r="G718" s="463"/>
      <c r="H718" s="463"/>
      <c r="I718" s="463"/>
      <c r="J718" s="463"/>
      <c r="K718" s="463"/>
      <c r="L718" s="463"/>
      <c r="M718" s="463"/>
      <c r="N718" s="463"/>
      <c r="O718" s="463"/>
      <c r="P718" s="463"/>
      <c r="Q718" s="463"/>
      <c r="R718" s="463"/>
      <c r="S718" s="463"/>
      <c r="T718" s="463"/>
      <c r="U718" s="463"/>
      <c r="V718" s="463"/>
      <c r="W718" s="463"/>
      <c r="X718" s="463"/>
      <c r="Y718" s="463"/>
      <c r="Z718" s="463"/>
    </row>
    <row r="719" spans="1:26" ht="15.75" customHeight="1" x14ac:dyDescent="0.3">
      <c r="A719" s="463"/>
      <c r="B719" s="463"/>
      <c r="C719" s="463"/>
      <c r="D719" s="463"/>
      <c r="E719" s="463"/>
      <c r="F719" s="463"/>
      <c r="G719" s="463"/>
      <c r="H719" s="463"/>
      <c r="I719" s="463"/>
      <c r="J719" s="463"/>
      <c r="K719" s="463"/>
      <c r="L719" s="463"/>
      <c r="M719" s="463"/>
      <c r="N719" s="463"/>
      <c r="O719" s="463"/>
      <c r="P719" s="463"/>
      <c r="Q719" s="463"/>
      <c r="R719" s="463"/>
      <c r="S719" s="463"/>
      <c r="T719" s="463"/>
      <c r="U719" s="463"/>
      <c r="V719" s="463"/>
      <c r="W719" s="463"/>
      <c r="X719" s="463"/>
      <c r="Y719" s="463"/>
      <c r="Z719" s="463"/>
    </row>
    <row r="720" spans="1:26" ht="15.75" customHeight="1" x14ac:dyDescent="0.3">
      <c r="A720" s="463"/>
      <c r="B720" s="463"/>
      <c r="C720" s="463"/>
      <c r="D720" s="463"/>
      <c r="E720" s="463"/>
      <c r="F720" s="463"/>
      <c r="G720" s="463"/>
      <c r="H720" s="463"/>
      <c r="I720" s="463"/>
      <c r="J720" s="463"/>
      <c r="K720" s="463"/>
      <c r="L720" s="463"/>
      <c r="M720" s="463"/>
      <c r="N720" s="463"/>
      <c r="O720" s="463"/>
      <c r="P720" s="463"/>
      <c r="Q720" s="463"/>
      <c r="R720" s="463"/>
      <c r="S720" s="463"/>
      <c r="T720" s="463"/>
      <c r="U720" s="463"/>
      <c r="V720" s="463"/>
      <c r="W720" s="463"/>
      <c r="X720" s="463"/>
      <c r="Y720" s="463"/>
      <c r="Z720" s="463"/>
    </row>
    <row r="721" spans="1:26" ht="15.75" customHeight="1" x14ac:dyDescent="0.3">
      <c r="A721" s="463"/>
      <c r="B721" s="463"/>
      <c r="C721" s="463"/>
      <c r="D721" s="463"/>
      <c r="E721" s="463"/>
      <c r="F721" s="463"/>
      <c r="G721" s="463"/>
      <c r="H721" s="463"/>
      <c r="I721" s="463"/>
      <c r="J721" s="463"/>
      <c r="K721" s="463"/>
      <c r="L721" s="463"/>
      <c r="M721" s="463"/>
      <c r="N721" s="463"/>
      <c r="O721" s="463"/>
      <c r="P721" s="463"/>
      <c r="Q721" s="463"/>
      <c r="R721" s="463"/>
      <c r="S721" s="463"/>
      <c r="T721" s="463"/>
      <c r="U721" s="463"/>
      <c r="V721" s="463"/>
      <c r="W721" s="463"/>
      <c r="X721" s="463"/>
      <c r="Y721" s="463"/>
      <c r="Z721" s="463"/>
    </row>
    <row r="722" spans="1:26" ht="15.75" customHeight="1" x14ac:dyDescent="0.3">
      <c r="A722" s="463"/>
      <c r="B722" s="463"/>
      <c r="C722" s="463"/>
      <c r="D722" s="463"/>
      <c r="E722" s="463"/>
      <c r="F722" s="463"/>
      <c r="G722" s="463"/>
      <c r="H722" s="463"/>
      <c r="I722" s="463"/>
      <c r="J722" s="463"/>
      <c r="K722" s="463"/>
      <c r="L722" s="463"/>
      <c r="M722" s="463"/>
      <c r="N722" s="463"/>
      <c r="O722" s="463"/>
      <c r="P722" s="463"/>
      <c r="Q722" s="463"/>
      <c r="R722" s="463"/>
      <c r="S722" s="463"/>
      <c r="T722" s="463"/>
      <c r="U722" s="463"/>
      <c r="V722" s="463"/>
      <c r="W722" s="463"/>
      <c r="X722" s="463"/>
      <c r="Y722" s="463"/>
      <c r="Z722" s="463"/>
    </row>
    <row r="723" spans="1:26" ht="15.75" customHeight="1" x14ac:dyDescent="0.3">
      <c r="A723" s="463"/>
      <c r="B723" s="463"/>
      <c r="C723" s="463"/>
      <c r="D723" s="463"/>
      <c r="E723" s="463"/>
      <c r="F723" s="463"/>
      <c r="G723" s="463"/>
      <c r="H723" s="463"/>
      <c r="I723" s="463"/>
      <c r="J723" s="463"/>
      <c r="K723" s="463"/>
      <c r="L723" s="463"/>
      <c r="M723" s="463"/>
      <c r="N723" s="463"/>
      <c r="O723" s="463"/>
      <c r="P723" s="463"/>
      <c r="Q723" s="463"/>
      <c r="R723" s="463"/>
      <c r="S723" s="463"/>
      <c r="T723" s="463"/>
      <c r="U723" s="463"/>
      <c r="V723" s="463"/>
      <c r="W723" s="463"/>
      <c r="X723" s="463"/>
      <c r="Y723" s="463"/>
      <c r="Z723" s="463"/>
    </row>
    <row r="724" spans="1:26" ht="15.75" customHeight="1" x14ac:dyDescent="0.3">
      <c r="A724" s="463"/>
      <c r="B724" s="463"/>
      <c r="C724" s="463"/>
      <c r="D724" s="463"/>
      <c r="E724" s="463"/>
      <c r="F724" s="463"/>
      <c r="G724" s="463"/>
      <c r="H724" s="463"/>
      <c r="I724" s="463"/>
      <c r="J724" s="463"/>
      <c r="K724" s="463"/>
      <c r="L724" s="463"/>
      <c r="M724" s="463"/>
      <c r="N724" s="463"/>
      <c r="O724" s="463"/>
      <c r="P724" s="463"/>
      <c r="Q724" s="463"/>
      <c r="R724" s="463"/>
      <c r="S724" s="463"/>
      <c r="T724" s="463"/>
      <c r="U724" s="463"/>
      <c r="V724" s="463"/>
      <c r="W724" s="463"/>
      <c r="X724" s="463"/>
      <c r="Y724" s="463"/>
      <c r="Z724" s="463"/>
    </row>
    <row r="725" spans="1:26" ht="15.75" customHeight="1" x14ac:dyDescent="0.3">
      <c r="A725" s="463"/>
      <c r="B725" s="463"/>
      <c r="C725" s="463"/>
      <c r="D725" s="463"/>
      <c r="E725" s="463"/>
      <c r="F725" s="463"/>
      <c r="G725" s="463"/>
      <c r="H725" s="463"/>
      <c r="I725" s="463"/>
      <c r="J725" s="463"/>
      <c r="K725" s="463"/>
      <c r="L725" s="463"/>
      <c r="M725" s="463"/>
      <c r="N725" s="463"/>
      <c r="O725" s="463"/>
      <c r="P725" s="463"/>
      <c r="Q725" s="463"/>
      <c r="R725" s="463"/>
      <c r="S725" s="463"/>
      <c r="T725" s="463"/>
      <c r="U725" s="463"/>
      <c r="V725" s="463"/>
      <c r="W725" s="463"/>
      <c r="X725" s="463"/>
      <c r="Y725" s="463"/>
      <c r="Z725" s="463"/>
    </row>
    <row r="726" spans="1:26" ht="15.75" customHeight="1" x14ac:dyDescent="0.3">
      <c r="A726" s="463"/>
      <c r="B726" s="463"/>
      <c r="C726" s="463"/>
      <c r="D726" s="463"/>
      <c r="E726" s="463"/>
      <c r="F726" s="463"/>
      <c r="G726" s="463"/>
      <c r="H726" s="463"/>
      <c r="I726" s="463"/>
      <c r="J726" s="463"/>
      <c r="K726" s="463"/>
      <c r="L726" s="463"/>
      <c r="M726" s="463"/>
      <c r="N726" s="463"/>
      <c r="O726" s="463"/>
      <c r="P726" s="463"/>
      <c r="Q726" s="463"/>
      <c r="R726" s="463"/>
      <c r="S726" s="463"/>
      <c r="T726" s="463"/>
      <c r="U726" s="463"/>
      <c r="V726" s="463"/>
      <c r="W726" s="463"/>
      <c r="X726" s="463"/>
      <c r="Y726" s="463"/>
      <c r="Z726" s="463"/>
    </row>
    <row r="727" spans="1:26" ht="15.75" customHeight="1" x14ac:dyDescent="0.3">
      <c r="A727" s="463"/>
      <c r="B727" s="463"/>
      <c r="C727" s="463"/>
      <c r="D727" s="463"/>
      <c r="E727" s="463"/>
      <c r="F727" s="463"/>
      <c r="G727" s="463"/>
      <c r="H727" s="463"/>
      <c r="I727" s="463"/>
      <c r="J727" s="463"/>
      <c r="K727" s="463"/>
      <c r="L727" s="463"/>
      <c r="M727" s="463"/>
      <c r="N727" s="463"/>
      <c r="O727" s="463"/>
      <c r="P727" s="463"/>
      <c r="Q727" s="463"/>
      <c r="R727" s="463"/>
      <c r="S727" s="463"/>
      <c r="T727" s="463"/>
      <c r="U727" s="463"/>
      <c r="V727" s="463"/>
      <c r="W727" s="463"/>
      <c r="X727" s="463"/>
      <c r="Y727" s="463"/>
      <c r="Z727" s="463"/>
    </row>
    <row r="728" spans="1:26" ht="15.75" customHeight="1" x14ac:dyDescent="0.3">
      <c r="A728" s="463"/>
      <c r="B728" s="463"/>
      <c r="C728" s="463"/>
      <c r="D728" s="463"/>
      <c r="E728" s="463"/>
      <c r="F728" s="463"/>
      <c r="G728" s="463"/>
      <c r="H728" s="463"/>
      <c r="I728" s="463"/>
      <c r="J728" s="463"/>
      <c r="K728" s="463"/>
      <c r="L728" s="463"/>
      <c r="M728" s="463"/>
      <c r="N728" s="463"/>
      <c r="O728" s="463"/>
      <c r="P728" s="463"/>
      <c r="Q728" s="463"/>
      <c r="R728" s="463"/>
      <c r="S728" s="463"/>
      <c r="T728" s="463"/>
      <c r="U728" s="463"/>
      <c r="V728" s="463"/>
      <c r="W728" s="463"/>
      <c r="X728" s="463"/>
      <c r="Y728" s="463"/>
      <c r="Z728" s="463"/>
    </row>
    <row r="729" spans="1:26" ht="15.75" customHeight="1" x14ac:dyDescent="0.3">
      <c r="A729" s="463"/>
      <c r="B729" s="463"/>
      <c r="C729" s="463"/>
      <c r="D729" s="463"/>
      <c r="E729" s="463"/>
      <c r="F729" s="463"/>
      <c r="G729" s="463"/>
      <c r="H729" s="463"/>
      <c r="I729" s="463"/>
      <c r="J729" s="463"/>
      <c r="K729" s="463"/>
      <c r="L729" s="463"/>
      <c r="M729" s="463"/>
      <c r="N729" s="463"/>
      <c r="O729" s="463"/>
      <c r="P729" s="463"/>
      <c r="Q729" s="463"/>
      <c r="R729" s="463"/>
      <c r="S729" s="463"/>
      <c r="T729" s="463"/>
      <c r="U729" s="463"/>
      <c r="V729" s="463"/>
      <c r="W729" s="463"/>
      <c r="X729" s="463"/>
      <c r="Y729" s="463"/>
      <c r="Z729" s="463"/>
    </row>
    <row r="730" spans="1:26" ht="15.75" customHeight="1" x14ac:dyDescent="0.3">
      <c r="A730" s="463"/>
      <c r="B730" s="463"/>
      <c r="C730" s="463"/>
      <c r="D730" s="463"/>
      <c r="E730" s="463"/>
      <c r="F730" s="463"/>
      <c r="G730" s="463"/>
      <c r="H730" s="463"/>
      <c r="I730" s="463"/>
      <c r="J730" s="463"/>
      <c r="K730" s="463"/>
      <c r="L730" s="463"/>
      <c r="M730" s="463"/>
      <c r="N730" s="463"/>
      <c r="O730" s="463"/>
      <c r="P730" s="463"/>
      <c r="Q730" s="463"/>
      <c r="R730" s="463"/>
      <c r="S730" s="463"/>
      <c r="T730" s="463"/>
      <c r="U730" s="463"/>
      <c r="V730" s="463"/>
      <c r="W730" s="463"/>
      <c r="X730" s="463"/>
      <c r="Y730" s="463"/>
      <c r="Z730" s="463"/>
    </row>
    <row r="731" spans="1:26" ht="15.75" customHeight="1" x14ac:dyDescent="0.3">
      <c r="A731" s="463"/>
      <c r="B731" s="463"/>
      <c r="C731" s="463"/>
      <c r="D731" s="463"/>
      <c r="E731" s="463"/>
      <c r="F731" s="463"/>
      <c r="G731" s="463"/>
      <c r="H731" s="463"/>
      <c r="I731" s="463"/>
      <c r="J731" s="463"/>
      <c r="K731" s="463"/>
      <c r="L731" s="463"/>
      <c r="M731" s="463"/>
      <c r="N731" s="463"/>
      <c r="O731" s="463"/>
      <c r="P731" s="463"/>
      <c r="Q731" s="463"/>
      <c r="R731" s="463"/>
      <c r="S731" s="463"/>
      <c r="T731" s="463"/>
      <c r="U731" s="463"/>
      <c r="V731" s="463"/>
      <c r="W731" s="463"/>
      <c r="X731" s="463"/>
      <c r="Y731" s="463"/>
      <c r="Z731" s="463"/>
    </row>
    <row r="732" spans="1:26" ht="15.75" customHeight="1" x14ac:dyDescent="0.3">
      <c r="A732" s="463"/>
      <c r="B732" s="463"/>
      <c r="C732" s="463"/>
      <c r="D732" s="463"/>
      <c r="E732" s="463"/>
      <c r="F732" s="463"/>
      <c r="G732" s="463"/>
      <c r="H732" s="463"/>
      <c r="I732" s="463"/>
      <c r="J732" s="463"/>
      <c r="K732" s="463"/>
      <c r="L732" s="463"/>
      <c r="M732" s="463"/>
      <c r="N732" s="463"/>
      <c r="O732" s="463"/>
      <c r="P732" s="463"/>
      <c r="Q732" s="463"/>
      <c r="R732" s="463"/>
      <c r="S732" s="463"/>
      <c r="T732" s="463"/>
      <c r="U732" s="463"/>
      <c r="V732" s="463"/>
      <c r="W732" s="463"/>
      <c r="X732" s="463"/>
      <c r="Y732" s="463"/>
      <c r="Z732" s="463"/>
    </row>
    <row r="733" spans="1:26" ht="15.75" customHeight="1" x14ac:dyDescent="0.3">
      <c r="A733" s="463"/>
      <c r="B733" s="463"/>
      <c r="C733" s="463"/>
      <c r="D733" s="463"/>
      <c r="E733" s="463"/>
      <c r="F733" s="463"/>
      <c r="G733" s="463"/>
      <c r="H733" s="463"/>
      <c r="I733" s="463"/>
      <c r="J733" s="463"/>
      <c r="K733" s="463"/>
      <c r="L733" s="463"/>
      <c r="M733" s="463"/>
      <c r="N733" s="463"/>
      <c r="O733" s="463"/>
      <c r="P733" s="463"/>
      <c r="Q733" s="463"/>
      <c r="R733" s="463"/>
      <c r="S733" s="463"/>
      <c r="T733" s="463"/>
      <c r="U733" s="463"/>
      <c r="V733" s="463"/>
      <c r="W733" s="463"/>
      <c r="X733" s="463"/>
      <c r="Y733" s="463"/>
      <c r="Z733" s="463"/>
    </row>
    <row r="734" spans="1:26" ht="15.75" customHeight="1" x14ac:dyDescent="0.3">
      <c r="A734" s="463"/>
      <c r="B734" s="463"/>
      <c r="C734" s="463"/>
      <c r="D734" s="463"/>
      <c r="E734" s="463"/>
      <c r="F734" s="463"/>
      <c r="G734" s="463"/>
      <c r="H734" s="463"/>
      <c r="I734" s="463"/>
      <c r="J734" s="463"/>
      <c r="K734" s="463"/>
      <c r="L734" s="463"/>
      <c r="M734" s="463"/>
      <c r="N734" s="463"/>
      <c r="O734" s="463"/>
      <c r="P734" s="463"/>
      <c r="Q734" s="463"/>
      <c r="R734" s="463"/>
      <c r="S734" s="463"/>
      <c r="T734" s="463"/>
      <c r="U734" s="463"/>
      <c r="V734" s="463"/>
      <c r="W734" s="463"/>
      <c r="X734" s="463"/>
      <c r="Y734" s="463"/>
      <c r="Z734" s="463"/>
    </row>
    <row r="735" spans="1:26" ht="15.75" customHeight="1" x14ac:dyDescent="0.3">
      <c r="A735" s="463"/>
      <c r="B735" s="463"/>
      <c r="C735" s="463"/>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63"/>
      <c r="Z735" s="463"/>
    </row>
    <row r="736" spans="1:26" ht="15.75" customHeight="1" x14ac:dyDescent="0.3">
      <c r="A736" s="463"/>
      <c r="B736" s="463"/>
      <c r="C736" s="463"/>
      <c r="D736" s="463"/>
      <c r="E736" s="463"/>
      <c r="F736" s="463"/>
      <c r="G736" s="463"/>
      <c r="H736" s="463"/>
      <c r="I736" s="463"/>
      <c r="J736" s="463"/>
      <c r="K736" s="463"/>
      <c r="L736" s="463"/>
      <c r="M736" s="463"/>
      <c r="N736" s="463"/>
      <c r="O736" s="463"/>
      <c r="P736" s="463"/>
      <c r="Q736" s="463"/>
      <c r="R736" s="463"/>
      <c r="S736" s="463"/>
      <c r="T736" s="463"/>
      <c r="U736" s="463"/>
      <c r="V736" s="463"/>
      <c r="W736" s="463"/>
      <c r="X736" s="463"/>
      <c r="Y736" s="463"/>
      <c r="Z736" s="463"/>
    </row>
    <row r="737" spans="1:26" ht="15.75" customHeight="1" x14ac:dyDescent="0.3">
      <c r="A737" s="463"/>
      <c r="B737" s="463"/>
      <c r="C737" s="463"/>
      <c r="D737" s="463"/>
      <c r="E737" s="463"/>
      <c r="F737" s="463"/>
      <c r="G737" s="463"/>
      <c r="H737" s="463"/>
      <c r="I737" s="463"/>
      <c r="J737" s="463"/>
      <c r="K737" s="463"/>
      <c r="L737" s="463"/>
      <c r="M737" s="463"/>
      <c r="N737" s="463"/>
      <c r="O737" s="463"/>
      <c r="P737" s="463"/>
      <c r="Q737" s="463"/>
      <c r="R737" s="463"/>
      <c r="S737" s="463"/>
      <c r="T737" s="463"/>
      <c r="U737" s="463"/>
      <c r="V737" s="463"/>
      <c r="W737" s="463"/>
      <c r="X737" s="463"/>
      <c r="Y737" s="463"/>
      <c r="Z737" s="463"/>
    </row>
    <row r="738" spans="1:26" ht="15.75" customHeight="1" x14ac:dyDescent="0.3">
      <c r="A738" s="463"/>
      <c r="B738" s="463"/>
      <c r="C738" s="463"/>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63"/>
      <c r="Z738" s="463"/>
    </row>
    <row r="739" spans="1:26" ht="15.75" customHeight="1" x14ac:dyDescent="0.3">
      <c r="A739" s="463"/>
      <c r="B739" s="463"/>
      <c r="C739" s="463"/>
      <c r="D739" s="463"/>
      <c r="E739" s="463"/>
      <c r="F739" s="463"/>
      <c r="G739" s="463"/>
      <c r="H739" s="463"/>
      <c r="I739" s="463"/>
      <c r="J739" s="463"/>
      <c r="K739" s="463"/>
      <c r="L739" s="463"/>
      <c r="M739" s="463"/>
      <c r="N739" s="463"/>
      <c r="O739" s="463"/>
      <c r="P739" s="463"/>
      <c r="Q739" s="463"/>
      <c r="R739" s="463"/>
      <c r="S739" s="463"/>
      <c r="T739" s="463"/>
      <c r="U739" s="463"/>
      <c r="V739" s="463"/>
      <c r="W739" s="463"/>
      <c r="X739" s="463"/>
      <c r="Y739" s="463"/>
      <c r="Z739" s="463"/>
    </row>
    <row r="740" spans="1:26" ht="15.75" customHeight="1" x14ac:dyDescent="0.3">
      <c r="A740" s="463"/>
      <c r="B740" s="463"/>
      <c r="C740" s="463"/>
      <c r="D740" s="463"/>
      <c r="E740" s="463"/>
      <c r="F740" s="463"/>
      <c r="G740" s="463"/>
      <c r="H740" s="463"/>
      <c r="I740" s="463"/>
      <c r="J740" s="463"/>
      <c r="K740" s="463"/>
      <c r="L740" s="463"/>
      <c r="M740" s="463"/>
      <c r="N740" s="463"/>
      <c r="O740" s="463"/>
      <c r="P740" s="463"/>
      <c r="Q740" s="463"/>
      <c r="R740" s="463"/>
      <c r="S740" s="463"/>
      <c r="T740" s="463"/>
      <c r="U740" s="463"/>
      <c r="V740" s="463"/>
      <c r="W740" s="463"/>
      <c r="X740" s="463"/>
      <c r="Y740" s="463"/>
      <c r="Z740" s="463"/>
    </row>
    <row r="741" spans="1:26" ht="15.75" customHeight="1" x14ac:dyDescent="0.3">
      <c r="A741" s="463"/>
      <c r="B741" s="463"/>
      <c r="C741" s="463"/>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63"/>
      <c r="Z741" s="463"/>
    </row>
    <row r="742" spans="1:26" ht="15.75" customHeight="1" x14ac:dyDescent="0.3">
      <c r="A742" s="463"/>
      <c r="B742" s="463"/>
      <c r="C742" s="463"/>
      <c r="D742" s="463"/>
      <c r="E742" s="463"/>
      <c r="F742" s="463"/>
      <c r="G742" s="463"/>
      <c r="H742" s="463"/>
      <c r="I742" s="463"/>
      <c r="J742" s="463"/>
      <c r="K742" s="463"/>
      <c r="L742" s="463"/>
      <c r="M742" s="463"/>
      <c r="N742" s="463"/>
      <c r="O742" s="463"/>
      <c r="P742" s="463"/>
      <c r="Q742" s="463"/>
      <c r="R742" s="463"/>
      <c r="S742" s="463"/>
      <c r="T742" s="463"/>
      <c r="U742" s="463"/>
      <c r="V742" s="463"/>
      <c r="W742" s="463"/>
      <c r="X742" s="463"/>
      <c r="Y742" s="463"/>
      <c r="Z742" s="463"/>
    </row>
    <row r="743" spans="1:26" ht="15.75" customHeight="1" x14ac:dyDescent="0.3">
      <c r="A743" s="463"/>
      <c r="B743" s="463"/>
      <c r="C743" s="463"/>
      <c r="D743" s="463"/>
      <c r="E743" s="463"/>
      <c r="F743" s="463"/>
      <c r="G743" s="463"/>
      <c r="H743" s="463"/>
      <c r="I743" s="463"/>
      <c r="J743" s="463"/>
      <c r="K743" s="463"/>
      <c r="L743" s="463"/>
      <c r="M743" s="463"/>
      <c r="N743" s="463"/>
      <c r="O743" s="463"/>
      <c r="P743" s="463"/>
      <c r="Q743" s="463"/>
      <c r="R743" s="463"/>
      <c r="S743" s="463"/>
      <c r="T743" s="463"/>
      <c r="U743" s="463"/>
      <c r="V743" s="463"/>
      <c r="W743" s="463"/>
      <c r="X743" s="463"/>
      <c r="Y743" s="463"/>
      <c r="Z743" s="463"/>
    </row>
    <row r="744" spans="1:26" ht="15.75" customHeight="1" x14ac:dyDescent="0.3">
      <c r="A744" s="463"/>
      <c r="B744" s="463"/>
      <c r="C744" s="463"/>
      <c r="D744" s="463"/>
      <c r="E744" s="463"/>
      <c r="F744" s="463"/>
      <c r="G744" s="463"/>
      <c r="H744" s="463"/>
      <c r="I744" s="463"/>
      <c r="J744" s="463"/>
      <c r="K744" s="463"/>
      <c r="L744" s="463"/>
      <c r="M744" s="463"/>
      <c r="N744" s="463"/>
      <c r="O744" s="463"/>
      <c r="P744" s="463"/>
      <c r="Q744" s="463"/>
      <c r="R744" s="463"/>
      <c r="S744" s="463"/>
      <c r="T744" s="463"/>
      <c r="U744" s="463"/>
      <c r="V744" s="463"/>
      <c r="W744" s="463"/>
      <c r="X744" s="463"/>
      <c r="Y744" s="463"/>
      <c r="Z744" s="463"/>
    </row>
    <row r="745" spans="1:26" ht="15.75" customHeight="1" x14ac:dyDescent="0.3">
      <c r="A745" s="463"/>
      <c r="B745" s="463"/>
      <c r="C745" s="463"/>
      <c r="D745" s="463"/>
      <c r="E745" s="463"/>
      <c r="F745" s="463"/>
      <c r="G745" s="463"/>
      <c r="H745" s="463"/>
      <c r="I745" s="463"/>
      <c r="J745" s="463"/>
      <c r="K745" s="463"/>
      <c r="L745" s="463"/>
      <c r="M745" s="463"/>
      <c r="N745" s="463"/>
      <c r="O745" s="463"/>
      <c r="P745" s="463"/>
      <c r="Q745" s="463"/>
      <c r="R745" s="463"/>
      <c r="S745" s="463"/>
      <c r="T745" s="463"/>
      <c r="U745" s="463"/>
      <c r="V745" s="463"/>
      <c r="W745" s="463"/>
      <c r="X745" s="463"/>
      <c r="Y745" s="463"/>
      <c r="Z745" s="463"/>
    </row>
    <row r="746" spans="1:26" ht="15.75" customHeight="1" x14ac:dyDescent="0.3">
      <c r="A746" s="463"/>
      <c r="B746" s="463"/>
      <c r="C746" s="463"/>
      <c r="D746" s="463"/>
      <c r="E746" s="463"/>
      <c r="F746" s="463"/>
      <c r="G746" s="463"/>
      <c r="H746" s="463"/>
      <c r="I746" s="463"/>
      <c r="J746" s="463"/>
      <c r="K746" s="463"/>
      <c r="L746" s="463"/>
      <c r="M746" s="463"/>
      <c r="N746" s="463"/>
      <c r="O746" s="463"/>
      <c r="P746" s="463"/>
      <c r="Q746" s="463"/>
      <c r="R746" s="463"/>
      <c r="S746" s="463"/>
      <c r="T746" s="463"/>
      <c r="U746" s="463"/>
      <c r="V746" s="463"/>
      <c r="W746" s="463"/>
      <c r="X746" s="463"/>
      <c r="Y746" s="463"/>
      <c r="Z746" s="463"/>
    </row>
    <row r="747" spans="1:26" ht="15.75" customHeight="1" x14ac:dyDescent="0.3">
      <c r="A747" s="463"/>
      <c r="B747" s="463"/>
      <c r="C747" s="463"/>
      <c r="D747" s="463"/>
      <c r="E747" s="463"/>
      <c r="F747" s="463"/>
      <c r="G747" s="463"/>
      <c r="H747" s="463"/>
      <c r="I747" s="463"/>
      <c r="J747" s="463"/>
      <c r="K747" s="463"/>
      <c r="L747" s="463"/>
      <c r="M747" s="463"/>
      <c r="N747" s="463"/>
      <c r="O747" s="463"/>
      <c r="P747" s="463"/>
      <c r="Q747" s="463"/>
      <c r="R747" s="463"/>
      <c r="S747" s="463"/>
      <c r="T747" s="463"/>
      <c r="U747" s="463"/>
      <c r="V747" s="463"/>
      <c r="W747" s="463"/>
      <c r="X747" s="463"/>
      <c r="Y747" s="463"/>
      <c r="Z747" s="463"/>
    </row>
    <row r="748" spans="1:26" ht="15.75" customHeight="1" x14ac:dyDescent="0.3">
      <c r="A748" s="463"/>
      <c r="B748" s="463"/>
      <c r="C748" s="463"/>
      <c r="D748" s="463"/>
      <c r="E748" s="463"/>
      <c r="F748" s="463"/>
      <c r="G748" s="463"/>
      <c r="H748" s="463"/>
      <c r="I748" s="463"/>
      <c r="J748" s="463"/>
      <c r="K748" s="463"/>
      <c r="L748" s="463"/>
      <c r="M748" s="463"/>
      <c r="N748" s="463"/>
      <c r="O748" s="463"/>
      <c r="P748" s="463"/>
      <c r="Q748" s="463"/>
      <c r="R748" s="463"/>
      <c r="S748" s="463"/>
      <c r="T748" s="463"/>
      <c r="U748" s="463"/>
      <c r="V748" s="463"/>
      <c r="W748" s="463"/>
      <c r="X748" s="463"/>
      <c r="Y748" s="463"/>
      <c r="Z748" s="463"/>
    </row>
    <row r="749" spans="1:26" ht="15.75" customHeight="1" x14ac:dyDescent="0.3">
      <c r="A749" s="463"/>
      <c r="B749" s="463"/>
      <c r="C749" s="463"/>
      <c r="D749" s="463"/>
      <c r="E749" s="463"/>
      <c r="F749" s="463"/>
      <c r="G749" s="463"/>
      <c r="H749" s="463"/>
      <c r="I749" s="463"/>
      <c r="J749" s="463"/>
      <c r="K749" s="463"/>
      <c r="L749" s="463"/>
      <c r="M749" s="463"/>
      <c r="N749" s="463"/>
      <c r="O749" s="463"/>
      <c r="P749" s="463"/>
      <c r="Q749" s="463"/>
      <c r="R749" s="463"/>
      <c r="S749" s="463"/>
      <c r="T749" s="463"/>
      <c r="U749" s="463"/>
      <c r="V749" s="463"/>
      <c r="W749" s="463"/>
      <c r="X749" s="463"/>
      <c r="Y749" s="463"/>
      <c r="Z749" s="463"/>
    </row>
    <row r="750" spans="1:26" ht="15.75" customHeight="1" x14ac:dyDescent="0.3">
      <c r="A750" s="463"/>
      <c r="B750" s="463"/>
      <c r="C750" s="463"/>
      <c r="D750" s="463"/>
      <c r="E750" s="463"/>
      <c r="F750" s="463"/>
      <c r="G750" s="463"/>
      <c r="H750" s="463"/>
      <c r="I750" s="463"/>
      <c r="J750" s="463"/>
      <c r="K750" s="463"/>
      <c r="L750" s="463"/>
      <c r="M750" s="463"/>
      <c r="N750" s="463"/>
      <c r="O750" s="463"/>
      <c r="P750" s="463"/>
      <c r="Q750" s="463"/>
      <c r="R750" s="463"/>
      <c r="S750" s="463"/>
      <c r="T750" s="463"/>
      <c r="U750" s="463"/>
      <c r="V750" s="463"/>
      <c r="W750" s="463"/>
      <c r="X750" s="463"/>
      <c r="Y750" s="463"/>
      <c r="Z750" s="463"/>
    </row>
    <row r="751" spans="1:26" ht="15.75" customHeight="1" x14ac:dyDescent="0.3">
      <c r="A751" s="463"/>
      <c r="B751" s="463"/>
      <c r="C751" s="463"/>
      <c r="D751" s="463"/>
      <c r="E751" s="463"/>
      <c r="F751" s="463"/>
      <c r="G751" s="463"/>
      <c r="H751" s="463"/>
      <c r="I751" s="463"/>
      <c r="J751" s="463"/>
      <c r="K751" s="463"/>
      <c r="L751" s="463"/>
      <c r="M751" s="463"/>
      <c r="N751" s="463"/>
      <c r="O751" s="463"/>
      <c r="P751" s="463"/>
      <c r="Q751" s="463"/>
      <c r="R751" s="463"/>
      <c r="S751" s="463"/>
      <c r="T751" s="463"/>
      <c r="U751" s="463"/>
      <c r="V751" s="463"/>
      <c r="W751" s="463"/>
      <c r="X751" s="463"/>
      <c r="Y751" s="463"/>
      <c r="Z751" s="463"/>
    </row>
    <row r="752" spans="1:26" ht="15.75" customHeight="1" x14ac:dyDescent="0.3">
      <c r="A752" s="463"/>
      <c r="B752" s="463"/>
      <c r="C752" s="463"/>
      <c r="D752" s="463"/>
      <c r="E752" s="463"/>
      <c r="F752" s="463"/>
      <c r="G752" s="463"/>
      <c r="H752" s="463"/>
      <c r="I752" s="463"/>
      <c r="J752" s="463"/>
      <c r="K752" s="463"/>
      <c r="L752" s="463"/>
      <c r="M752" s="463"/>
      <c r="N752" s="463"/>
      <c r="O752" s="463"/>
      <c r="P752" s="463"/>
      <c r="Q752" s="463"/>
      <c r="R752" s="463"/>
      <c r="S752" s="463"/>
      <c r="T752" s="463"/>
      <c r="U752" s="463"/>
      <c r="V752" s="463"/>
      <c r="W752" s="463"/>
      <c r="X752" s="463"/>
      <c r="Y752" s="463"/>
      <c r="Z752" s="463"/>
    </row>
    <row r="753" spans="1:26" ht="15.75" customHeight="1" x14ac:dyDescent="0.3">
      <c r="A753" s="463"/>
      <c r="B753" s="463"/>
      <c r="C753" s="463"/>
      <c r="D753" s="463"/>
      <c r="E753" s="463"/>
      <c r="F753" s="463"/>
      <c r="G753" s="463"/>
      <c r="H753" s="463"/>
      <c r="I753" s="463"/>
      <c r="J753" s="463"/>
      <c r="K753" s="463"/>
      <c r="L753" s="463"/>
      <c r="M753" s="463"/>
      <c r="N753" s="463"/>
      <c r="O753" s="463"/>
      <c r="P753" s="463"/>
      <c r="Q753" s="463"/>
      <c r="R753" s="463"/>
      <c r="S753" s="463"/>
      <c r="T753" s="463"/>
      <c r="U753" s="463"/>
      <c r="V753" s="463"/>
      <c r="W753" s="463"/>
      <c r="X753" s="463"/>
      <c r="Y753" s="463"/>
      <c r="Z753" s="463"/>
    </row>
    <row r="754" spans="1:26" ht="15.75" customHeight="1" x14ac:dyDescent="0.3">
      <c r="A754" s="463"/>
      <c r="B754" s="463"/>
      <c r="C754" s="463"/>
      <c r="D754" s="463"/>
      <c r="E754" s="463"/>
      <c r="F754" s="463"/>
      <c r="G754" s="463"/>
      <c r="H754" s="463"/>
      <c r="I754" s="463"/>
      <c r="J754" s="463"/>
      <c r="K754" s="463"/>
      <c r="L754" s="463"/>
      <c r="M754" s="463"/>
      <c r="N754" s="463"/>
      <c r="O754" s="463"/>
      <c r="P754" s="463"/>
      <c r="Q754" s="463"/>
      <c r="R754" s="463"/>
      <c r="S754" s="463"/>
      <c r="T754" s="463"/>
      <c r="U754" s="463"/>
      <c r="V754" s="463"/>
      <c r="W754" s="463"/>
      <c r="X754" s="463"/>
      <c r="Y754" s="463"/>
      <c r="Z754" s="463"/>
    </row>
    <row r="755" spans="1:26" ht="15.75" customHeight="1" x14ac:dyDescent="0.3">
      <c r="A755" s="463"/>
      <c r="B755" s="463"/>
      <c r="C755" s="463"/>
      <c r="D755" s="463"/>
      <c r="E755" s="463"/>
      <c r="F755" s="463"/>
      <c r="G755" s="463"/>
      <c r="H755" s="463"/>
      <c r="I755" s="463"/>
      <c r="J755" s="463"/>
      <c r="K755" s="463"/>
      <c r="L755" s="463"/>
      <c r="M755" s="463"/>
      <c r="N755" s="463"/>
      <c r="O755" s="463"/>
      <c r="P755" s="463"/>
      <c r="Q755" s="463"/>
      <c r="R755" s="463"/>
      <c r="S755" s="463"/>
      <c r="T755" s="463"/>
      <c r="U755" s="463"/>
      <c r="V755" s="463"/>
      <c r="W755" s="463"/>
      <c r="X755" s="463"/>
      <c r="Y755" s="463"/>
      <c r="Z755" s="463"/>
    </row>
    <row r="756" spans="1:26" ht="15.75" customHeight="1" x14ac:dyDescent="0.3">
      <c r="A756" s="463"/>
      <c r="B756" s="463"/>
      <c r="C756" s="463"/>
      <c r="D756" s="463"/>
      <c r="E756" s="463"/>
      <c r="F756" s="463"/>
      <c r="G756" s="463"/>
      <c r="H756" s="463"/>
      <c r="I756" s="463"/>
      <c r="J756" s="463"/>
      <c r="K756" s="463"/>
      <c r="L756" s="463"/>
      <c r="M756" s="463"/>
      <c r="N756" s="463"/>
      <c r="O756" s="463"/>
      <c r="P756" s="463"/>
      <c r="Q756" s="463"/>
      <c r="R756" s="463"/>
      <c r="S756" s="463"/>
      <c r="T756" s="463"/>
      <c r="U756" s="463"/>
      <c r="V756" s="463"/>
      <c r="W756" s="463"/>
      <c r="X756" s="463"/>
      <c r="Y756" s="463"/>
      <c r="Z756" s="463"/>
    </row>
    <row r="757" spans="1:26" ht="15.75" customHeight="1" x14ac:dyDescent="0.3">
      <c r="A757" s="463"/>
      <c r="B757" s="463"/>
      <c r="C757" s="463"/>
      <c r="D757" s="463"/>
      <c r="E757" s="463"/>
      <c r="F757" s="463"/>
      <c r="G757" s="463"/>
      <c r="H757" s="463"/>
      <c r="I757" s="463"/>
      <c r="J757" s="463"/>
      <c r="K757" s="463"/>
      <c r="L757" s="463"/>
      <c r="M757" s="463"/>
      <c r="N757" s="463"/>
      <c r="O757" s="463"/>
      <c r="P757" s="463"/>
      <c r="Q757" s="463"/>
      <c r="R757" s="463"/>
      <c r="S757" s="463"/>
      <c r="T757" s="463"/>
      <c r="U757" s="463"/>
      <c r="V757" s="463"/>
      <c r="W757" s="463"/>
      <c r="X757" s="463"/>
      <c r="Y757" s="463"/>
      <c r="Z757" s="463"/>
    </row>
    <row r="758" spans="1:26" ht="15.75" customHeight="1" x14ac:dyDescent="0.3">
      <c r="A758" s="463"/>
      <c r="B758" s="463"/>
      <c r="C758" s="463"/>
      <c r="D758" s="463"/>
      <c r="E758" s="463"/>
      <c r="F758" s="463"/>
      <c r="G758" s="463"/>
      <c r="H758" s="463"/>
      <c r="I758" s="463"/>
      <c r="J758" s="463"/>
      <c r="K758" s="463"/>
      <c r="L758" s="463"/>
      <c r="M758" s="463"/>
      <c r="N758" s="463"/>
      <c r="O758" s="463"/>
      <c r="P758" s="463"/>
      <c r="Q758" s="463"/>
      <c r="R758" s="463"/>
      <c r="S758" s="463"/>
      <c r="T758" s="463"/>
      <c r="U758" s="463"/>
      <c r="V758" s="463"/>
      <c r="W758" s="463"/>
      <c r="X758" s="463"/>
      <c r="Y758" s="463"/>
      <c r="Z758" s="463"/>
    </row>
    <row r="759" spans="1:26" ht="15.75" customHeight="1" x14ac:dyDescent="0.3">
      <c r="A759" s="463"/>
      <c r="B759" s="463"/>
      <c r="C759" s="463"/>
      <c r="D759" s="463"/>
      <c r="E759" s="463"/>
      <c r="F759" s="463"/>
      <c r="G759" s="463"/>
      <c r="H759" s="463"/>
      <c r="I759" s="463"/>
      <c r="J759" s="463"/>
      <c r="K759" s="463"/>
      <c r="L759" s="463"/>
      <c r="M759" s="463"/>
      <c r="N759" s="463"/>
      <c r="O759" s="463"/>
      <c r="P759" s="463"/>
      <c r="Q759" s="463"/>
      <c r="R759" s="463"/>
      <c r="S759" s="463"/>
      <c r="T759" s="463"/>
      <c r="U759" s="463"/>
      <c r="V759" s="463"/>
      <c r="W759" s="463"/>
      <c r="X759" s="463"/>
      <c r="Y759" s="463"/>
      <c r="Z759" s="463"/>
    </row>
    <row r="760" spans="1:26" ht="15.75" customHeight="1" x14ac:dyDescent="0.3">
      <c r="A760" s="463"/>
      <c r="B760" s="463"/>
      <c r="C760" s="463"/>
      <c r="D760" s="463"/>
      <c r="E760" s="463"/>
      <c r="F760" s="463"/>
      <c r="G760" s="463"/>
      <c r="H760" s="463"/>
      <c r="I760" s="463"/>
      <c r="J760" s="463"/>
      <c r="K760" s="463"/>
      <c r="L760" s="463"/>
      <c r="M760" s="463"/>
      <c r="N760" s="463"/>
      <c r="O760" s="463"/>
      <c r="P760" s="463"/>
      <c r="Q760" s="463"/>
      <c r="R760" s="463"/>
      <c r="S760" s="463"/>
      <c r="T760" s="463"/>
      <c r="U760" s="463"/>
      <c r="V760" s="463"/>
      <c r="W760" s="463"/>
      <c r="X760" s="463"/>
      <c r="Y760" s="463"/>
      <c r="Z760" s="463"/>
    </row>
    <row r="761" spans="1:26" ht="15.75" customHeight="1" x14ac:dyDescent="0.3">
      <c r="A761" s="463"/>
      <c r="B761" s="463"/>
      <c r="C761" s="463"/>
      <c r="D761" s="463"/>
      <c r="E761" s="463"/>
      <c r="F761" s="463"/>
      <c r="G761" s="463"/>
      <c r="H761" s="463"/>
      <c r="I761" s="463"/>
      <c r="J761" s="463"/>
      <c r="K761" s="463"/>
      <c r="L761" s="463"/>
      <c r="M761" s="463"/>
      <c r="N761" s="463"/>
      <c r="O761" s="463"/>
      <c r="P761" s="463"/>
      <c r="Q761" s="463"/>
      <c r="R761" s="463"/>
      <c r="S761" s="463"/>
      <c r="T761" s="463"/>
      <c r="U761" s="463"/>
      <c r="V761" s="463"/>
      <c r="W761" s="463"/>
      <c r="X761" s="463"/>
      <c r="Y761" s="463"/>
      <c r="Z761" s="463"/>
    </row>
    <row r="762" spans="1:26" ht="15.75" customHeight="1" x14ac:dyDescent="0.3">
      <c r="A762" s="463"/>
      <c r="B762" s="463"/>
      <c r="C762" s="463"/>
      <c r="D762" s="463"/>
      <c r="E762" s="463"/>
      <c r="F762" s="463"/>
      <c r="G762" s="463"/>
      <c r="H762" s="463"/>
      <c r="I762" s="463"/>
      <c r="J762" s="463"/>
      <c r="K762" s="463"/>
      <c r="L762" s="463"/>
      <c r="M762" s="463"/>
      <c r="N762" s="463"/>
      <c r="O762" s="463"/>
      <c r="P762" s="463"/>
      <c r="Q762" s="463"/>
      <c r="R762" s="463"/>
      <c r="S762" s="463"/>
      <c r="T762" s="463"/>
      <c r="U762" s="463"/>
      <c r="V762" s="463"/>
      <c r="W762" s="463"/>
      <c r="X762" s="463"/>
      <c r="Y762" s="463"/>
      <c r="Z762" s="463"/>
    </row>
    <row r="763" spans="1:26" ht="15.75" customHeight="1" x14ac:dyDescent="0.3">
      <c r="A763" s="463"/>
      <c r="B763" s="463"/>
      <c r="C763" s="463"/>
      <c r="D763" s="463"/>
      <c r="E763" s="463"/>
      <c r="F763" s="463"/>
      <c r="G763" s="463"/>
      <c r="H763" s="463"/>
      <c r="I763" s="463"/>
      <c r="J763" s="463"/>
      <c r="K763" s="463"/>
      <c r="L763" s="463"/>
      <c r="M763" s="463"/>
      <c r="N763" s="463"/>
      <c r="O763" s="463"/>
      <c r="P763" s="463"/>
      <c r="Q763" s="463"/>
      <c r="R763" s="463"/>
      <c r="S763" s="463"/>
      <c r="T763" s="463"/>
      <c r="U763" s="463"/>
      <c r="V763" s="463"/>
      <c r="W763" s="463"/>
      <c r="X763" s="463"/>
      <c r="Y763" s="463"/>
      <c r="Z763" s="463"/>
    </row>
    <row r="764" spans="1:26" ht="15.75" customHeight="1" x14ac:dyDescent="0.3">
      <c r="A764" s="463"/>
      <c r="B764" s="463"/>
      <c r="C764" s="463"/>
      <c r="D764" s="463"/>
      <c r="E764" s="463"/>
      <c r="F764" s="463"/>
      <c r="G764" s="463"/>
      <c r="H764" s="463"/>
      <c r="I764" s="463"/>
      <c r="J764" s="463"/>
      <c r="K764" s="463"/>
      <c r="L764" s="463"/>
      <c r="M764" s="463"/>
      <c r="N764" s="463"/>
      <c r="O764" s="463"/>
      <c r="P764" s="463"/>
      <c r="Q764" s="463"/>
      <c r="R764" s="463"/>
      <c r="S764" s="463"/>
      <c r="T764" s="463"/>
      <c r="U764" s="463"/>
      <c r="V764" s="463"/>
      <c r="W764" s="463"/>
      <c r="X764" s="463"/>
      <c r="Y764" s="463"/>
      <c r="Z764" s="463"/>
    </row>
    <row r="765" spans="1:26" ht="15.75" customHeight="1" x14ac:dyDescent="0.3">
      <c r="A765" s="463"/>
      <c r="B765" s="463"/>
      <c r="C765" s="463"/>
      <c r="D765" s="463"/>
      <c r="E765" s="463"/>
      <c r="F765" s="463"/>
      <c r="G765" s="463"/>
      <c r="H765" s="463"/>
      <c r="I765" s="463"/>
      <c r="J765" s="463"/>
      <c r="K765" s="463"/>
      <c r="L765" s="463"/>
      <c r="M765" s="463"/>
      <c r="N765" s="463"/>
      <c r="O765" s="463"/>
      <c r="P765" s="463"/>
      <c r="Q765" s="463"/>
      <c r="R765" s="463"/>
      <c r="S765" s="463"/>
      <c r="T765" s="463"/>
      <c r="U765" s="463"/>
      <c r="V765" s="463"/>
      <c r="W765" s="463"/>
      <c r="X765" s="463"/>
      <c r="Y765" s="463"/>
      <c r="Z765" s="463"/>
    </row>
    <row r="766" spans="1:26" ht="15.75" customHeight="1" x14ac:dyDescent="0.3">
      <c r="A766" s="463"/>
      <c r="B766" s="463"/>
      <c r="C766" s="463"/>
      <c r="D766" s="463"/>
      <c r="E766" s="463"/>
      <c r="F766" s="463"/>
      <c r="G766" s="463"/>
      <c r="H766" s="463"/>
      <c r="I766" s="463"/>
      <c r="J766" s="463"/>
      <c r="K766" s="463"/>
      <c r="L766" s="463"/>
      <c r="M766" s="463"/>
      <c r="N766" s="463"/>
      <c r="O766" s="463"/>
      <c r="P766" s="463"/>
      <c r="Q766" s="463"/>
      <c r="R766" s="463"/>
      <c r="S766" s="463"/>
      <c r="T766" s="463"/>
      <c r="U766" s="463"/>
      <c r="V766" s="463"/>
      <c r="W766" s="463"/>
      <c r="X766" s="463"/>
      <c r="Y766" s="463"/>
      <c r="Z766" s="463"/>
    </row>
    <row r="767" spans="1:26" ht="15.75" customHeight="1" x14ac:dyDescent="0.3">
      <c r="A767" s="463"/>
      <c r="B767" s="463"/>
      <c r="C767" s="463"/>
      <c r="D767" s="463"/>
      <c r="E767" s="463"/>
      <c r="F767" s="463"/>
      <c r="G767" s="463"/>
      <c r="H767" s="463"/>
      <c r="I767" s="463"/>
      <c r="J767" s="463"/>
      <c r="K767" s="463"/>
      <c r="L767" s="463"/>
      <c r="M767" s="463"/>
      <c r="N767" s="463"/>
      <c r="O767" s="463"/>
      <c r="P767" s="463"/>
      <c r="Q767" s="463"/>
      <c r="R767" s="463"/>
      <c r="S767" s="463"/>
      <c r="T767" s="463"/>
      <c r="U767" s="463"/>
      <c r="V767" s="463"/>
      <c r="W767" s="463"/>
      <c r="X767" s="463"/>
      <c r="Y767" s="463"/>
      <c r="Z767" s="463"/>
    </row>
    <row r="768" spans="1:26" ht="15.75" customHeight="1" x14ac:dyDescent="0.3">
      <c r="A768" s="463"/>
      <c r="B768" s="463"/>
      <c r="C768" s="463"/>
      <c r="D768" s="463"/>
      <c r="E768" s="463"/>
      <c r="F768" s="463"/>
      <c r="G768" s="463"/>
      <c r="H768" s="463"/>
      <c r="I768" s="463"/>
      <c r="J768" s="463"/>
      <c r="K768" s="463"/>
      <c r="L768" s="463"/>
      <c r="M768" s="463"/>
      <c r="N768" s="463"/>
      <c r="O768" s="463"/>
      <c r="P768" s="463"/>
      <c r="Q768" s="463"/>
      <c r="R768" s="463"/>
      <c r="S768" s="463"/>
      <c r="T768" s="463"/>
      <c r="U768" s="463"/>
      <c r="V768" s="463"/>
      <c r="W768" s="463"/>
      <c r="X768" s="463"/>
      <c r="Y768" s="463"/>
      <c r="Z768" s="463"/>
    </row>
    <row r="769" spans="1:26" ht="15.75" customHeight="1" x14ac:dyDescent="0.3">
      <c r="A769" s="463"/>
      <c r="B769" s="463"/>
      <c r="C769" s="463"/>
      <c r="D769" s="463"/>
      <c r="E769" s="463"/>
      <c r="F769" s="463"/>
      <c r="G769" s="463"/>
      <c r="H769" s="463"/>
      <c r="I769" s="463"/>
      <c r="J769" s="463"/>
      <c r="K769" s="463"/>
      <c r="L769" s="463"/>
      <c r="M769" s="463"/>
      <c r="N769" s="463"/>
      <c r="O769" s="463"/>
      <c r="P769" s="463"/>
      <c r="Q769" s="463"/>
      <c r="R769" s="463"/>
      <c r="S769" s="463"/>
      <c r="T769" s="463"/>
      <c r="U769" s="463"/>
      <c r="V769" s="463"/>
      <c r="W769" s="463"/>
      <c r="X769" s="463"/>
      <c r="Y769" s="463"/>
      <c r="Z769" s="463"/>
    </row>
    <row r="770" spans="1:26" ht="15.75" customHeight="1" x14ac:dyDescent="0.3">
      <c r="A770" s="463"/>
      <c r="B770" s="463"/>
      <c r="C770" s="463"/>
      <c r="D770" s="463"/>
      <c r="E770" s="463"/>
      <c r="F770" s="463"/>
      <c r="G770" s="463"/>
      <c r="H770" s="463"/>
      <c r="I770" s="463"/>
      <c r="J770" s="463"/>
      <c r="K770" s="463"/>
      <c r="L770" s="463"/>
      <c r="M770" s="463"/>
      <c r="N770" s="463"/>
      <c r="O770" s="463"/>
      <c r="P770" s="463"/>
      <c r="Q770" s="463"/>
      <c r="R770" s="463"/>
      <c r="S770" s="463"/>
      <c r="T770" s="463"/>
      <c r="U770" s="463"/>
      <c r="V770" s="463"/>
      <c r="W770" s="463"/>
      <c r="X770" s="463"/>
      <c r="Y770" s="463"/>
      <c r="Z770" s="463"/>
    </row>
    <row r="771" spans="1:26" ht="15.75" customHeight="1" x14ac:dyDescent="0.3">
      <c r="A771" s="463"/>
      <c r="B771" s="463"/>
      <c r="C771" s="463"/>
      <c r="D771" s="463"/>
      <c r="E771" s="463"/>
      <c r="F771" s="463"/>
      <c r="G771" s="463"/>
      <c r="H771" s="463"/>
      <c r="I771" s="463"/>
      <c r="J771" s="463"/>
      <c r="K771" s="463"/>
      <c r="L771" s="463"/>
      <c r="M771" s="463"/>
      <c r="N771" s="463"/>
      <c r="O771" s="463"/>
      <c r="P771" s="463"/>
      <c r="Q771" s="463"/>
      <c r="R771" s="463"/>
      <c r="S771" s="463"/>
      <c r="T771" s="463"/>
      <c r="U771" s="463"/>
      <c r="V771" s="463"/>
      <c r="W771" s="463"/>
      <c r="X771" s="463"/>
      <c r="Y771" s="463"/>
      <c r="Z771" s="463"/>
    </row>
    <row r="772" spans="1:26" ht="15.75" customHeight="1" x14ac:dyDescent="0.3">
      <c r="A772" s="463"/>
      <c r="B772" s="463"/>
      <c r="C772" s="463"/>
      <c r="D772" s="463"/>
      <c r="E772" s="463"/>
      <c r="F772" s="463"/>
      <c r="G772" s="463"/>
      <c r="H772" s="463"/>
      <c r="I772" s="463"/>
      <c r="J772" s="463"/>
      <c r="K772" s="463"/>
      <c r="L772" s="463"/>
      <c r="M772" s="463"/>
      <c r="N772" s="463"/>
      <c r="O772" s="463"/>
      <c r="P772" s="463"/>
      <c r="Q772" s="463"/>
      <c r="R772" s="463"/>
      <c r="S772" s="463"/>
      <c r="T772" s="463"/>
      <c r="U772" s="463"/>
      <c r="V772" s="463"/>
      <c r="W772" s="463"/>
      <c r="X772" s="463"/>
      <c r="Y772" s="463"/>
      <c r="Z772" s="463"/>
    </row>
    <row r="773" spans="1:26" ht="15.75" customHeight="1" x14ac:dyDescent="0.3">
      <c r="A773" s="463"/>
      <c r="B773" s="463"/>
      <c r="C773" s="463"/>
      <c r="D773" s="463"/>
      <c r="E773" s="463"/>
      <c r="F773" s="463"/>
      <c r="G773" s="463"/>
      <c r="H773" s="463"/>
      <c r="I773" s="463"/>
      <c r="J773" s="463"/>
      <c r="K773" s="463"/>
      <c r="L773" s="463"/>
      <c r="M773" s="463"/>
      <c r="N773" s="463"/>
      <c r="O773" s="463"/>
      <c r="P773" s="463"/>
      <c r="Q773" s="463"/>
      <c r="R773" s="463"/>
      <c r="S773" s="463"/>
      <c r="T773" s="463"/>
      <c r="U773" s="463"/>
      <c r="V773" s="463"/>
      <c r="W773" s="463"/>
      <c r="X773" s="463"/>
      <c r="Y773" s="463"/>
      <c r="Z773" s="463"/>
    </row>
    <row r="774" spans="1:26" ht="15.75" customHeight="1" x14ac:dyDescent="0.3">
      <c r="A774" s="463"/>
      <c r="B774" s="463"/>
      <c r="C774" s="463"/>
      <c r="D774" s="463"/>
      <c r="E774" s="463"/>
      <c r="F774" s="463"/>
      <c r="G774" s="463"/>
      <c r="H774" s="463"/>
      <c r="I774" s="463"/>
      <c r="J774" s="463"/>
      <c r="K774" s="463"/>
      <c r="L774" s="463"/>
      <c r="M774" s="463"/>
      <c r="N774" s="463"/>
      <c r="O774" s="463"/>
      <c r="P774" s="463"/>
      <c r="Q774" s="463"/>
      <c r="R774" s="463"/>
      <c r="S774" s="463"/>
      <c r="T774" s="463"/>
      <c r="U774" s="463"/>
      <c r="V774" s="463"/>
      <c r="W774" s="463"/>
      <c r="X774" s="463"/>
      <c r="Y774" s="463"/>
      <c r="Z774" s="463"/>
    </row>
    <row r="775" spans="1:26" ht="15.75" customHeight="1" x14ac:dyDescent="0.3">
      <c r="A775" s="463"/>
      <c r="B775" s="463"/>
      <c r="C775" s="463"/>
      <c r="D775" s="463"/>
      <c r="E775" s="463"/>
      <c r="F775" s="463"/>
      <c r="G775" s="463"/>
      <c r="H775" s="463"/>
      <c r="I775" s="463"/>
      <c r="J775" s="463"/>
      <c r="K775" s="463"/>
      <c r="L775" s="463"/>
      <c r="M775" s="463"/>
      <c r="N775" s="463"/>
      <c r="O775" s="463"/>
      <c r="P775" s="463"/>
      <c r="Q775" s="463"/>
      <c r="R775" s="463"/>
      <c r="S775" s="463"/>
      <c r="T775" s="463"/>
      <c r="U775" s="463"/>
      <c r="V775" s="463"/>
      <c r="W775" s="463"/>
      <c r="X775" s="463"/>
      <c r="Y775" s="463"/>
      <c r="Z775" s="463"/>
    </row>
    <row r="776" spans="1:26" ht="15.75" customHeight="1" x14ac:dyDescent="0.3">
      <c r="A776" s="463"/>
      <c r="B776" s="463"/>
      <c r="C776" s="463"/>
      <c r="D776" s="463"/>
      <c r="E776" s="463"/>
      <c r="F776" s="463"/>
      <c r="G776" s="463"/>
      <c r="H776" s="463"/>
      <c r="I776" s="463"/>
      <c r="J776" s="463"/>
      <c r="K776" s="463"/>
      <c r="L776" s="463"/>
      <c r="M776" s="463"/>
      <c r="N776" s="463"/>
      <c r="O776" s="463"/>
      <c r="P776" s="463"/>
      <c r="Q776" s="463"/>
      <c r="R776" s="463"/>
      <c r="S776" s="463"/>
      <c r="T776" s="463"/>
      <c r="U776" s="463"/>
      <c r="V776" s="463"/>
      <c r="W776" s="463"/>
      <c r="X776" s="463"/>
      <c r="Y776" s="463"/>
      <c r="Z776" s="463"/>
    </row>
    <row r="777" spans="1:26" ht="15.75" customHeight="1" x14ac:dyDescent="0.3">
      <c r="A777" s="463"/>
      <c r="B777" s="463"/>
      <c r="C777" s="463"/>
      <c r="D777" s="463"/>
      <c r="E777" s="463"/>
      <c r="F777" s="463"/>
      <c r="G777" s="463"/>
      <c r="H777" s="463"/>
      <c r="I777" s="463"/>
      <c r="J777" s="463"/>
      <c r="K777" s="463"/>
      <c r="L777" s="463"/>
      <c r="M777" s="463"/>
      <c r="N777" s="463"/>
      <c r="O777" s="463"/>
      <c r="P777" s="463"/>
      <c r="Q777" s="463"/>
      <c r="R777" s="463"/>
      <c r="S777" s="463"/>
      <c r="T777" s="463"/>
      <c r="U777" s="463"/>
      <c r="V777" s="463"/>
      <c r="W777" s="463"/>
      <c r="X777" s="463"/>
      <c r="Y777" s="463"/>
      <c r="Z777" s="463"/>
    </row>
    <row r="778" spans="1:26" ht="15.75" customHeight="1" x14ac:dyDescent="0.3">
      <c r="A778" s="463"/>
      <c r="B778" s="463"/>
      <c r="C778" s="463"/>
      <c r="D778" s="463"/>
      <c r="E778" s="463"/>
      <c r="F778" s="463"/>
      <c r="G778" s="463"/>
      <c r="H778" s="463"/>
      <c r="I778" s="463"/>
      <c r="J778" s="463"/>
      <c r="K778" s="463"/>
      <c r="L778" s="463"/>
      <c r="M778" s="463"/>
      <c r="N778" s="463"/>
      <c r="O778" s="463"/>
      <c r="P778" s="463"/>
      <c r="Q778" s="463"/>
      <c r="R778" s="463"/>
      <c r="S778" s="463"/>
      <c r="T778" s="463"/>
      <c r="U778" s="463"/>
      <c r="V778" s="463"/>
      <c r="W778" s="463"/>
      <c r="X778" s="463"/>
      <c r="Y778" s="463"/>
      <c r="Z778" s="463"/>
    </row>
    <row r="779" spans="1:26" ht="15.75" customHeight="1" x14ac:dyDescent="0.3">
      <c r="A779" s="463"/>
      <c r="B779" s="463"/>
      <c r="C779" s="463"/>
      <c r="D779" s="463"/>
      <c r="E779" s="463"/>
      <c r="F779" s="463"/>
      <c r="G779" s="463"/>
      <c r="H779" s="463"/>
      <c r="I779" s="463"/>
      <c r="J779" s="463"/>
      <c r="K779" s="463"/>
      <c r="L779" s="463"/>
      <c r="M779" s="463"/>
      <c r="N779" s="463"/>
      <c r="O779" s="463"/>
      <c r="P779" s="463"/>
      <c r="Q779" s="463"/>
      <c r="R779" s="463"/>
      <c r="S779" s="463"/>
      <c r="T779" s="463"/>
      <c r="U779" s="463"/>
      <c r="V779" s="463"/>
      <c r="W779" s="463"/>
      <c r="X779" s="463"/>
      <c r="Y779" s="463"/>
      <c r="Z779" s="463"/>
    </row>
    <row r="780" spans="1:26" ht="15.75" customHeight="1" x14ac:dyDescent="0.3">
      <c r="A780" s="463"/>
      <c r="B780" s="463"/>
      <c r="C780" s="463"/>
      <c r="D780" s="463"/>
      <c r="E780" s="463"/>
      <c r="F780" s="463"/>
      <c r="G780" s="463"/>
      <c r="H780" s="463"/>
      <c r="I780" s="463"/>
      <c r="J780" s="463"/>
      <c r="K780" s="463"/>
      <c r="L780" s="463"/>
      <c r="M780" s="463"/>
      <c r="N780" s="463"/>
      <c r="O780" s="463"/>
      <c r="P780" s="463"/>
      <c r="Q780" s="463"/>
      <c r="R780" s="463"/>
      <c r="S780" s="463"/>
      <c r="T780" s="463"/>
      <c r="U780" s="463"/>
      <c r="V780" s="463"/>
      <c r="W780" s="463"/>
      <c r="X780" s="463"/>
      <c r="Y780" s="463"/>
      <c r="Z780" s="463"/>
    </row>
    <row r="781" spans="1:26" ht="15.75" customHeight="1" x14ac:dyDescent="0.3">
      <c r="A781" s="463"/>
      <c r="B781" s="463"/>
      <c r="C781" s="463"/>
      <c r="D781" s="463"/>
      <c r="E781" s="463"/>
      <c r="F781" s="463"/>
      <c r="G781" s="463"/>
      <c r="H781" s="463"/>
      <c r="I781" s="463"/>
      <c r="J781" s="463"/>
      <c r="K781" s="463"/>
      <c r="L781" s="463"/>
      <c r="M781" s="463"/>
      <c r="N781" s="463"/>
      <c r="O781" s="463"/>
      <c r="P781" s="463"/>
      <c r="Q781" s="463"/>
      <c r="R781" s="463"/>
      <c r="S781" s="463"/>
      <c r="T781" s="463"/>
      <c r="U781" s="463"/>
      <c r="V781" s="463"/>
      <c r="W781" s="463"/>
      <c r="X781" s="463"/>
      <c r="Y781" s="463"/>
      <c r="Z781" s="463"/>
    </row>
    <row r="782" spans="1:26" ht="15.75" customHeight="1" x14ac:dyDescent="0.3">
      <c r="A782" s="463"/>
      <c r="B782" s="463"/>
      <c r="C782" s="463"/>
      <c r="D782" s="463"/>
      <c r="E782" s="463"/>
      <c r="F782" s="463"/>
      <c r="G782" s="463"/>
      <c r="H782" s="463"/>
      <c r="I782" s="463"/>
      <c r="J782" s="463"/>
      <c r="K782" s="463"/>
      <c r="L782" s="463"/>
      <c r="M782" s="463"/>
      <c r="N782" s="463"/>
      <c r="O782" s="463"/>
      <c r="P782" s="463"/>
      <c r="Q782" s="463"/>
      <c r="R782" s="463"/>
      <c r="S782" s="463"/>
      <c r="T782" s="463"/>
      <c r="U782" s="463"/>
      <c r="V782" s="463"/>
      <c r="W782" s="463"/>
      <c r="X782" s="463"/>
      <c r="Y782" s="463"/>
      <c r="Z782" s="463"/>
    </row>
    <row r="783" spans="1:26" ht="15.75" customHeight="1" x14ac:dyDescent="0.3">
      <c r="A783" s="463"/>
      <c r="B783" s="463"/>
      <c r="C783" s="463"/>
      <c r="D783" s="463"/>
      <c r="E783" s="463"/>
      <c r="F783" s="463"/>
      <c r="G783" s="463"/>
      <c r="H783" s="463"/>
      <c r="I783" s="463"/>
      <c r="J783" s="463"/>
      <c r="K783" s="463"/>
      <c r="L783" s="463"/>
      <c r="M783" s="463"/>
      <c r="N783" s="463"/>
      <c r="O783" s="463"/>
      <c r="P783" s="463"/>
      <c r="Q783" s="463"/>
      <c r="R783" s="463"/>
      <c r="S783" s="463"/>
      <c r="T783" s="463"/>
      <c r="U783" s="463"/>
      <c r="V783" s="463"/>
      <c r="W783" s="463"/>
      <c r="X783" s="463"/>
      <c r="Y783" s="463"/>
      <c r="Z783" s="463"/>
    </row>
    <row r="784" spans="1:26" ht="15.75" customHeight="1" x14ac:dyDescent="0.3">
      <c r="A784" s="463"/>
      <c r="B784" s="463"/>
      <c r="C784" s="463"/>
      <c r="D784" s="463"/>
      <c r="E784" s="463"/>
      <c r="F784" s="463"/>
      <c r="G784" s="463"/>
      <c r="H784" s="463"/>
      <c r="I784" s="463"/>
      <c r="J784" s="463"/>
      <c r="K784" s="463"/>
      <c r="L784" s="463"/>
      <c r="M784" s="463"/>
      <c r="N784" s="463"/>
      <c r="O784" s="463"/>
      <c r="P784" s="463"/>
      <c r="Q784" s="463"/>
      <c r="R784" s="463"/>
      <c r="S784" s="463"/>
      <c r="T784" s="463"/>
      <c r="U784" s="463"/>
      <c r="V784" s="463"/>
      <c r="W784" s="463"/>
      <c r="X784" s="463"/>
      <c r="Y784" s="463"/>
      <c r="Z784" s="463"/>
    </row>
    <row r="785" spans="1:26" ht="15.75" customHeight="1" x14ac:dyDescent="0.3">
      <c r="A785" s="463"/>
      <c r="B785" s="463"/>
      <c r="C785" s="463"/>
      <c r="D785" s="463"/>
      <c r="E785" s="463"/>
      <c r="F785" s="463"/>
      <c r="G785" s="463"/>
      <c r="H785" s="463"/>
      <c r="I785" s="463"/>
      <c r="J785" s="463"/>
      <c r="K785" s="463"/>
      <c r="L785" s="463"/>
      <c r="M785" s="463"/>
      <c r="N785" s="463"/>
      <c r="O785" s="463"/>
      <c r="P785" s="463"/>
      <c r="Q785" s="463"/>
      <c r="R785" s="463"/>
      <c r="S785" s="463"/>
      <c r="T785" s="463"/>
      <c r="U785" s="463"/>
      <c r="V785" s="463"/>
      <c r="W785" s="463"/>
      <c r="X785" s="463"/>
      <c r="Y785" s="463"/>
      <c r="Z785" s="463"/>
    </row>
    <row r="786" spans="1:26" ht="15.75" customHeight="1" x14ac:dyDescent="0.3">
      <c r="A786" s="463"/>
      <c r="B786" s="463"/>
      <c r="C786" s="463"/>
      <c r="D786" s="463"/>
      <c r="E786" s="463"/>
      <c r="F786" s="463"/>
      <c r="G786" s="463"/>
      <c r="H786" s="463"/>
      <c r="I786" s="463"/>
      <c r="J786" s="463"/>
      <c r="K786" s="463"/>
      <c r="L786" s="463"/>
      <c r="M786" s="463"/>
      <c r="N786" s="463"/>
      <c r="O786" s="463"/>
      <c r="P786" s="463"/>
      <c r="Q786" s="463"/>
      <c r="R786" s="463"/>
      <c r="S786" s="463"/>
      <c r="T786" s="463"/>
      <c r="U786" s="463"/>
      <c r="V786" s="463"/>
      <c r="W786" s="463"/>
      <c r="X786" s="463"/>
      <c r="Y786" s="463"/>
      <c r="Z786" s="463"/>
    </row>
    <row r="787" spans="1:26" ht="15.75" customHeight="1" x14ac:dyDescent="0.3">
      <c r="A787" s="463"/>
      <c r="B787" s="463"/>
      <c r="C787" s="463"/>
      <c r="D787" s="463"/>
      <c r="E787" s="463"/>
      <c r="F787" s="463"/>
      <c r="G787" s="463"/>
      <c r="H787" s="463"/>
      <c r="I787" s="463"/>
      <c r="J787" s="463"/>
      <c r="K787" s="463"/>
      <c r="L787" s="463"/>
      <c r="M787" s="463"/>
      <c r="N787" s="463"/>
      <c r="O787" s="463"/>
      <c r="P787" s="463"/>
      <c r="Q787" s="463"/>
      <c r="R787" s="463"/>
      <c r="S787" s="463"/>
      <c r="T787" s="463"/>
      <c r="U787" s="463"/>
      <c r="V787" s="463"/>
      <c r="W787" s="463"/>
      <c r="X787" s="463"/>
      <c r="Y787" s="463"/>
      <c r="Z787" s="463"/>
    </row>
    <row r="788" spans="1:26" ht="15.75" customHeight="1" x14ac:dyDescent="0.3">
      <c r="A788" s="463"/>
      <c r="B788" s="463"/>
      <c r="C788" s="463"/>
      <c r="D788" s="463"/>
      <c r="E788" s="463"/>
      <c r="F788" s="463"/>
      <c r="G788" s="463"/>
      <c r="H788" s="463"/>
      <c r="I788" s="463"/>
      <c r="J788" s="463"/>
      <c r="K788" s="463"/>
      <c r="L788" s="463"/>
      <c r="M788" s="463"/>
      <c r="N788" s="463"/>
      <c r="O788" s="463"/>
      <c r="P788" s="463"/>
      <c r="Q788" s="463"/>
      <c r="R788" s="463"/>
      <c r="S788" s="463"/>
      <c r="T788" s="463"/>
      <c r="U788" s="463"/>
      <c r="V788" s="463"/>
      <c r="W788" s="463"/>
      <c r="X788" s="463"/>
      <c r="Y788" s="463"/>
      <c r="Z788" s="463"/>
    </row>
    <row r="789" spans="1:26" ht="15.75" customHeight="1" x14ac:dyDescent="0.3">
      <c r="A789" s="463"/>
      <c r="B789" s="463"/>
      <c r="C789" s="463"/>
      <c r="D789" s="463"/>
      <c r="E789" s="463"/>
      <c r="F789" s="463"/>
      <c r="G789" s="463"/>
      <c r="H789" s="463"/>
      <c r="I789" s="463"/>
      <c r="J789" s="463"/>
      <c r="K789" s="463"/>
      <c r="L789" s="463"/>
      <c r="M789" s="463"/>
      <c r="N789" s="463"/>
      <c r="O789" s="463"/>
      <c r="P789" s="463"/>
      <c r="Q789" s="463"/>
      <c r="R789" s="463"/>
      <c r="S789" s="463"/>
      <c r="T789" s="463"/>
      <c r="U789" s="463"/>
      <c r="V789" s="463"/>
      <c r="W789" s="463"/>
      <c r="X789" s="463"/>
      <c r="Y789" s="463"/>
      <c r="Z789" s="463"/>
    </row>
    <row r="790" spans="1:26" ht="15.75" customHeight="1" x14ac:dyDescent="0.3">
      <c r="A790" s="463"/>
      <c r="B790" s="463"/>
      <c r="C790" s="463"/>
      <c r="D790" s="463"/>
      <c r="E790" s="463"/>
      <c r="F790" s="463"/>
      <c r="G790" s="463"/>
      <c r="H790" s="463"/>
      <c r="I790" s="463"/>
      <c r="J790" s="463"/>
      <c r="K790" s="463"/>
      <c r="L790" s="463"/>
      <c r="M790" s="463"/>
      <c r="N790" s="463"/>
      <c r="O790" s="463"/>
      <c r="P790" s="463"/>
      <c r="Q790" s="463"/>
      <c r="R790" s="463"/>
      <c r="S790" s="463"/>
      <c r="T790" s="463"/>
      <c r="U790" s="463"/>
      <c r="V790" s="463"/>
      <c r="W790" s="463"/>
      <c r="X790" s="463"/>
      <c r="Y790" s="463"/>
      <c r="Z790" s="463"/>
    </row>
    <row r="791" spans="1:26" ht="15.75" customHeight="1" x14ac:dyDescent="0.3">
      <c r="A791" s="463"/>
      <c r="B791" s="463"/>
      <c r="C791" s="463"/>
      <c r="D791" s="463"/>
      <c r="E791" s="463"/>
      <c r="F791" s="463"/>
      <c r="G791" s="463"/>
      <c r="H791" s="463"/>
      <c r="I791" s="463"/>
      <c r="J791" s="463"/>
      <c r="K791" s="463"/>
      <c r="L791" s="463"/>
      <c r="M791" s="463"/>
      <c r="N791" s="463"/>
      <c r="O791" s="463"/>
      <c r="P791" s="463"/>
      <c r="Q791" s="463"/>
      <c r="R791" s="463"/>
      <c r="S791" s="463"/>
      <c r="T791" s="463"/>
      <c r="U791" s="463"/>
      <c r="V791" s="463"/>
      <c r="W791" s="463"/>
      <c r="X791" s="463"/>
      <c r="Y791" s="463"/>
      <c r="Z791" s="463"/>
    </row>
    <row r="792" spans="1:26" ht="15.75" customHeight="1" x14ac:dyDescent="0.3">
      <c r="A792" s="463"/>
      <c r="B792" s="463"/>
      <c r="C792" s="463"/>
      <c r="D792" s="463"/>
      <c r="E792" s="463"/>
      <c r="F792" s="463"/>
      <c r="G792" s="463"/>
      <c r="H792" s="463"/>
      <c r="I792" s="463"/>
      <c r="J792" s="463"/>
      <c r="K792" s="463"/>
      <c r="L792" s="463"/>
      <c r="M792" s="463"/>
      <c r="N792" s="463"/>
      <c r="O792" s="463"/>
      <c r="P792" s="463"/>
      <c r="Q792" s="463"/>
      <c r="R792" s="463"/>
      <c r="S792" s="463"/>
      <c r="T792" s="463"/>
      <c r="U792" s="463"/>
      <c r="V792" s="463"/>
      <c r="W792" s="463"/>
      <c r="X792" s="463"/>
      <c r="Y792" s="463"/>
      <c r="Z792" s="463"/>
    </row>
    <row r="793" spans="1:26" ht="15.75" customHeight="1" x14ac:dyDescent="0.3">
      <c r="A793" s="463"/>
      <c r="B793" s="463"/>
      <c r="C793" s="463"/>
      <c r="D793" s="463"/>
      <c r="E793" s="463"/>
      <c r="F793" s="463"/>
      <c r="G793" s="463"/>
      <c r="H793" s="463"/>
      <c r="I793" s="463"/>
      <c r="J793" s="463"/>
      <c r="K793" s="463"/>
      <c r="L793" s="463"/>
      <c r="M793" s="463"/>
      <c r="N793" s="463"/>
      <c r="O793" s="463"/>
      <c r="P793" s="463"/>
      <c r="Q793" s="463"/>
      <c r="R793" s="463"/>
      <c r="S793" s="463"/>
      <c r="T793" s="463"/>
      <c r="U793" s="463"/>
      <c r="V793" s="463"/>
      <c r="W793" s="463"/>
      <c r="X793" s="463"/>
      <c r="Y793" s="463"/>
      <c r="Z793" s="463"/>
    </row>
    <row r="794" spans="1:26" ht="15.75" customHeight="1" x14ac:dyDescent="0.3">
      <c r="A794" s="463"/>
      <c r="B794" s="463"/>
      <c r="C794" s="463"/>
      <c r="D794" s="463"/>
      <c r="E794" s="463"/>
      <c r="F794" s="463"/>
      <c r="G794" s="463"/>
      <c r="H794" s="463"/>
      <c r="I794" s="463"/>
      <c r="J794" s="463"/>
      <c r="K794" s="463"/>
      <c r="L794" s="463"/>
      <c r="M794" s="463"/>
      <c r="N794" s="463"/>
      <c r="O794" s="463"/>
      <c r="P794" s="463"/>
      <c r="Q794" s="463"/>
      <c r="R794" s="463"/>
      <c r="S794" s="463"/>
      <c r="T794" s="463"/>
      <c r="U794" s="463"/>
      <c r="V794" s="463"/>
      <c r="W794" s="463"/>
      <c r="X794" s="463"/>
      <c r="Y794" s="463"/>
      <c r="Z794" s="463"/>
    </row>
    <row r="795" spans="1:26" ht="15.75" customHeight="1" x14ac:dyDescent="0.3">
      <c r="A795" s="463"/>
      <c r="B795" s="463"/>
      <c r="C795" s="463"/>
      <c r="D795" s="463"/>
      <c r="E795" s="463"/>
      <c r="F795" s="463"/>
      <c r="G795" s="463"/>
      <c r="H795" s="463"/>
      <c r="I795" s="463"/>
      <c r="J795" s="463"/>
      <c r="K795" s="463"/>
      <c r="L795" s="463"/>
      <c r="M795" s="463"/>
      <c r="N795" s="463"/>
      <c r="O795" s="463"/>
      <c r="P795" s="463"/>
      <c r="Q795" s="463"/>
      <c r="R795" s="463"/>
      <c r="S795" s="463"/>
      <c r="T795" s="463"/>
      <c r="U795" s="463"/>
      <c r="V795" s="463"/>
      <c r="W795" s="463"/>
      <c r="X795" s="463"/>
      <c r="Y795" s="463"/>
      <c r="Z795" s="463"/>
    </row>
    <row r="796" spans="1:26" ht="15.75" customHeight="1" x14ac:dyDescent="0.3">
      <c r="A796" s="463"/>
      <c r="B796" s="463"/>
      <c r="C796" s="463"/>
      <c r="D796" s="463"/>
      <c r="E796" s="463"/>
      <c r="F796" s="463"/>
      <c r="G796" s="463"/>
      <c r="H796" s="463"/>
      <c r="I796" s="463"/>
      <c r="J796" s="463"/>
      <c r="K796" s="463"/>
      <c r="L796" s="463"/>
      <c r="M796" s="463"/>
      <c r="N796" s="463"/>
      <c r="O796" s="463"/>
      <c r="P796" s="463"/>
      <c r="Q796" s="463"/>
      <c r="R796" s="463"/>
      <c r="S796" s="463"/>
      <c r="T796" s="463"/>
      <c r="U796" s="463"/>
      <c r="V796" s="463"/>
      <c r="W796" s="463"/>
      <c r="X796" s="463"/>
      <c r="Y796" s="463"/>
      <c r="Z796" s="463"/>
    </row>
    <row r="797" spans="1:26" ht="15.75" customHeight="1" x14ac:dyDescent="0.3">
      <c r="A797" s="463"/>
      <c r="B797" s="463"/>
      <c r="C797" s="463"/>
      <c r="D797" s="463"/>
      <c r="E797" s="463"/>
      <c r="F797" s="463"/>
      <c r="G797" s="463"/>
      <c r="H797" s="463"/>
      <c r="I797" s="463"/>
      <c r="J797" s="463"/>
      <c r="K797" s="463"/>
      <c r="L797" s="463"/>
      <c r="M797" s="463"/>
      <c r="N797" s="463"/>
      <c r="O797" s="463"/>
      <c r="P797" s="463"/>
      <c r="Q797" s="463"/>
      <c r="R797" s="463"/>
      <c r="S797" s="463"/>
      <c r="T797" s="463"/>
      <c r="U797" s="463"/>
      <c r="V797" s="463"/>
      <c r="W797" s="463"/>
      <c r="X797" s="463"/>
      <c r="Y797" s="463"/>
      <c r="Z797" s="463"/>
    </row>
    <row r="798" spans="1:26" ht="15.75" customHeight="1" x14ac:dyDescent="0.3">
      <c r="A798" s="463"/>
      <c r="B798" s="463"/>
      <c r="C798" s="463"/>
      <c r="D798" s="463"/>
      <c r="E798" s="463"/>
      <c r="F798" s="463"/>
      <c r="G798" s="463"/>
      <c r="H798" s="463"/>
      <c r="I798" s="463"/>
      <c r="J798" s="463"/>
      <c r="K798" s="463"/>
      <c r="L798" s="463"/>
      <c r="M798" s="463"/>
      <c r="N798" s="463"/>
      <c r="O798" s="463"/>
      <c r="P798" s="463"/>
      <c r="Q798" s="463"/>
      <c r="R798" s="463"/>
      <c r="S798" s="463"/>
      <c r="T798" s="463"/>
      <c r="U798" s="463"/>
      <c r="V798" s="463"/>
      <c r="W798" s="463"/>
      <c r="X798" s="463"/>
      <c r="Y798" s="463"/>
      <c r="Z798" s="463"/>
    </row>
    <row r="799" spans="1:26" ht="15.75" customHeight="1" x14ac:dyDescent="0.3">
      <c r="A799" s="463"/>
      <c r="B799" s="463"/>
      <c r="C799" s="463"/>
      <c r="D799" s="463"/>
      <c r="E799" s="463"/>
      <c r="F799" s="463"/>
      <c r="G799" s="463"/>
      <c r="H799" s="463"/>
      <c r="I799" s="463"/>
      <c r="J799" s="463"/>
      <c r="K799" s="463"/>
      <c r="L799" s="463"/>
      <c r="M799" s="463"/>
      <c r="N799" s="463"/>
      <c r="O799" s="463"/>
      <c r="P799" s="463"/>
      <c r="Q799" s="463"/>
      <c r="R799" s="463"/>
      <c r="S799" s="463"/>
      <c r="T799" s="463"/>
      <c r="U799" s="463"/>
      <c r="V799" s="463"/>
      <c r="W799" s="463"/>
      <c r="X799" s="463"/>
      <c r="Y799" s="463"/>
      <c r="Z799" s="463"/>
    </row>
    <row r="800" spans="1:26" ht="15.75" customHeight="1" x14ac:dyDescent="0.3">
      <c r="A800" s="463"/>
      <c r="B800" s="463"/>
      <c r="C800" s="463"/>
      <c r="D800" s="463"/>
      <c r="E800" s="463"/>
      <c r="F800" s="463"/>
      <c r="G800" s="463"/>
      <c r="H800" s="463"/>
      <c r="I800" s="463"/>
      <c r="J800" s="463"/>
      <c r="K800" s="463"/>
      <c r="L800" s="463"/>
      <c r="M800" s="463"/>
      <c r="N800" s="463"/>
      <c r="O800" s="463"/>
      <c r="P800" s="463"/>
      <c r="Q800" s="463"/>
      <c r="R800" s="463"/>
      <c r="S800" s="463"/>
      <c r="T800" s="463"/>
      <c r="U800" s="463"/>
      <c r="V800" s="463"/>
      <c r="W800" s="463"/>
      <c r="X800" s="463"/>
      <c r="Y800" s="463"/>
      <c r="Z800" s="463"/>
    </row>
    <row r="801" spans="1:26" ht="15.75" customHeight="1" x14ac:dyDescent="0.3">
      <c r="A801" s="463"/>
      <c r="B801" s="463"/>
      <c r="C801" s="463"/>
      <c r="D801" s="463"/>
      <c r="E801" s="463"/>
      <c r="F801" s="463"/>
      <c r="G801" s="463"/>
      <c r="H801" s="463"/>
      <c r="I801" s="463"/>
      <c r="J801" s="463"/>
      <c r="K801" s="463"/>
      <c r="L801" s="463"/>
      <c r="M801" s="463"/>
      <c r="N801" s="463"/>
      <c r="O801" s="463"/>
      <c r="P801" s="463"/>
      <c r="Q801" s="463"/>
      <c r="R801" s="463"/>
      <c r="S801" s="463"/>
      <c r="T801" s="463"/>
      <c r="U801" s="463"/>
      <c r="V801" s="463"/>
      <c r="W801" s="463"/>
      <c r="X801" s="463"/>
      <c r="Y801" s="463"/>
      <c r="Z801" s="463"/>
    </row>
    <row r="802" spans="1:26" ht="15.75" customHeight="1" x14ac:dyDescent="0.3">
      <c r="A802" s="463"/>
      <c r="B802" s="463"/>
      <c r="C802" s="463"/>
      <c r="D802" s="463"/>
      <c r="E802" s="463"/>
      <c r="F802" s="463"/>
      <c r="G802" s="463"/>
      <c r="H802" s="463"/>
      <c r="I802" s="463"/>
      <c r="J802" s="463"/>
      <c r="K802" s="463"/>
      <c r="L802" s="463"/>
      <c r="M802" s="463"/>
      <c r="N802" s="463"/>
      <c r="O802" s="463"/>
      <c r="P802" s="463"/>
      <c r="Q802" s="463"/>
      <c r="R802" s="463"/>
      <c r="S802" s="463"/>
      <c r="T802" s="463"/>
      <c r="U802" s="463"/>
      <c r="V802" s="463"/>
      <c r="W802" s="463"/>
      <c r="X802" s="463"/>
      <c r="Y802" s="463"/>
      <c r="Z802" s="463"/>
    </row>
    <row r="803" spans="1:26" ht="15.75" customHeight="1" x14ac:dyDescent="0.3">
      <c r="A803" s="463"/>
      <c r="B803" s="463"/>
      <c r="C803" s="463"/>
      <c r="D803" s="463"/>
      <c r="E803" s="463"/>
      <c r="F803" s="463"/>
      <c r="G803" s="463"/>
      <c r="H803" s="463"/>
      <c r="I803" s="463"/>
      <c r="J803" s="463"/>
      <c r="K803" s="463"/>
      <c r="L803" s="463"/>
      <c r="M803" s="463"/>
      <c r="N803" s="463"/>
      <c r="O803" s="463"/>
      <c r="P803" s="463"/>
      <c r="Q803" s="463"/>
      <c r="R803" s="463"/>
      <c r="S803" s="463"/>
      <c r="T803" s="463"/>
      <c r="U803" s="463"/>
      <c r="V803" s="463"/>
      <c r="W803" s="463"/>
      <c r="X803" s="463"/>
      <c r="Y803" s="463"/>
      <c r="Z803" s="463"/>
    </row>
    <row r="804" spans="1:26" ht="15.75" customHeight="1" x14ac:dyDescent="0.3">
      <c r="A804" s="463"/>
      <c r="B804" s="463"/>
      <c r="C804" s="463"/>
      <c r="D804" s="463"/>
      <c r="E804" s="463"/>
      <c r="F804" s="463"/>
      <c r="G804" s="463"/>
      <c r="H804" s="463"/>
      <c r="I804" s="463"/>
      <c r="J804" s="463"/>
      <c r="K804" s="463"/>
      <c r="L804" s="463"/>
      <c r="M804" s="463"/>
      <c r="N804" s="463"/>
      <c r="O804" s="463"/>
      <c r="P804" s="463"/>
      <c r="Q804" s="463"/>
      <c r="R804" s="463"/>
      <c r="S804" s="463"/>
      <c r="T804" s="463"/>
      <c r="U804" s="463"/>
      <c r="V804" s="463"/>
      <c r="W804" s="463"/>
      <c r="X804" s="463"/>
      <c r="Y804" s="463"/>
      <c r="Z804" s="463"/>
    </row>
    <row r="805" spans="1:26" ht="15.75" customHeight="1" x14ac:dyDescent="0.3">
      <c r="A805" s="463"/>
      <c r="B805" s="463"/>
      <c r="C805" s="463"/>
      <c r="D805" s="463"/>
      <c r="E805" s="463"/>
      <c r="F805" s="463"/>
      <c r="G805" s="463"/>
      <c r="H805" s="463"/>
      <c r="I805" s="463"/>
      <c r="J805" s="463"/>
      <c r="K805" s="463"/>
      <c r="L805" s="463"/>
      <c r="M805" s="463"/>
      <c r="N805" s="463"/>
      <c r="O805" s="463"/>
      <c r="P805" s="463"/>
      <c r="Q805" s="463"/>
      <c r="R805" s="463"/>
      <c r="S805" s="463"/>
      <c r="T805" s="463"/>
      <c r="U805" s="463"/>
      <c r="V805" s="463"/>
      <c r="W805" s="463"/>
      <c r="X805" s="463"/>
      <c r="Y805" s="463"/>
      <c r="Z805" s="463"/>
    </row>
    <row r="806" spans="1:26" ht="15.75" customHeight="1" x14ac:dyDescent="0.3">
      <c r="A806" s="463"/>
      <c r="B806" s="463"/>
      <c r="C806" s="463"/>
      <c r="D806" s="463"/>
      <c r="E806" s="463"/>
      <c r="F806" s="463"/>
      <c r="G806" s="463"/>
      <c r="H806" s="463"/>
      <c r="I806" s="463"/>
      <c r="J806" s="463"/>
      <c r="K806" s="463"/>
      <c r="L806" s="463"/>
      <c r="M806" s="463"/>
      <c r="N806" s="463"/>
      <c r="O806" s="463"/>
      <c r="P806" s="463"/>
      <c r="Q806" s="463"/>
      <c r="R806" s="463"/>
      <c r="S806" s="463"/>
      <c r="T806" s="463"/>
      <c r="U806" s="463"/>
      <c r="V806" s="463"/>
      <c r="W806" s="463"/>
      <c r="X806" s="463"/>
      <c r="Y806" s="463"/>
      <c r="Z806" s="463"/>
    </row>
    <row r="807" spans="1:26" ht="15.75" customHeight="1" x14ac:dyDescent="0.3">
      <c r="A807" s="463"/>
      <c r="B807" s="463"/>
      <c r="C807" s="463"/>
      <c r="D807" s="463"/>
      <c r="E807" s="463"/>
      <c r="F807" s="463"/>
      <c r="G807" s="463"/>
      <c r="H807" s="463"/>
      <c r="I807" s="463"/>
      <c r="J807" s="463"/>
      <c r="K807" s="463"/>
      <c r="L807" s="463"/>
      <c r="M807" s="463"/>
      <c r="N807" s="463"/>
      <c r="O807" s="463"/>
      <c r="P807" s="463"/>
      <c r="Q807" s="463"/>
      <c r="R807" s="463"/>
      <c r="S807" s="463"/>
      <c r="T807" s="463"/>
      <c r="U807" s="463"/>
      <c r="V807" s="463"/>
      <c r="W807" s="463"/>
      <c r="X807" s="463"/>
      <c r="Y807" s="463"/>
      <c r="Z807" s="463"/>
    </row>
    <row r="808" spans="1:26" ht="15.75" customHeight="1" x14ac:dyDescent="0.3">
      <c r="A808" s="463"/>
      <c r="B808" s="463"/>
      <c r="C808" s="463"/>
      <c r="D808" s="463"/>
      <c r="E808" s="463"/>
      <c r="F808" s="463"/>
      <c r="G808" s="463"/>
      <c r="H808" s="463"/>
      <c r="I808" s="463"/>
      <c r="J808" s="463"/>
      <c r="K808" s="463"/>
      <c r="L808" s="463"/>
      <c r="M808" s="463"/>
      <c r="N808" s="463"/>
      <c r="O808" s="463"/>
      <c r="P808" s="463"/>
      <c r="Q808" s="463"/>
      <c r="R808" s="463"/>
      <c r="S808" s="463"/>
      <c r="T808" s="463"/>
      <c r="U808" s="463"/>
      <c r="V808" s="463"/>
      <c r="W808" s="463"/>
      <c r="X808" s="463"/>
      <c r="Y808" s="463"/>
      <c r="Z808" s="463"/>
    </row>
    <row r="809" spans="1:26" ht="15.75" customHeight="1" x14ac:dyDescent="0.3">
      <c r="A809" s="463"/>
      <c r="B809" s="463"/>
      <c r="C809" s="463"/>
      <c r="D809" s="463"/>
      <c r="E809" s="463"/>
      <c r="F809" s="463"/>
      <c r="G809" s="463"/>
      <c r="H809" s="463"/>
      <c r="I809" s="463"/>
      <c r="J809" s="463"/>
      <c r="K809" s="463"/>
      <c r="L809" s="463"/>
      <c r="M809" s="463"/>
      <c r="N809" s="463"/>
      <c r="O809" s="463"/>
      <c r="P809" s="463"/>
      <c r="Q809" s="463"/>
      <c r="R809" s="463"/>
      <c r="S809" s="463"/>
      <c r="T809" s="463"/>
      <c r="U809" s="463"/>
      <c r="V809" s="463"/>
      <c r="W809" s="463"/>
      <c r="X809" s="463"/>
      <c r="Y809" s="463"/>
      <c r="Z809" s="463"/>
    </row>
    <row r="810" spans="1:26" ht="15.75" customHeight="1" x14ac:dyDescent="0.3">
      <c r="A810" s="463"/>
      <c r="B810" s="463"/>
      <c r="C810" s="463"/>
      <c r="D810" s="463"/>
      <c r="E810" s="463"/>
      <c r="F810" s="463"/>
      <c r="G810" s="463"/>
      <c r="H810" s="463"/>
      <c r="I810" s="463"/>
      <c r="J810" s="463"/>
      <c r="K810" s="463"/>
      <c r="L810" s="463"/>
      <c r="M810" s="463"/>
      <c r="N810" s="463"/>
      <c r="O810" s="463"/>
      <c r="P810" s="463"/>
      <c r="Q810" s="463"/>
      <c r="R810" s="463"/>
      <c r="S810" s="463"/>
      <c r="T810" s="463"/>
      <c r="U810" s="463"/>
      <c r="V810" s="463"/>
      <c r="W810" s="463"/>
      <c r="X810" s="463"/>
      <c r="Y810" s="463"/>
      <c r="Z810" s="463"/>
    </row>
    <row r="811" spans="1:26" ht="15.75" customHeight="1" x14ac:dyDescent="0.3">
      <c r="A811" s="463"/>
      <c r="B811" s="463"/>
      <c r="C811" s="463"/>
      <c r="D811" s="463"/>
      <c r="E811" s="463"/>
      <c r="F811" s="463"/>
      <c r="G811" s="463"/>
      <c r="H811" s="463"/>
      <c r="I811" s="463"/>
      <c r="J811" s="463"/>
      <c r="K811" s="463"/>
      <c r="L811" s="463"/>
      <c r="M811" s="463"/>
      <c r="N811" s="463"/>
      <c r="O811" s="463"/>
      <c r="P811" s="463"/>
      <c r="Q811" s="463"/>
      <c r="R811" s="463"/>
      <c r="S811" s="463"/>
      <c r="T811" s="463"/>
      <c r="U811" s="463"/>
      <c r="V811" s="463"/>
      <c r="W811" s="463"/>
      <c r="X811" s="463"/>
      <c r="Y811" s="463"/>
      <c r="Z811" s="463"/>
    </row>
    <row r="812" spans="1:26" ht="15.75" customHeight="1" x14ac:dyDescent="0.3">
      <c r="A812" s="463"/>
      <c r="B812" s="463"/>
      <c r="C812" s="463"/>
      <c r="D812" s="463"/>
      <c r="E812" s="463"/>
      <c r="F812" s="463"/>
      <c r="G812" s="463"/>
      <c r="H812" s="463"/>
      <c r="I812" s="463"/>
      <c r="J812" s="463"/>
      <c r="K812" s="463"/>
      <c r="L812" s="463"/>
      <c r="M812" s="463"/>
      <c r="N812" s="463"/>
      <c r="O812" s="463"/>
      <c r="P812" s="463"/>
      <c r="Q812" s="463"/>
      <c r="R812" s="463"/>
      <c r="S812" s="463"/>
      <c r="T812" s="463"/>
      <c r="U812" s="463"/>
      <c r="V812" s="463"/>
      <c r="W812" s="463"/>
      <c r="X812" s="463"/>
      <c r="Y812" s="463"/>
      <c r="Z812" s="463"/>
    </row>
    <row r="813" spans="1:26" ht="15.75" customHeight="1" x14ac:dyDescent="0.3">
      <c r="A813" s="463"/>
      <c r="B813" s="463"/>
      <c r="C813" s="463"/>
      <c r="D813" s="463"/>
      <c r="E813" s="463"/>
      <c r="F813" s="463"/>
      <c r="G813" s="463"/>
      <c r="H813" s="463"/>
      <c r="I813" s="463"/>
      <c r="J813" s="463"/>
      <c r="K813" s="463"/>
      <c r="L813" s="463"/>
      <c r="M813" s="463"/>
      <c r="N813" s="463"/>
      <c r="O813" s="463"/>
      <c r="P813" s="463"/>
      <c r="Q813" s="463"/>
      <c r="R813" s="463"/>
      <c r="S813" s="463"/>
      <c r="T813" s="463"/>
      <c r="U813" s="463"/>
      <c r="V813" s="463"/>
      <c r="W813" s="463"/>
      <c r="X813" s="463"/>
      <c r="Y813" s="463"/>
      <c r="Z813" s="463"/>
    </row>
    <row r="814" spans="1:26" ht="15.75" customHeight="1" x14ac:dyDescent="0.3">
      <c r="A814" s="463"/>
      <c r="B814" s="463"/>
      <c r="C814" s="463"/>
      <c r="D814" s="463"/>
      <c r="E814" s="463"/>
      <c r="F814" s="463"/>
      <c r="G814" s="463"/>
      <c r="H814" s="463"/>
      <c r="I814" s="463"/>
      <c r="J814" s="463"/>
      <c r="K814" s="463"/>
      <c r="L814" s="463"/>
      <c r="M814" s="463"/>
      <c r="N814" s="463"/>
      <c r="O814" s="463"/>
      <c r="P814" s="463"/>
      <c r="Q814" s="463"/>
      <c r="R814" s="463"/>
      <c r="S814" s="463"/>
      <c r="T814" s="463"/>
      <c r="U814" s="463"/>
      <c r="V814" s="463"/>
      <c r="W814" s="463"/>
      <c r="X814" s="463"/>
      <c r="Y814" s="463"/>
      <c r="Z814" s="463"/>
    </row>
    <row r="815" spans="1:26" ht="15.75" customHeight="1" x14ac:dyDescent="0.3">
      <c r="A815" s="463"/>
      <c r="B815" s="463"/>
      <c r="C815" s="463"/>
      <c r="D815" s="463"/>
      <c r="E815" s="463"/>
      <c r="F815" s="463"/>
      <c r="G815" s="463"/>
      <c r="H815" s="463"/>
      <c r="I815" s="463"/>
      <c r="J815" s="463"/>
      <c r="K815" s="463"/>
      <c r="L815" s="463"/>
      <c r="M815" s="463"/>
      <c r="N815" s="463"/>
      <c r="O815" s="463"/>
      <c r="P815" s="463"/>
      <c r="Q815" s="463"/>
      <c r="R815" s="463"/>
      <c r="S815" s="463"/>
      <c r="T815" s="463"/>
      <c r="U815" s="463"/>
      <c r="V815" s="463"/>
      <c r="W815" s="463"/>
      <c r="X815" s="463"/>
      <c r="Y815" s="463"/>
      <c r="Z815" s="463"/>
    </row>
    <row r="816" spans="1:26" ht="15.75" customHeight="1" x14ac:dyDescent="0.3">
      <c r="A816" s="463"/>
      <c r="B816" s="463"/>
      <c r="C816" s="463"/>
      <c r="D816" s="463"/>
      <c r="E816" s="463"/>
      <c r="F816" s="463"/>
      <c r="G816" s="463"/>
      <c r="H816" s="463"/>
      <c r="I816" s="463"/>
      <c r="J816" s="463"/>
      <c r="K816" s="463"/>
      <c r="L816" s="463"/>
      <c r="M816" s="463"/>
      <c r="N816" s="463"/>
      <c r="O816" s="463"/>
      <c r="P816" s="463"/>
      <c r="Q816" s="463"/>
      <c r="R816" s="463"/>
      <c r="S816" s="463"/>
      <c r="T816" s="463"/>
      <c r="U816" s="463"/>
      <c r="V816" s="463"/>
      <c r="W816" s="463"/>
      <c r="X816" s="463"/>
      <c r="Y816" s="463"/>
      <c r="Z816" s="463"/>
    </row>
    <row r="817" spans="1:26" ht="15.75" customHeight="1" x14ac:dyDescent="0.3">
      <c r="A817" s="463"/>
      <c r="B817" s="463"/>
      <c r="C817" s="463"/>
      <c r="D817" s="463"/>
      <c r="E817" s="463"/>
      <c r="F817" s="463"/>
      <c r="G817" s="463"/>
      <c r="H817" s="463"/>
      <c r="I817" s="463"/>
      <c r="J817" s="463"/>
      <c r="K817" s="463"/>
      <c r="L817" s="463"/>
      <c r="M817" s="463"/>
      <c r="N817" s="463"/>
      <c r="O817" s="463"/>
      <c r="P817" s="463"/>
      <c r="Q817" s="463"/>
      <c r="R817" s="463"/>
      <c r="S817" s="463"/>
      <c r="T817" s="463"/>
      <c r="U817" s="463"/>
      <c r="V817" s="463"/>
      <c r="W817" s="463"/>
      <c r="X817" s="463"/>
      <c r="Y817" s="463"/>
      <c r="Z817" s="463"/>
    </row>
    <row r="818" spans="1:26" ht="15.75" customHeight="1" x14ac:dyDescent="0.3">
      <c r="A818" s="463"/>
      <c r="B818" s="463"/>
      <c r="C818" s="463"/>
      <c r="D818" s="463"/>
      <c r="E818" s="463"/>
      <c r="F818" s="463"/>
      <c r="G818" s="463"/>
      <c r="H818" s="463"/>
      <c r="I818" s="463"/>
      <c r="J818" s="463"/>
      <c r="K818" s="463"/>
      <c r="L818" s="463"/>
      <c r="M818" s="463"/>
      <c r="N818" s="463"/>
      <c r="O818" s="463"/>
      <c r="P818" s="463"/>
      <c r="Q818" s="463"/>
      <c r="R818" s="463"/>
      <c r="S818" s="463"/>
      <c r="T818" s="463"/>
      <c r="U818" s="463"/>
      <c r="V818" s="463"/>
      <c r="W818" s="463"/>
      <c r="X818" s="463"/>
      <c r="Y818" s="463"/>
      <c r="Z818" s="463"/>
    </row>
    <row r="819" spans="1:26" ht="15.75" customHeight="1" x14ac:dyDescent="0.3">
      <c r="A819" s="463"/>
      <c r="B819" s="463"/>
      <c r="C819" s="463"/>
      <c r="D819" s="463"/>
      <c r="E819" s="463"/>
      <c r="F819" s="463"/>
      <c r="G819" s="463"/>
      <c r="H819" s="463"/>
      <c r="I819" s="463"/>
      <c r="J819" s="463"/>
      <c r="K819" s="463"/>
      <c r="L819" s="463"/>
      <c r="M819" s="463"/>
      <c r="N819" s="463"/>
      <c r="O819" s="463"/>
      <c r="P819" s="463"/>
      <c r="Q819" s="463"/>
      <c r="R819" s="463"/>
      <c r="S819" s="463"/>
      <c r="T819" s="463"/>
      <c r="U819" s="463"/>
      <c r="V819" s="463"/>
      <c r="W819" s="463"/>
      <c r="X819" s="463"/>
      <c r="Y819" s="463"/>
      <c r="Z819" s="463"/>
    </row>
    <row r="820" spans="1:26" ht="15.75" customHeight="1" x14ac:dyDescent="0.3">
      <c r="A820" s="463"/>
      <c r="B820" s="463"/>
      <c r="C820" s="463"/>
      <c r="D820" s="463"/>
      <c r="E820" s="463"/>
      <c r="F820" s="463"/>
      <c r="G820" s="463"/>
      <c r="H820" s="463"/>
      <c r="I820" s="463"/>
      <c r="J820" s="463"/>
      <c r="K820" s="463"/>
      <c r="L820" s="463"/>
      <c r="M820" s="463"/>
      <c r="N820" s="463"/>
      <c r="O820" s="463"/>
      <c r="P820" s="463"/>
      <c r="Q820" s="463"/>
      <c r="R820" s="463"/>
      <c r="S820" s="463"/>
      <c r="T820" s="463"/>
      <c r="U820" s="463"/>
      <c r="V820" s="463"/>
      <c r="W820" s="463"/>
      <c r="X820" s="463"/>
      <c r="Y820" s="463"/>
      <c r="Z820" s="463"/>
    </row>
    <row r="821" spans="1:26" ht="15.75" customHeight="1" x14ac:dyDescent="0.3">
      <c r="A821" s="463"/>
      <c r="B821" s="463"/>
      <c r="C821" s="463"/>
      <c r="D821" s="463"/>
      <c r="E821" s="463"/>
      <c r="F821" s="463"/>
      <c r="G821" s="463"/>
      <c r="H821" s="463"/>
      <c r="I821" s="463"/>
      <c r="J821" s="463"/>
      <c r="K821" s="463"/>
      <c r="L821" s="463"/>
      <c r="M821" s="463"/>
      <c r="N821" s="463"/>
      <c r="O821" s="463"/>
      <c r="P821" s="463"/>
      <c r="Q821" s="463"/>
      <c r="R821" s="463"/>
      <c r="S821" s="463"/>
      <c r="T821" s="463"/>
      <c r="U821" s="463"/>
      <c r="V821" s="463"/>
      <c r="W821" s="463"/>
      <c r="X821" s="463"/>
      <c r="Y821" s="463"/>
      <c r="Z821" s="463"/>
    </row>
    <row r="822" spans="1:26" ht="15.75" customHeight="1" x14ac:dyDescent="0.3">
      <c r="A822" s="463"/>
      <c r="B822" s="463"/>
      <c r="C822" s="463"/>
      <c r="D822" s="463"/>
      <c r="E822" s="463"/>
      <c r="F822" s="463"/>
      <c r="G822" s="463"/>
      <c r="H822" s="463"/>
      <c r="I822" s="463"/>
      <c r="J822" s="463"/>
      <c r="K822" s="463"/>
      <c r="L822" s="463"/>
      <c r="M822" s="463"/>
      <c r="N822" s="463"/>
      <c r="O822" s="463"/>
      <c r="P822" s="463"/>
      <c r="Q822" s="463"/>
      <c r="R822" s="463"/>
      <c r="S822" s="463"/>
      <c r="T822" s="463"/>
      <c r="U822" s="463"/>
      <c r="V822" s="463"/>
      <c r="W822" s="463"/>
      <c r="X822" s="463"/>
      <c r="Y822" s="463"/>
      <c r="Z822" s="463"/>
    </row>
    <row r="823" spans="1:26" ht="15.75" customHeight="1" x14ac:dyDescent="0.3">
      <c r="A823" s="463"/>
      <c r="B823" s="463"/>
      <c r="C823" s="463"/>
      <c r="D823" s="463"/>
      <c r="E823" s="463"/>
      <c r="F823" s="463"/>
      <c r="G823" s="463"/>
      <c r="H823" s="463"/>
      <c r="I823" s="463"/>
      <c r="J823" s="463"/>
      <c r="K823" s="463"/>
      <c r="L823" s="463"/>
      <c r="M823" s="463"/>
      <c r="N823" s="463"/>
      <c r="O823" s="463"/>
      <c r="P823" s="463"/>
      <c r="Q823" s="463"/>
      <c r="R823" s="463"/>
      <c r="S823" s="463"/>
      <c r="T823" s="463"/>
      <c r="U823" s="463"/>
      <c r="V823" s="463"/>
      <c r="W823" s="463"/>
      <c r="X823" s="463"/>
      <c r="Y823" s="463"/>
      <c r="Z823" s="463"/>
    </row>
    <row r="824" spans="1:26" ht="15.75" customHeight="1" x14ac:dyDescent="0.3">
      <c r="A824" s="463"/>
      <c r="B824" s="463"/>
      <c r="C824" s="463"/>
      <c r="D824" s="463"/>
      <c r="E824" s="463"/>
      <c r="F824" s="463"/>
      <c r="G824" s="463"/>
      <c r="H824" s="463"/>
      <c r="I824" s="463"/>
      <c r="J824" s="463"/>
      <c r="K824" s="463"/>
      <c r="L824" s="463"/>
      <c r="M824" s="463"/>
      <c r="N824" s="463"/>
      <c r="O824" s="463"/>
      <c r="P824" s="463"/>
      <c r="Q824" s="463"/>
      <c r="R824" s="463"/>
      <c r="S824" s="463"/>
      <c r="T824" s="463"/>
      <c r="U824" s="463"/>
      <c r="V824" s="463"/>
      <c r="W824" s="463"/>
      <c r="X824" s="463"/>
      <c r="Y824" s="463"/>
      <c r="Z824" s="463"/>
    </row>
    <row r="825" spans="1:26" ht="15.75" customHeight="1" x14ac:dyDescent="0.3">
      <c r="A825" s="463"/>
      <c r="B825" s="463"/>
      <c r="C825" s="463"/>
      <c r="D825" s="463"/>
      <c r="E825" s="463"/>
      <c r="F825" s="463"/>
      <c r="G825" s="463"/>
      <c r="H825" s="463"/>
      <c r="I825" s="463"/>
      <c r="J825" s="463"/>
      <c r="K825" s="463"/>
      <c r="L825" s="463"/>
      <c r="M825" s="463"/>
      <c r="N825" s="463"/>
      <c r="O825" s="463"/>
      <c r="P825" s="463"/>
      <c r="Q825" s="463"/>
      <c r="R825" s="463"/>
      <c r="S825" s="463"/>
      <c r="T825" s="463"/>
      <c r="U825" s="463"/>
      <c r="V825" s="463"/>
      <c r="W825" s="463"/>
      <c r="X825" s="463"/>
      <c r="Y825" s="463"/>
      <c r="Z825" s="463"/>
    </row>
    <row r="826" spans="1:26" ht="15.75" customHeight="1" x14ac:dyDescent="0.3">
      <c r="A826" s="463"/>
      <c r="B826" s="463"/>
      <c r="C826" s="463"/>
      <c r="D826" s="463"/>
      <c r="E826" s="463"/>
      <c r="F826" s="463"/>
      <c r="G826" s="463"/>
      <c r="H826" s="463"/>
      <c r="I826" s="463"/>
      <c r="J826" s="463"/>
      <c r="K826" s="463"/>
      <c r="L826" s="463"/>
      <c r="M826" s="463"/>
      <c r="N826" s="463"/>
      <c r="O826" s="463"/>
      <c r="P826" s="463"/>
      <c r="Q826" s="463"/>
      <c r="R826" s="463"/>
      <c r="S826" s="463"/>
      <c r="T826" s="463"/>
      <c r="U826" s="463"/>
      <c r="V826" s="463"/>
      <c r="W826" s="463"/>
      <c r="X826" s="463"/>
      <c r="Y826" s="463"/>
      <c r="Z826" s="463"/>
    </row>
    <row r="827" spans="1:26" ht="15.75" customHeight="1" x14ac:dyDescent="0.3">
      <c r="A827" s="463"/>
      <c r="B827" s="463"/>
      <c r="C827" s="463"/>
      <c r="D827" s="463"/>
      <c r="E827" s="463"/>
      <c r="F827" s="463"/>
      <c r="G827" s="463"/>
      <c r="H827" s="463"/>
      <c r="I827" s="463"/>
      <c r="J827" s="463"/>
      <c r="K827" s="463"/>
      <c r="L827" s="463"/>
      <c r="M827" s="463"/>
      <c r="N827" s="463"/>
      <c r="O827" s="463"/>
      <c r="P827" s="463"/>
      <c r="Q827" s="463"/>
      <c r="R827" s="463"/>
      <c r="S827" s="463"/>
      <c r="T827" s="463"/>
      <c r="U827" s="463"/>
      <c r="V827" s="463"/>
      <c r="W827" s="463"/>
      <c r="X827" s="463"/>
      <c r="Y827" s="463"/>
      <c r="Z827" s="463"/>
    </row>
    <row r="828" spans="1:26" ht="15.75" customHeight="1" x14ac:dyDescent="0.3">
      <c r="A828" s="463"/>
      <c r="B828" s="463"/>
      <c r="C828" s="463"/>
      <c r="D828" s="463"/>
      <c r="E828" s="463"/>
      <c r="F828" s="463"/>
      <c r="G828" s="463"/>
      <c r="H828" s="463"/>
      <c r="I828" s="463"/>
      <c r="J828" s="463"/>
      <c r="K828" s="463"/>
      <c r="L828" s="463"/>
      <c r="M828" s="463"/>
      <c r="N828" s="463"/>
      <c r="O828" s="463"/>
      <c r="P828" s="463"/>
      <c r="Q828" s="463"/>
      <c r="R828" s="463"/>
      <c r="S828" s="463"/>
      <c r="T828" s="463"/>
      <c r="U828" s="463"/>
      <c r="V828" s="463"/>
      <c r="W828" s="463"/>
      <c r="X828" s="463"/>
      <c r="Y828" s="463"/>
      <c r="Z828" s="463"/>
    </row>
    <row r="829" spans="1:26" ht="15.75" customHeight="1" x14ac:dyDescent="0.3">
      <c r="A829" s="463"/>
      <c r="B829" s="463"/>
      <c r="C829" s="463"/>
      <c r="D829" s="463"/>
      <c r="E829" s="463"/>
      <c r="F829" s="463"/>
      <c r="G829" s="463"/>
      <c r="H829" s="463"/>
      <c r="I829" s="463"/>
      <c r="J829" s="463"/>
      <c r="K829" s="463"/>
      <c r="L829" s="463"/>
      <c r="M829" s="463"/>
      <c r="N829" s="463"/>
      <c r="O829" s="463"/>
      <c r="P829" s="463"/>
      <c r="Q829" s="463"/>
      <c r="R829" s="463"/>
      <c r="S829" s="463"/>
      <c r="T829" s="463"/>
      <c r="U829" s="463"/>
      <c r="V829" s="463"/>
      <c r="W829" s="463"/>
      <c r="X829" s="463"/>
      <c r="Y829" s="463"/>
      <c r="Z829" s="463"/>
    </row>
    <row r="830" spans="1:26" ht="15.75" customHeight="1" x14ac:dyDescent="0.3">
      <c r="A830" s="463"/>
      <c r="B830" s="463"/>
      <c r="C830" s="463"/>
      <c r="D830" s="463"/>
      <c r="E830" s="463"/>
      <c r="F830" s="463"/>
      <c r="G830" s="463"/>
      <c r="H830" s="463"/>
      <c r="I830" s="463"/>
      <c r="J830" s="463"/>
      <c r="K830" s="463"/>
      <c r="L830" s="463"/>
      <c r="M830" s="463"/>
      <c r="N830" s="463"/>
      <c r="O830" s="463"/>
      <c r="P830" s="463"/>
      <c r="Q830" s="463"/>
      <c r="R830" s="463"/>
      <c r="S830" s="463"/>
      <c r="T830" s="463"/>
      <c r="U830" s="463"/>
      <c r="V830" s="463"/>
      <c r="W830" s="463"/>
      <c r="X830" s="463"/>
      <c r="Y830" s="463"/>
      <c r="Z830" s="463"/>
    </row>
    <row r="831" spans="1:26" ht="15.75" customHeight="1" x14ac:dyDescent="0.3">
      <c r="A831" s="463"/>
      <c r="B831" s="463"/>
      <c r="C831" s="463"/>
      <c r="D831" s="463"/>
      <c r="E831" s="463"/>
      <c r="F831" s="463"/>
      <c r="G831" s="463"/>
      <c r="H831" s="463"/>
      <c r="I831" s="463"/>
      <c r="J831" s="463"/>
      <c r="K831" s="463"/>
      <c r="L831" s="463"/>
      <c r="M831" s="463"/>
      <c r="N831" s="463"/>
      <c r="O831" s="463"/>
      <c r="P831" s="463"/>
      <c r="Q831" s="463"/>
      <c r="R831" s="463"/>
      <c r="S831" s="463"/>
      <c r="T831" s="463"/>
      <c r="U831" s="463"/>
      <c r="V831" s="463"/>
      <c r="W831" s="463"/>
      <c r="X831" s="463"/>
      <c r="Y831" s="463"/>
      <c r="Z831" s="463"/>
    </row>
    <row r="832" spans="1:26" ht="15.75" customHeight="1" x14ac:dyDescent="0.3">
      <c r="A832" s="463"/>
      <c r="B832" s="463"/>
      <c r="C832" s="463"/>
      <c r="D832" s="463"/>
      <c r="E832" s="463"/>
      <c r="F832" s="463"/>
      <c r="G832" s="463"/>
      <c r="H832" s="463"/>
      <c r="I832" s="463"/>
      <c r="J832" s="463"/>
      <c r="K832" s="463"/>
      <c r="L832" s="463"/>
      <c r="M832" s="463"/>
      <c r="N832" s="463"/>
      <c r="O832" s="463"/>
      <c r="P832" s="463"/>
      <c r="Q832" s="463"/>
      <c r="R832" s="463"/>
      <c r="S832" s="463"/>
      <c r="T832" s="463"/>
      <c r="U832" s="463"/>
      <c r="V832" s="463"/>
      <c r="W832" s="463"/>
      <c r="X832" s="463"/>
      <c r="Y832" s="463"/>
      <c r="Z832" s="463"/>
    </row>
    <row r="833" spans="1:26" ht="15.75" customHeight="1" x14ac:dyDescent="0.3">
      <c r="A833" s="463"/>
      <c r="B833" s="463"/>
      <c r="C833" s="463"/>
      <c r="D833" s="463"/>
      <c r="E833" s="463"/>
      <c r="F833" s="463"/>
      <c r="G833" s="463"/>
      <c r="H833" s="463"/>
      <c r="I833" s="463"/>
      <c r="J833" s="463"/>
      <c r="K833" s="463"/>
      <c r="L833" s="463"/>
      <c r="M833" s="463"/>
      <c r="N833" s="463"/>
      <c r="O833" s="463"/>
      <c r="P833" s="463"/>
      <c r="Q833" s="463"/>
      <c r="R833" s="463"/>
      <c r="S833" s="463"/>
      <c r="T833" s="463"/>
      <c r="U833" s="463"/>
      <c r="V833" s="463"/>
      <c r="W833" s="463"/>
      <c r="X833" s="463"/>
      <c r="Y833" s="463"/>
      <c r="Z833" s="463"/>
    </row>
    <row r="834" spans="1:26" ht="15.75" customHeight="1" x14ac:dyDescent="0.3">
      <c r="A834" s="463"/>
      <c r="B834" s="463"/>
      <c r="C834" s="463"/>
      <c r="D834" s="463"/>
      <c r="E834" s="463"/>
      <c r="F834" s="463"/>
      <c r="G834" s="463"/>
      <c r="H834" s="463"/>
      <c r="I834" s="463"/>
      <c r="J834" s="463"/>
      <c r="K834" s="463"/>
      <c r="L834" s="463"/>
      <c r="M834" s="463"/>
      <c r="N834" s="463"/>
      <c r="O834" s="463"/>
      <c r="P834" s="463"/>
      <c r="Q834" s="463"/>
      <c r="R834" s="463"/>
      <c r="S834" s="463"/>
      <c r="T834" s="463"/>
      <c r="U834" s="463"/>
      <c r="V834" s="463"/>
      <c r="W834" s="463"/>
      <c r="X834" s="463"/>
      <c r="Y834" s="463"/>
      <c r="Z834" s="463"/>
    </row>
    <row r="835" spans="1:26" ht="15.75" customHeight="1" x14ac:dyDescent="0.3">
      <c r="A835" s="463"/>
      <c r="B835" s="463"/>
      <c r="C835" s="463"/>
      <c r="D835" s="463"/>
      <c r="E835" s="463"/>
      <c r="F835" s="463"/>
      <c r="G835" s="463"/>
      <c r="H835" s="463"/>
      <c r="I835" s="463"/>
      <c r="J835" s="463"/>
      <c r="K835" s="463"/>
      <c r="L835" s="463"/>
      <c r="M835" s="463"/>
      <c r="N835" s="463"/>
      <c r="O835" s="463"/>
      <c r="P835" s="463"/>
      <c r="Q835" s="463"/>
      <c r="R835" s="463"/>
      <c r="S835" s="463"/>
      <c r="T835" s="463"/>
      <c r="U835" s="463"/>
      <c r="V835" s="463"/>
      <c r="W835" s="463"/>
      <c r="X835" s="463"/>
      <c r="Y835" s="463"/>
      <c r="Z835" s="463"/>
    </row>
    <row r="836" spans="1:26" ht="15.75" customHeight="1" x14ac:dyDescent="0.3">
      <c r="A836" s="463"/>
      <c r="B836" s="463"/>
      <c r="C836" s="463"/>
      <c r="D836" s="463"/>
      <c r="E836" s="463"/>
      <c r="F836" s="463"/>
      <c r="G836" s="463"/>
      <c r="H836" s="463"/>
      <c r="I836" s="463"/>
      <c r="J836" s="463"/>
      <c r="K836" s="463"/>
      <c r="L836" s="463"/>
      <c r="M836" s="463"/>
      <c r="N836" s="463"/>
      <c r="O836" s="463"/>
      <c r="P836" s="463"/>
      <c r="Q836" s="463"/>
      <c r="R836" s="463"/>
      <c r="S836" s="463"/>
      <c r="T836" s="463"/>
      <c r="U836" s="463"/>
      <c r="V836" s="463"/>
      <c r="W836" s="463"/>
      <c r="X836" s="463"/>
      <c r="Y836" s="463"/>
      <c r="Z836" s="463"/>
    </row>
    <row r="837" spans="1:26" ht="15.75" customHeight="1" x14ac:dyDescent="0.3">
      <c r="A837" s="463"/>
      <c r="B837" s="463"/>
      <c r="C837" s="463"/>
      <c r="D837" s="463"/>
      <c r="E837" s="463"/>
      <c r="F837" s="463"/>
      <c r="G837" s="463"/>
      <c r="H837" s="463"/>
      <c r="I837" s="463"/>
      <c r="J837" s="463"/>
      <c r="K837" s="463"/>
      <c r="L837" s="463"/>
      <c r="M837" s="463"/>
      <c r="N837" s="463"/>
      <c r="O837" s="463"/>
      <c r="P837" s="463"/>
      <c r="Q837" s="463"/>
      <c r="R837" s="463"/>
      <c r="S837" s="463"/>
      <c r="T837" s="463"/>
      <c r="U837" s="463"/>
      <c r="V837" s="463"/>
      <c r="W837" s="463"/>
      <c r="X837" s="463"/>
      <c r="Y837" s="463"/>
      <c r="Z837" s="463"/>
    </row>
    <row r="838" spans="1:26" ht="15.75" customHeight="1" x14ac:dyDescent="0.3">
      <c r="A838" s="463"/>
      <c r="B838" s="463"/>
      <c r="C838" s="463"/>
      <c r="D838" s="463"/>
      <c r="E838" s="463"/>
      <c r="F838" s="463"/>
      <c r="G838" s="463"/>
      <c r="H838" s="463"/>
      <c r="I838" s="463"/>
      <c r="J838" s="463"/>
      <c r="K838" s="463"/>
      <c r="L838" s="463"/>
      <c r="M838" s="463"/>
      <c r="N838" s="463"/>
      <c r="O838" s="463"/>
      <c r="P838" s="463"/>
      <c r="Q838" s="463"/>
      <c r="R838" s="463"/>
      <c r="S838" s="463"/>
      <c r="T838" s="463"/>
      <c r="U838" s="463"/>
      <c r="V838" s="463"/>
      <c r="W838" s="463"/>
      <c r="X838" s="463"/>
      <c r="Y838" s="463"/>
      <c r="Z838" s="463"/>
    </row>
    <row r="839" spans="1:26" ht="15.75" customHeight="1" x14ac:dyDescent="0.3">
      <c r="A839" s="463"/>
      <c r="B839" s="463"/>
      <c r="C839" s="463"/>
      <c r="D839" s="463"/>
      <c r="E839" s="463"/>
      <c r="F839" s="463"/>
      <c r="G839" s="463"/>
      <c r="H839" s="463"/>
      <c r="I839" s="463"/>
      <c r="J839" s="463"/>
      <c r="K839" s="463"/>
      <c r="L839" s="463"/>
      <c r="M839" s="463"/>
      <c r="N839" s="463"/>
      <c r="O839" s="463"/>
      <c r="P839" s="463"/>
      <c r="Q839" s="463"/>
      <c r="R839" s="463"/>
      <c r="S839" s="463"/>
      <c r="T839" s="463"/>
      <c r="U839" s="463"/>
      <c r="V839" s="463"/>
      <c r="W839" s="463"/>
      <c r="X839" s="463"/>
      <c r="Y839" s="463"/>
      <c r="Z839" s="463"/>
    </row>
    <row r="840" spans="1:26" ht="15.75" customHeight="1" x14ac:dyDescent="0.3">
      <c r="A840" s="463"/>
      <c r="B840" s="463"/>
      <c r="C840" s="463"/>
      <c r="D840" s="463"/>
      <c r="E840" s="463"/>
      <c r="F840" s="463"/>
      <c r="G840" s="463"/>
      <c r="H840" s="463"/>
      <c r="I840" s="463"/>
      <c r="J840" s="463"/>
      <c r="K840" s="463"/>
      <c r="L840" s="463"/>
      <c r="M840" s="463"/>
      <c r="N840" s="463"/>
      <c r="O840" s="463"/>
      <c r="P840" s="463"/>
      <c r="Q840" s="463"/>
      <c r="R840" s="463"/>
      <c r="S840" s="463"/>
      <c r="T840" s="463"/>
      <c r="U840" s="463"/>
      <c r="V840" s="463"/>
      <c r="W840" s="463"/>
      <c r="X840" s="463"/>
      <c r="Y840" s="463"/>
      <c r="Z840" s="463"/>
    </row>
    <row r="841" spans="1:26" ht="15.75" customHeight="1" x14ac:dyDescent="0.3">
      <c r="A841" s="463"/>
      <c r="B841" s="463"/>
      <c r="C841" s="463"/>
      <c r="D841" s="463"/>
      <c r="E841" s="463"/>
      <c r="F841" s="463"/>
      <c r="G841" s="463"/>
      <c r="H841" s="463"/>
      <c r="I841" s="463"/>
      <c r="J841" s="463"/>
      <c r="K841" s="463"/>
      <c r="L841" s="463"/>
      <c r="M841" s="463"/>
      <c r="N841" s="463"/>
      <c r="O841" s="463"/>
      <c r="P841" s="463"/>
      <c r="Q841" s="463"/>
      <c r="R841" s="463"/>
      <c r="S841" s="463"/>
      <c r="T841" s="463"/>
      <c r="U841" s="463"/>
      <c r="V841" s="463"/>
      <c r="W841" s="463"/>
      <c r="X841" s="463"/>
      <c r="Y841" s="463"/>
      <c r="Z841" s="463"/>
    </row>
    <row r="842" spans="1:26" ht="15.75" customHeight="1" x14ac:dyDescent="0.3">
      <c r="A842" s="463"/>
      <c r="B842" s="463"/>
      <c r="C842" s="463"/>
      <c r="D842" s="463"/>
      <c r="E842" s="463"/>
      <c r="F842" s="463"/>
      <c r="G842" s="463"/>
      <c r="H842" s="463"/>
      <c r="I842" s="463"/>
      <c r="J842" s="463"/>
      <c r="K842" s="463"/>
      <c r="L842" s="463"/>
      <c r="M842" s="463"/>
      <c r="N842" s="463"/>
      <c r="O842" s="463"/>
      <c r="P842" s="463"/>
      <c r="Q842" s="463"/>
      <c r="R842" s="463"/>
      <c r="S842" s="463"/>
      <c r="T842" s="463"/>
      <c r="U842" s="463"/>
      <c r="V842" s="463"/>
      <c r="W842" s="463"/>
      <c r="X842" s="463"/>
      <c r="Y842" s="463"/>
      <c r="Z842" s="463"/>
    </row>
    <row r="843" spans="1:26" ht="15.75" customHeight="1" x14ac:dyDescent="0.3">
      <c r="A843" s="463"/>
      <c r="B843" s="463"/>
      <c r="C843" s="463"/>
      <c r="D843" s="463"/>
      <c r="E843" s="463"/>
      <c r="F843" s="463"/>
      <c r="G843" s="463"/>
      <c r="H843" s="463"/>
      <c r="I843" s="463"/>
      <c r="J843" s="463"/>
      <c r="K843" s="463"/>
      <c r="L843" s="463"/>
      <c r="M843" s="463"/>
      <c r="N843" s="463"/>
      <c r="O843" s="463"/>
      <c r="P843" s="463"/>
      <c r="Q843" s="463"/>
      <c r="R843" s="463"/>
      <c r="S843" s="463"/>
      <c r="T843" s="463"/>
      <c r="U843" s="463"/>
      <c r="V843" s="463"/>
      <c r="W843" s="463"/>
      <c r="X843" s="463"/>
      <c r="Y843" s="463"/>
      <c r="Z843" s="463"/>
    </row>
    <row r="844" spans="1:26" ht="15.75" customHeight="1" x14ac:dyDescent="0.3">
      <c r="A844" s="463"/>
      <c r="B844" s="463"/>
      <c r="C844" s="463"/>
      <c r="D844" s="463"/>
      <c r="E844" s="463"/>
      <c r="F844" s="463"/>
      <c r="G844" s="463"/>
      <c r="H844" s="463"/>
      <c r="I844" s="463"/>
      <c r="J844" s="463"/>
      <c r="K844" s="463"/>
      <c r="L844" s="463"/>
      <c r="M844" s="463"/>
      <c r="N844" s="463"/>
      <c r="O844" s="463"/>
      <c r="P844" s="463"/>
      <c r="Q844" s="463"/>
      <c r="R844" s="463"/>
      <c r="S844" s="463"/>
      <c r="T844" s="463"/>
      <c r="U844" s="463"/>
      <c r="V844" s="463"/>
      <c r="W844" s="463"/>
      <c r="X844" s="463"/>
      <c r="Y844" s="463"/>
      <c r="Z844" s="463"/>
    </row>
    <row r="845" spans="1:26" ht="15.75" customHeight="1" x14ac:dyDescent="0.3">
      <c r="A845" s="463"/>
      <c r="B845" s="463"/>
      <c r="C845" s="463"/>
      <c r="D845" s="463"/>
      <c r="E845" s="463"/>
      <c r="F845" s="463"/>
      <c r="G845" s="463"/>
      <c r="H845" s="463"/>
      <c r="I845" s="463"/>
      <c r="J845" s="463"/>
      <c r="K845" s="463"/>
      <c r="L845" s="463"/>
      <c r="M845" s="463"/>
      <c r="N845" s="463"/>
      <c r="O845" s="463"/>
      <c r="P845" s="463"/>
      <c r="Q845" s="463"/>
      <c r="R845" s="463"/>
      <c r="S845" s="463"/>
      <c r="T845" s="463"/>
      <c r="U845" s="463"/>
      <c r="V845" s="463"/>
      <c r="W845" s="463"/>
      <c r="X845" s="463"/>
      <c r="Y845" s="463"/>
      <c r="Z845" s="463"/>
    </row>
    <row r="846" spans="1:26" ht="15.75" customHeight="1" x14ac:dyDescent="0.3">
      <c r="A846" s="463"/>
      <c r="B846" s="463"/>
      <c r="C846" s="463"/>
      <c r="D846" s="463"/>
      <c r="E846" s="463"/>
      <c r="F846" s="463"/>
      <c r="G846" s="463"/>
      <c r="H846" s="463"/>
      <c r="I846" s="463"/>
      <c r="J846" s="463"/>
      <c r="K846" s="463"/>
      <c r="L846" s="463"/>
      <c r="M846" s="463"/>
      <c r="N846" s="463"/>
      <c r="O846" s="463"/>
      <c r="P846" s="463"/>
      <c r="Q846" s="463"/>
      <c r="R846" s="463"/>
      <c r="S846" s="463"/>
      <c r="T846" s="463"/>
      <c r="U846" s="463"/>
      <c r="V846" s="463"/>
      <c r="W846" s="463"/>
      <c r="X846" s="463"/>
      <c r="Y846" s="463"/>
      <c r="Z846" s="463"/>
    </row>
    <row r="847" spans="1:26" ht="15.75" customHeight="1" x14ac:dyDescent="0.3">
      <c r="A847" s="463"/>
      <c r="B847" s="463"/>
      <c r="C847" s="463"/>
      <c r="D847" s="463"/>
      <c r="E847" s="463"/>
      <c r="F847" s="463"/>
      <c r="G847" s="463"/>
      <c r="H847" s="463"/>
      <c r="I847" s="463"/>
      <c r="J847" s="463"/>
      <c r="K847" s="463"/>
      <c r="L847" s="463"/>
      <c r="M847" s="463"/>
      <c r="N847" s="463"/>
      <c r="O847" s="463"/>
      <c r="P847" s="463"/>
      <c r="Q847" s="463"/>
      <c r="R847" s="463"/>
      <c r="S847" s="463"/>
      <c r="T847" s="463"/>
      <c r="U847" s="463"/>
      <c r="V847" s="463"/>
      <c r="W847" s="463"/>
      <c r="X847" s="463"/>
      <c r="Y847" s="463"/>
      <c r="Z847" s="463"/>
    </row>
    <row r="848" spans="1:26" ht="15.75" customHeight="1" x14ac:dyDescent="0.3">
      <c r="A848" s="463"/>
      <c r="B848" s="463"/>
      <c r="C848" s="463"/>
      <c r="D848" s="463"/>
      <c r="E848" s="463"/>
      <c r="F848" s="463"/>
      <c r="G848" s="463"/>
      <c r="H848" s="463"/>
      <c r="I848" s="463"/>
      <c r="J848" s="463"/>
      <c r="K848" s="463"/>
      <c r="L848" s="463"/>
      <c r="M848" s="463"/>
      <c r="N848" s="463"/>
      <c r="O848" s="463"/>
      <c r="P848" s="463"/>
      <c r="Q848" s="463"/>
      <c r="R848" s="463"/>
      <c r="S848" s="463"/>
      <c r="T848" s="463"/>
      <c r="U848" s="463"/>
      <c r="V848" s="463"/>
      <c r="W848" s="463"/>
      <c r="X848" s="463"/>
      <c r="Y848" s="463"/>
      <c r="Z848" s="463"/>
    </row>
    <row r="849" spans="1:26" ht="15.75" customHeight="1" x14ac:dyDescent="0.3">
      <c r="A849" s="463"/>
      <c r="B849" s="463"/>
      <c r="C849" s="463"/>
      <c r="D849" s="463"/>
      <c r="E849" s="463"/>
      <c r="F849" s="463"/>
      <c r="G849" s="463"/>
      <c r="H849" s="463"/>
      <c r="I849" s="463"/>
      <c r="J849" s="463"/>
      <c r="K849" s="463"/>
      <c r="L849" s="463"/>
      <c r="M849" s="463"/>
      <c r="N849" s="463"/>
      <c r="O849" s="463"/>
      <c r="P849" s="463"/>
      <c r="Q849" s="463"/>
      <c r="R849" s="463"/>
      <c r="S849" s="463"/>
      <c r="T849" s="463"/>
      <c r="U849" s="463"/>
      <c r="V849" s="463"/>
      <c r="W849" s="463"/>
      <c r="X849" s="463"/>
      <c r="Y849" s="463"/>
      <c r="Z849" s="463"/>
    </row>
    <row r="850" spans="1:26" ht="15.75" customHeight="1" x14ac:dyDescent="0.3">
      <c r="A850" s="463"/>
      <c r="B850" s="463"/>
      <c r="C850" s="463"/>
      <c r="D850" s="463"/>
      <c r="E850" s="463"/>
      <c r="F850" s="463"/>
      <c r="G850" s="463"/>
      <c r="H850" s="463"/>
      <c r="I850" s="463"/>
      <c r="J850" s="463"/>
      <c r="K850" s="463"/>
      <c r="L850" s="463"/>
      <c r="M850" s="463"/>
      <c r="N850" s="463"/>
      <c r="O850" s="463"/>
      <c r="P850" s="463"/>
      <c r="Q850" s="463"/>
      <c r="R850" s="463"/>
      <c r="S850" s="463"/>
      <c r="T850" s="463"/>
      <c r="U850" s="463"/>
      <c r="V850" s="463"/>
      <c r="W850" s="463"/>
      <c r="X850" s="463"/>
      <c r="Y850" s="463"/>
      <c r="Z850" s="463"/>
    </row>
    <row r="851" spans="1:26" ht="15.75" customHeight="1" x14ac:dyDescent="0.3">
      <c r="A851" s="463"/>
      <c r="B851" s="463"/>
      <c r="C851" s="463"/>
      <c r="D851" s="463"/>
      <c r="E851" s="463"/>
      <c r="F851" s="463"/>
      <c r="G851" s="463"/>
      <c r="H851" s="463"/>
      <c r="I851" s="463"/>
      <c r="J851" s="463"/>
      <c r="K851" s="463"/>
      <c r="L851" s="463"/>
      <c r="M851" s="463"/>
      <c r="N851" s="463"/>
      <c r="O851" s="463"/>
      <c r="P851" s="463"/>
      <c r="Q851" s="463"/>
      <c r="R851" s="463"/>
      <c r="S851" s="463"/>
      <c r="T851" s="463"/>
      <c r="U851" s="463"/>
      <c r="V851" s="463"/>
      <c r="W851" s="463"/>
      <c r="X851" s="463"/>
      <c r="Y851" s="463"/>
      <c r="Z851" s="463"/>
    </row>
    <row r="852" spans="1:26" ht="15.75" customHeight="1" x14ac:dyDescent="0.3">
      <c r="A852" s="463"/>
      <c r="B852" s="463"/>
      <c r="C852" s="463"/>
      <c r="D852" s="463"/>
      <c r="E852" s="463"/>
      <c r="F852" s="463"/>
      <c r="G852" s="463"/>
      <c r="H852" s="463"/>
      <c r="I852" s="463"/>
      <c r="J852" s="463"/>
      <c r="K852" s="463"/>
      <c r="L852" s="463"/>
      <c r="M852" s="463"/>
      <c r="N852" s="463"/>
      <c r="O852" s="463"/>
      <c r="P852" s="463"/>
      <c r="Q852" s="463"/>
      <c r="R852" s="463"/>
      <c r="S852" s="463"/>
      <c r="T852" s="463"/>
      <c r="U852" s="463"/>
      <c r="V852" s="463"/>
      <c r="W852" s="463"/>
      <c r="X852" s="463"/>
      <c r="Y852" s="463"/>
      <c r="Z852" s="463"/>
    </row>
    <row r="853" spans="1:26" ht="15.75" customHeight="1" x14ac:dyDescent="0.3">
      <c r="A853" s="463"/>
      <c r="B853" s="463"/>
      <c r="C853" s="463"/>
      <c r="D853" s="463"/>
      <c r="E853" s="463"/>
      <c r="F853" s="463"/>
      <c r="G853" s="463"/>
      <c r="H853" s="463"/>
      <c r="I853" s="463"/>
      <c r="J853" s="463"/>
      <c r="K853" s="463"/>
      <c r="L853" s="463"/>
      <c r="M853" s="463"/>
      <c r="N853" s="463"/>
      <c r="O853" s="463"/>
      <c r="P853" s="463"/>
      <c r="Q853" s="463"/>
      <c r="R853" s="463"/>
      <c r="S853" s="463"/>
      <c r="T853" s="463"/>
      <c r="U853" s="463"/>
      <c r="V853" s="463"/>
      <c r="W853" s="463"/>
      <c r="X853" s="463"/>
      <c r="Y853" s="463"/>
      <c r="Z853" s="463"/>
    </row>
    <row r="854" spans="1:26" ht="15.75" customHeight="1" x14ac:dyDescent="0.3">
      <c r="A854" s="463"/>
      <c r="B854" s="463"/>
      <c r="C854" s="463"/>
      <c r="D854" s="463"/>
      <c r="E854" s="463"/>
      <c r="F854" s="463"/>
      <c r="G854" s="463"/>
      <c r="H854" s="463"/>
      <c r="I854" s="463"/>
      <c r="J854" s="463"/>
      <c r="K854" s="463"/>
      <c r="L854" s="463"/>
      <c r="M854" s="463"/>
      <c r="N854" s="463"/>
      <c r="O854" s="463"/>
      <c r="P854" s="463"/>
      <c r="Q854" s="463"/>
      <c r="R854" s="463"/>
      <c r="S854" s="463"/>
      <c r="T854" s="463"/>
      <c r="U854" s="463"/>
      <c r="V854" s="463"/>
      <c r="W854" s="463"/>
      <c r="X854" s="463"/>
      <c r="Y854" s="463"/>
      <c r="Z854" s="463"/>
    </row>
    <row r="855" spans="1:26" ht="15.75" customHeight="1" x14ac:dyDescent="0.3">
      <c r="A855" s="463"/>
      <c r="B855" s="463"/>
      <c r="C855" s="463"/>
      <c r="D855" s="463"/>
      <c r="E855" s="463"/>
      <c r="F855" s="463"/>
      <c r="G855" s="463"/>
      <c r="H855" s="463"/>
      <c r="I855" s="463"/>
      <c r="J855" s="463"/>
      <c r="K855" s="463"/>
      <c r="L855" s="463"/>
      <c r="M855" s="463"/>
      <c r="N855" s="463"/>
      <c r="O855" s="463"/>
      <c r="P855" s="463"/>
      <c r="Q855" s="463"/>
      <c r="R855" s="463"/>
      <c r="S855" s="463"/>
      <c r="T855" s="463"/>
      <c r="U855" s="463"/>
      <c r="V855" s="463"/>
      <c r="W855" s="463"/>
      <c r="X855" s="463"/>
      <c r="Y855" s="463"/>
      <c r="Z855" s="463"/>
    </row>
    <row r="856" spans="1:26" ht="15.75" customHeight="1" x14ac:dyDescent="0.3">
      <c r="A856" s="463"/>
      <c r="B856" s="463"/>
      <c r="C856" s="463"/>
      <c r="D856" s="463"/>
      <c r="E856" s="463"/>
      <c r="F856" s="463"/>
      <c r="G856" s="463"/>
      <c r="H856" s="463"/>
      <c r="I856" s="463"/>
      <c r="J856" s="463"/>
      <c r="K856" s="463"/>
      <c r="L856" s="463"/>
      <c r="M856" s="463"/>
      <c r="N856" s="463"/>
      <c r="O856" s="463"/>
      <c r="P856" s="463"/>
      <c r="Q856" s="463"/>
      <c r="R856" s="463"/>
      <c r="S856" s="463"/>
      <c r="T856" s="463"/>
      <c r="U856" s="463"/>
      <c r="V856" s="463"/>
      <c r="W856" s="463"/>
      <c r="X856" s="463"/>
      <c r="Y856" s="463"/>
      <c r="Z856" s="463"/>
    </row>
    <row r="857" spans="1:26" ht="15.75" customHeight="1" x14ac:dyDescent="0.3">
      <c r="A857" s="463"/>
      <c r="B857" s="463"/>
      <c r="C857" s="463"/>
      <c r="D857" s="463"/>
      <c r="E857" s="463"/>
      <c r="F857" s="463"/>
      <c r="G857" s="463"/>
      <c r="H857" s="463"/>
      <c r="I857" s="463"/>
      <c r="J857" s="463"/>
      <c r="K857" s="463"/>
      <c r="L857" s="463"/>
      <c r="M857" s="463"/>
      <c r="N857" s="463"/>
      <c r="O857" s="463"/>
      <c r="P857" s="463"/>
      <c r="Q857" s="463"/>
      <c r="R857" s="463"/>
      <c r="S857" s="463"/>
      <c r="T857" s="463"/>
      <c r="U857" s="463"/>
      <c r="V857" s="463"/>
      <c r="W857" s="463"/>
      <c r="X857" s="463"/>
      <c r="Y857" s="463"/>
      <c r="Z857" s="463"/>
    </row>
    <row r="858" spans="1:26" ht="15.75" customHeight="1" x14ac:dyDescent="0.3">
      <c r="A858" s="463"/>
      <c r="B858" s="463"/>
      <c r="C858" s="463"/>
      <c r="D858" s="463"/>
      <c r="E858" s="463"/>
      <c r="F858" s="463"/>
      <c r="G858" s="463"/>
      <c r="H858" s="463"/>
      <c r="I858" s="463"/>
      <c r="J858" s="463"/>
      <c r="K858" s="463"/>
      <c r="L858" s="463"/>
      <c r="M858" s="463"/>
      <c r="N858" s="463"/>
      <c r="O858" s="463"/>
      <c r="P858" s="463"/>
      <c r="Q858" s="463"/>
      <c r="R858" s="463"/>
      <c r="S858" s="463"/>
      <c r="T858" s="463"/>
      <c r="U858" s="463"/>
      <c r="V858" s="463"/>
      <c r="W858" s="463"/>
      <c r="X858" s="463"/>
      <c r="Y858" s="463"/>
      <c r="Z858" s="463"/>
    </row>
    <row r="859" spans="1:26" ht="15.75" customHeight="1" x14ac:dyDescent="0.3">
      <c r="A859" s="463"/>
      <c r="B859" s="463"/>
      <c r="C859" s="463"/>
      <c r="D859" s="463"/>
      <c r="E859" s="463"/>
      <c r="F859" s="463"/>
      <c r="G859" s="463"/>
      <c r="H859" s="463"/>
      <c r="I859" s="463"/>
      <c r="J859" s="463"/>
      <c r="K859" s="463"/>
      <c r="L859" s="463"/>
      <c r="M859" s="463"/>
      <c r="N859" s="463"/>
      <c r="O859" s="463"/>
      <c r="P859" s="463"/>
      <c r="Q859" s="463"/>
      <c r="R859" s="463"/>
      <c r="S859" s="463"/>
      <c r="T859" s="463"/>
      <c r="U859" s="463"/>
      <c r="V859" s="463"/>
      <c r="W859" s="463"/>
      <c r="X859" s="463"/>
      <c r="Y859" s="463"/>
      <c r="Z859" s="463"/>
    </row>
    <row r="860" spans="1:26" ht="15.75" customHeight="1" x14ac:dyDescent="0.3">
      <c r="A860" s="463"/>
      <c r="B860" s="463"/>
      <c r="C860" s="463"/>
      <c r="D860" s="463"/>
      <c r="E860" s="463"/>
      <c r="F860" s="463"/>
      <c r="G860" s="463"/>
      <c r="H860" s="463"/>
      <c r="I860" s="463"/>
      <c r="J860" s="463"/>
      <c r="K860" s="463"/>
      <c r="L860" s="463"/>
      <c r="M860" s="463"/>
      <c r="N860" s="463"/>
      <c r="O860" s="463"/>
      <c r="P860" s="463"/>
      <c r="Q860" s="463"/>
      <c r="R860" s="463"/>
      <c r="S860" s="463"/>
      <c r="T860" s="463"/>
      <c r="U860" s="463"/>
      <c r="V860" s="463"/>
      <c r="W860" s="463"/>
      <c r="X860" s="463"/>
      <c r="Y860" s="463"/>
      <c r="Z860" s="463"/>
    </row>
    <row r="861" spans="1:26" ht="15.75" customHeight="1" x14ac:dyDescent="0.3">
      <c r="A861" s="463"/>
      <c r="B861" s="463"/>
      <c r="C861" s="463"/>
      <c r="D861" s="463"/>
      <c r="E861" s="463"/>
      <c r="F861" s="463"/>
      <c r="G861" s="463"/>
      <c r="H861" s="463"/>
      <c r="I861" s="463"/>
      <c r="J861" s="463"/>
      <c r="K861" s="463"/>
      <c r="L861" s="463"/>
      <c r="M861" s="463"/>
      <c r="N861" s="463"/>
      <c r="O861" s="463"/>
      <c r="P861" s="463"/>
      <c r="Q861" s="463"/>
      <c r="R861" s="463"/>
      <c r="S861" s="463"/>
      <c r="T861" s="463"/>
      <c r="U861" s="463"/>
      <c r="V861" s="463"/>
      <c r="W861" s="463"/>
      <c r="X861" s="463"/>
      <c r="Y861" s="463"/>
      <c r="Z861" s="463"/>
    </row>
    <row r="862" spans="1:26" ht="15.75" customHeight="1" x14ac:dyDescent="0.3">
      <c r="A862" s="463"/>
      <c r="B862" s="463"/>
      <c r="C862" s="463"/>
      <c r="D862" s="463"/>
      <c r="E862" s="463"/>
      <c r="F862" s="463"/>
      <c r="G862" s="463"/>
      <c r="H862" s="463"/>
      <c r="I862" s="463"/>
      <c r="J862" s="463"/>
      <c r="K862" s="463"/>
      <c r="L862" s="463"/>
      <c r="M862" s="463"/>
      <c r="N862" s="463"/>
      <c r="O862" s="463"/>
      <c r="P862" s="463"/>
      <c r="Q862" s="463"/>
      <c r="R862" s="463"/>
      <c r="S862" s="463"/>
      <c r="T862" s="463"/>
      <c r="U862" s="463"/>
      <c r="V862" s="463"/>
      <c r="W862" s="463"/>
      <c r="X862" s="463"/>
      <c r="Y862" s="463"/>
      <c r="Z862" s="463"/>
    </row>
    <row r="863" spans="1:26" ht="15.75" customHeight="1" x14ac:dyDescent="0.3">
      <c r="A863" s="463"/>
      <c r="B863" s="463"/>
      <c r="C863" s="463"/>
      <c r="D863" s="463"/>
      <c r="E863" s="463"/>
      <c r="F863" s="463"/>
      <c r="G863" s="463"/>
      <c r="H863" s="463"/>
      <c r="I863" s="463"/>
      <c r="J863" s="463"/>
      <c r="K863" s="463"/>
      <c r="L863" s="463"/>
      <c r="M863" s="463"/>
      <c r="N863" s="463"/>
      <c r="O863" s="463"/>
      <c r="P863" s="463"/>
      <c r="Q863" s="463"/>
      <c r="R863" s="463"/>
      <c r="S863" s="463"/>
      <c r="T863" s="463"/>
      <c r="U863" s="463"/>
      <c r="V863" s="463"/>
      <c r="W863" s="463"/>
      <c r="X863" s="463"/>
      <c r="Y863" s="463"/>
      <c r="Z863" s="463"/>
    </row>
    <row r="864" spans="1:26" ht="15.75" customHeight="1" x14ac:dyDescent="0.3">
      <c r="A864" s="463"/>
      <c r="B864" s="463"/>
      <c r="C864" s="463"/>
      <c r="D864" s="463"/>
      <c r="E864" s="463"/>
      <c r="F864" s="463"/>
      <c r="G864" s="463"/>
      <c r="H864" s="463"/>
      <c r="I864" s="463"/>
      <c r="J864" s="463"/>
      <c r="K864" s="463"/>
      <c r="L864" s="463"/>
      <c r="M864" s="463"/>
      <c r="N864" s="463"/>
      <c r="O864" s="463"/>
      <c r="P864" s="463"/>
      <c r="Q864" s="463"/>
      <c r="R864" s="463"/>
      <c r="S864" s="463"/>
      <c r="T864" s="463"/>
      <c r="U864" s="463"/>
      <c r="V864" s="463"/>
      <c r="W864" s="463"/>
      <c r="X864" s="463"/>
      <c r="Y864" s="463"/>
      <c r="Z864" s="463"/>
    </row>
    <row r="865" spans="1:26" ht="15.75" customHeight="1" x14ac:dyDescent="0.3">
      <c r="A865" s="463"/>
      <c r="B865" s="463"/>
      <c r="C865" s="463"/>
      <c r="D865" s="463"/>
      <c r="E865" s="463"/>
      <c r="F865" s="463"/>
      <c r="G865" s="463"/>
      <c r="H865" s="463"/>
      <c r="I865" s="463"/>
      <c r="J865" s="463"/>
      <c r="K865" s="463"/>
      <c r="L865" s="463"/>
      <c r="M865" s="463"/>
      <c r="N865" s="463"/>
      <c r="O865" s="463"/>
      <c r="P865" s="463"/>
      <c r="Q865" s="463"/>
      <c r="R865" s="463"/>
      <c r="S865" s="463"/>
      <c r="T865" s="463"/>
      <c r="U865" s="463"/>
      <c r="V865" s="463"/>
      <c r="W865" s="463"/>
      <c r="X865" s="463"/>
      <c r="Y865" s="463"/>
      <c r="Z865" s="463"/>
    </row>
    <row r="866" spans="1:26" ht="15.75" customHeight="1" x14ac:dyDescent="0.3">
      <c r="A866" s="463"/>
      <c r="B866" s="463"/>
      <c r="C866" s="463"/>
      <c r="D866" s="463"/>
      <c r="E866" s="463"/>
      <c r="F866" s="463"/>
      <c r="G866" s="463"/>
      <c r="H866" s="463"/>
      <c r="I866" s="463"/>
      <c r="J866" s="463"/>
      <c r="K866" s="463"/>
      <c r="L866" s="463"/>
      <c r="M866" s="463"/>
      <c r="N866" s="463"/>
      <c r="O866" s="463"/>
      <c r="P866" s="463"/>
      <c r="Q866" s="463"/>
      <c r="R866" s="463"/>
      <c r="S866" s="463"/>
      <c r="T866" s="463"/>
      <c r="U866" s="463"/>
      <c r="V866" s="463"/>
      <c r="W866" s="463"/>
      <c r="X866" s="463"/>
      <c r="Y866" s="463"/>
      <c r="Z866" s="463"/>
    </row>
    <row r="867" spans="1:26" ht="15.75" customHeight="1" x14ac:dyDescent="0.3">
      <c r="A867" s="463"/>
      <c r="B867" s="463"/>
      <c r="C867" s="463"/>
      <c r="D867" s="463"/>
      <c r="E867" s="463"/>
      <c r="F867" s="463"/>
      <c r="G867" s="463"/>
      <c r="H867" s="463"/>
      <c r="I867" s="463"/>
      <c r="J867" s="463"/>
      <c r="K867" s="463"/>
      <c r="L867" s="463"/>
      <c r="M867" s="463"/>
      <c r="N867" s="463"/>
      <c r="O867" s="463"/>
      <c r="P867" s="463"/>
      <c r="Q867" s="463"/>
      <c r="R867" s="463"/>
      <c r="S867" s="463"/>
      <c r="T867" s="463"/>
      <c r="U867" s="463"/>
      <c r="V867" s="463"/>
      <c r="W867" s="463"/>
      <c r="X867" s="463"/>
      <c r="Y867" s="463"/>
      <c r="Z867" s="463"/>
    </row>
    <row r="868" spans="1:26" ht="15.75" customHeight="1" x14ac:dyDescent="0.3">
      <c r="A868" s="463"/>
      <c r="B868" s="463"/>
      <c r="C868" s="463"/>
      <c r="D868" s="463"/>
      <c r="E868" s="463"/>
      <c r="F868" s="463"/>
      <c r="G868" s="463"/>
      <c r="H868" s="463"/>
      <c r="I868" s="463"/>
      <c r="J868" s="463"/>
      <c r="K868" s="463"/>
      <c r="L868" s="463"/>
      <c r="M868" s="463"/>
      <c r="N868" s="463"/>
      <c r="O868" s="463"/>
      <c r="P868" s="463"/>
      <c r="Q868" s="463"/>
      <c r="R868" s="463"/>
      <c r="S868" s="463"/>
      <c r="T868" s="463"/>
      <c r="U868" s="463"/>
      <c r="V868" s="463"/>
      <c r="W868" s="463"/>
      <c r="X868" s="463"/>
      <c r="Y868" s="463"/>
      <c r="Z868" s="463"/>
    </row>
    <row r="869" spans="1:26" ht="15.75" customHeight="1" x14ac:dyDescent="0.3">
      <c r="A869" s="463"/>
      <c r="B869" s="463"/>
      <c r="C869" s="463"/>
      <c r="D869" s="463"/>
      <c r="E869" s="463"/>
      <c r="F869" s="463"/>
      <c r="G869" s="463"/>
      <c r="H869" s="463"/>
      <c r="I869" s="463"/>
      <c r="J869" s="463"/>
      <c r="K869" s="463"/>
      <c r="L869" s="463"/>
      <c r="M869" s="463"/>
      <c r="N869" s="463"/>
      <c r="O869" s="463"/>
      <c r="P869" s="463"/>
      <c r="Q869" s="463"/>
      <c r="R869" s="463"/>
      <c r="S869" s="463"/>
      <c r="T869" s="463"/>
      <c r="U869" s="463"/>
      <c r="V869" s="463"/>
      <c r="W869" s="463"/>
      <c r="X869" s="463"/>
      <c r="Y869" s="463"/>
      <c r="Z869" s="463"/>
    </row>
    <row r="870" spans="1:26" ht="15.75" customHeight="1" x14ac:dyDescent="0.3">
      <c r="A870" s="463"/>
      <c r="B870" s="463"/>
      <c r="C870" s="463"/>
      <c r="D870" s="463"/>
      <c r="E870" s="463"/>
      <c r="F870" s="463"/>
      <c r="G870" s="463"/>
      <c r="H870" s="463"/>
      <c r="I870" s="463"/>
      <c r="J870" s="463"/>
      <c r="K870" s="463"/>
      <c r="L870" s="463"/>
      <c r="M870" s="463"/>
      <c r="N870" s="463"/>
      <c r="O870" s="463"/>
      <c r="P870" s="463"/>
      <c r="Q870" s="463"/>
      <c r="R870" s="463"/>
      <c r="S870" s="463"/>
      <c r="T870" s="463"/>
      <c r="U870" s="463"/>
      <c r="V870" s="463"/>
      <c r="W870" s="463"/>
      <c r="X870" s="463"/>
      <c r="Y870" s="463"/>
      <c r="Z870" s="463"/>
    </row>
    <row r="871" spans="1:26" ht="15.75" customHeight="1" x14ac:dyDescent="0.3">
      <c r="A871" s="463"/>
      <c r="B871" s="463"/>
      <c r="C871" s="463"/>
      <c r="D871" s="463"/>
      <c r="E871" s="463"/>
      <c r="F871" s="463"/>
      <c r="G871" s="463"/>
      <c r="H871" s="463"/>
      <c r="I871" s="463"/>
      <c r="J871" s="463"/>
      <c r="K871" s="463"/>
      <c r="L871" s="463"/>
      <c r="M871" s="463"/>
      <c r="N871" s="463"/>
      <c r="O871" s="463"/>
      <c r="P871" s="463"/>
      <c r="Q871" s="463"/>
      <c r="R871" s="463"/>
      <c r="S871" s="463"/>
      <c r="T871" s="463"/>
      <c r="U871" s="463"/>
      <c r="V871" s="463"/>
      <c r="W871" s="463"/>
      <c r="X871" s="463"/>
      <c r="Y871" s="463"/>
      <c r="Z871" s="463"/>
    </row>
    <row r="872" spans="1:26" ht="15.75" customHeight="1" x14ac:dyDescent="0.3">
      <c r="A872" s="463"/>
      <c r="B872" s="463"/>
      <c r="C872" s="463"/>
      <c r="D872" s="463"/>
      <c r="E872" s="463"/>
      <c r="F872" s="463"/>
      <c r="G872" s="463"/>
      <c r="H872" s="463"/>
      <c r="I872" s="463"/>
      <c r="J872" s="463"/>
      <c r="K872" s="463"/>
      <c r="L872" s="463"/>
      <c r="M872" s="463"/>
      <c r="N872" s="463"/>
      <c r="O872" s="463"/>
      <c r="P872" s="463"/>
      <c r="Q872" s="463"/>
      <c r="R872" s="463"/>
      <c r="S872" s="463"/>
      <c r="T872" s="463"/>
      <c r="U872" s="463"/>
      <c r="V872" s="463"/>
      <c r="W872" s="463"/>
      <c r="X872" s="463"/>
      <c r="Y872" s="463"/>
      <c r="Z872" s="463"/>
    </row>
    <row r="873" spans="1:26" ht="15.75" customHeight="1" x14ac:dyDescent="0.3">
      <c r="A873" s="463"/>
      <c r="B873" s="463"/>
      <c r="C873" s="463"/>
      <c r="D873" s="463"/>
      <c r="E873" s="463"/>
      <c r="F873" s="463"/>
      <c r="G873" s="463"/>
      <c r="H873" s="463"/>
      <c r="I873" s="463"/>
      <c r="J873" s="463"/>
      <c r="K873" s="463"/>
      <c r="L873" s="463"/>
      <c r="M873" s="463"/>
      <c r="N873" s="463"/>
      <c r="O873" s="463"/>
      <c r="P873" s="463"/>
      <c r="Q873" s="463"/>
      <c r="R873" s="463"/>
      <c r="S873" s="463"/>
      <c r="T873" s="463"/>
      <c r="U873" s="463"/>
      <c r="V873" s="463"/>
      <c r="W873" s="463"/>
      <c r="X873" s="463"/>
      <c r="Y873" s="463"/>
      <c r="Z873" s="463"/>
    </row>
    <row r="874" spans="1:26" ht="15.75" customHeight="1" x14ac:dyDescent="0.3">
      <c r="A874" s="463"/>
      <c r="B874" s="463"/>
      <c r="C874" s="463"/>
      <c r="D874" s="463"/>
      <c r="E874" s="463"/>
      <c r="F874" s="463"/>
      <c r="G874" s="463"/>
      <c r="H874" s="463"/>
      <c r="I874" s="463"/>
      <c r="J874" s="463"/>
      <c r="K874" s="463"/>
      <c r="L874" s="463"/>
      <c r="M874" s="463"/>
      <c r="N874" s="463"/>
      <c r="O874" s="463"/>
      <c r="P874" s="463"/>
      <c r="Q874" s="463"/>
      <c r="R874" s="463"/>
      <c r="S874" s="463"/>
      <c r="T874" s="463"/>
      <c r="U874" s="463"/>
      <c r="V874" s="463"/>
      <c r="W874" s="463"/>
      <c r="X874" s="463"/>
      <c r="Y874" s="463"/>
      <c r="Z874" s="463"/>
    </row>
    <row r="875" spans="1:26" ht="15.75" customHeight="1" x14ac:dyDescent="0.3">
      <c r="A875" s="463"/>
      <c r="B875" s="463"/>
      <c r="C875" s="463"/>
      <c r="D875" s="463"/>
      <c r="E875" s="463"/>
      <c r="F875" s="463"/>
      <c r="G875" s="463"/>
      <c r="H875" s="463"/>
      <c r="I875" s="463"/>
      <c r="J875" s="463"/>
      <c r="K875" s="463"/>
      <c r="L875" s="463"/>
      <c r="M875" s="463"/>
      <c r="N875" s="463"/>
      <c r="O875" s="463"/>
      <c r="P875" s="463"/>
      <c r="Q875" s="463"/>
      <c r="R875" s="463"/>
      <c r="S875" s="463"/>
      <c r="T875" s="463"/>
      <c r="U875" s="463"/>
      <c r="V875" s="463"/>
      <c r="W875" s="463"/>
      <c r="X875" s="463"/>
      <c r="Y875" s="463"/>
      <c r="Z875" s="463"/>
    </row>
    <row r="876" spans="1:26" ht="15.75" customHeight="1" x14ac:dyDescent="0.3">
      <c r="A876" s="463"/>
      <c r="B876" s="463"/>
      <c r="C876" s="463"/>
      <c r="D876" s="463"/>
      <c r="E876" s="463"/>
      <c r="F876" s="463"/>
      <c r="G876" s="463"/>
      <c r="H876" s="463"/>
      <c r="I876" s="463"/>
      <c r="J876" s="463"/>
      <c r="K876" s="463"/>
      <c r="L876" s="463"/>
      <c r="M876" s="463"/>
      <c r="N876" s="463"/>
      <c r="O876" s="463"/>
      <c r="P876" s="463"/>
      <c r="Q876" s="463"/>
      <c r="R876" s="463"/>
      <c r="S876" s="463"/>
      <c r="T876" s="463"/>
      <c r="U876" s="463"/>
      <c r="V876" s="463"/>
      <c r="W876" s="463"/>
      <c r="X876" s="463"/>
      <c r="Y876" s="463"/>
      <c r="Z876" s="463"/>
    </row>
    <row r="877" spans="1:26" ht="15.75" customHeight="1" x14ac:dyDescent="0.3">
      <c r="A877" s="463"/>
      <c r="B877" s="463"/>
      <c r="C877" s="463"/>
      <c r="D877" s="463"/>
      <c r="E877" s="463"/>
      <c r="F877" s="463"/>
      <c r="G877" s="463"/>
      <c r="H877" s="463"/>
      <c r="I877" s="463"/>
      <c r="J877" s="463"/>
      <c r="K877" s="463"/>
      <c r="L877" s="463"/>
      <c r="M877" s="463"/>
      <c r="N877" s="463"/>
      <c r="O877" s="463"/>
      <c r="P877" s="463"/>
      <c r="Q877" s="463"/>
      <c r="R877" s="463"/>
      <c r="S877" s="463"/>
      <c r="T877" s="463"/>
      <c r="U877" s="463"/>
      <c r="V877" s="463"/>
      <c r="W877" s="463"/>
      <c r="X877" s="463"/>
      <c r="Y877" s="463"/>
      <c r="Z877" s="463"/>
    </row>
    <row r="878" spans="1:26" ht="15.75" customHeight="1" x14ac:dyDescent="0.3">
      <c r="A878" s="463"/>
      <c r="B878" s="463"/>
      <c r="C878" s="463"/>
      <c r="D878" s="463"/>
      <c r="E878" s="463"/>
      <c r="F878" s="463"/>
      <c r="G878" s="463"/>
      <c r="H878" s="463"/>
      <c r="I878" s="463"/>
      <c r="J878" s="463"/>
      <c r="K878" s="463"/>
      <c r="L878" s="463"/>
      <c r="M878" s="463"/>
      <c r="N878" s="463"/>
      <c r="O878" s="463"/>
      <c r="P878" s="463"/>
      <c r="Q878" s="463"/>
      <c r="R878" s="463"/>
      <c r="S878" s="463"/>
      <c r="T878" s="463"/>
      <c r="U878" s="463"/>
      <c r="V878" s="463"/>
      <c r="W878" s="463"/>
      <c r="X878" s="463"/>
      <c r="Y878" s="463"/>
      <c r="Z878" s="463"/>
    </row>
    <row r="879" spans="1:26" ht="15.75" customHeight="1" x14ac:dyDescent="0.3">
      <c r="A879" s="463"/>
      <c r="B879" s="463"/>
      <c r="C879" s="463"/>
      <c r="D879" s="463"/>
      <c r="E879" s="463"/>
      <c r="F879" s="463"/>
      <c r="G879" s="463"/>
      <c r="H879" s="463"/>
      <c r="I879" s="463"/>
      <c r="J879" s="463"/>
      <c r="K879" s="463"/>
      <c r="L879" s="463"/>
      <c r="M879" s="463"/>
      <c r="N879" s="463"/>
      <c r="O879" s="463"/>
      <c r="P879" s="463"/>
      <c r="Q879" s="463"/>
      <c r="R879" s="463"/>
      <c r="S879" s="463"/>
      <c r="T879" s="463"/>
      <c r="U879" s="463"/>
      <c r="V879" s="463"/>
      <c r="W879" s="463"/>
      <c r="X879" s="463"/>
      <c r="Y879" s="463"/>
      <c r="Z879" s="463"/>
    </row>
    <row r="880" spans="1:26" ht="15.75" customHeight="1" x14ac:dyDescent="0.3">
      <c r="A880" s="463"/>
      <c r="B880" s="463"/>
      <c r="C880" s="463"/>
      <c r="D880" s="463"/>
      <c r="E880" s="463"/>
      <c r="F880" s="463"/>
      <c r="G880" s="463"/>
      <c r="H880" s="463"/>
      <c r="I880" s="463"/>
      <c r="J880" s="463"/>
      <c r="K880" s="463"/>
      <c r="L880" s="463"/>
      <c r="M880" s="463"/>
      <c r="N880" s="463"/>
      <c r="O880" s="463"/>
      <c r="P880" s="463"/>
      <c r="Q880" s="463"/>
      <c r="R880" s="463"/>
      <c r="S880" s="463"/>
      <c r="T880" s="463"/>
      <c r="U880" s="463"/>
      <c r="V880" s="463"/>
      <c r="W880" s="463"/>
      <c r="X880" s="463"/>
      <c r="Y880" s="463"/>
      <c r="Z880" s="463"/>
    </row>
    <row r="881" spans="1:26" ht="15.75" customHeight="1" x14ac:dyDescent="0.3">
      <c r="A881" s="463"/>
      <c r="B881" s="463"/>
      <c r="C881" s="463"/>
      <c r="D881" s="463"/>
      <c r="E881" s="463"/>
      <c r="F881" s="463"/>
      <c r="G881" s="463"/>
      <c r="H881" s="463"/>
      <c r="I881" s="463"/>
      <c r="J881" s="463"/>
      <c r="K881" s="463"/>
      <c r="L881" s="463"/>
      <c r="M881" s="463"/>
      <c r="N881" s="463"/>
      <c r="O881" s="463"/>
      <c r="P881" s="463"/>
      <c r="Q881" s="463"/>
      <c r="R881" s="463"/>
      <c r="S881" s="463"/>
      <c r="T881" s="463"/>
      <c r="U881" s="463"/>
      <c r="V881" s="463"/>
      <c r="W881" s="463"/>
      <c r="X881" s="463"/>
      <c r="Y881" s="463"/>
      <c r="Z881" s="463"/>
    </row>
    <row r="882" spans="1:26" ht="15.75" customHeight="1" x14ac:dyDescent="0.3">
      <c r="A882" s="463"/>
      <c r="B882" s="463"/>
      <c r="C882" s="463"/>
      <c r="D882" s="463"/>
      <c r="E882" s="463"/>
      <c r="F882" s="463"/>
      <c r="G882" s="463"/>
      <c r="H882" s="463"/>
      <c r="I882" s="463"/>
      <c r="J882" s="463"/>
      <c r="K882" s="463"/>
      <c r="L882" s="463"/>
      <c r="M882" s="463"/>
      <c r="N882" s="463"/>
      <c r="O882" s="463"/>
      <c r="P882" s="463"/>
      <c r="Q882" s="463"/>
      <c r="R882" s="463"/>
      <c r="S882" s="463"/>
      <c r="T882" s="463"/>
      <c r="U882" s="463"/>
      <c r="V882" s="463"/>
      <c r="W882" s="463"/>
      <c r="X882" s="463"/>
      <c r="Y882" s="463"/>
      <c r="Z882" s="463"/>
    </row>
    <row r="883" spans="1:26" ht="15.75" customHeight="1" x14ac:dyDescent="0.3">
      <c r="A883" s="463"/>
      <c r="B883" s="463"/>
      <c r="C883" s="463"/>
      <c r="D883" s="463"/>
      <c r="E883" s="463"/>
      <c r="F883" s="463"/>
      <c r="G883" s="463"/>
      <c r="H883" s="463"/>
      <c r="I883" s="463"/>
      <c r="J883" s="463"/>
      <c r="K883" s="463"/>
      <c r="L883" s="463"/>
      <c r="M883" s="463"/>
      <c r="N883" s="463"/>
      <c r="O883" s="463"/>
      <c r="P883" s="463"/>
      <c r="Q883" s="463"/>
      <c r="R883" s="463"/>
      <c r="S883" s="463"/>
      <c r="T883" s="463"/>
      <c r="U883" s="463"/>
      <c r="V883" s="463"/>
      <c r="W883" s="463"/>
      <c r="X883" s="463"/>
      <c r="Y883" s="463"/>
      <c r="Z883" s="463"/>
    </row>
    <row r="884" spans="1:26" ht="15.75" customHeight="1" x14ac:dyDescent="0.3">
      <c r="A884" s="463"/>
      <c r="B884" s="463"/>
      <c r="C884" s="463"/>
      <c r="D884" s="463"/>
      <c r="E884" s="463"/>
      <c r="F884" s="463"/>
      <c r="G884" s="463"/>
      <c r="H884" s="463"/>
      <c r="I884" s="463"/>
      <c r="J884" s="463"/>
      <c r="K884" s="463"/>
      <c r="L884" s="463"/>
      <c r="M884" s="463"/>
      <c r="N884" s="463"/>
      <c r="O884" s="463"/>
      <c r="P884" s="463"/>
      <c r="Q884" s="463"/>
      <c r="R884" s="463"/>
      <c r="S884" s="463"/>
      <c r="T884" s="463"/>
      <c r="U884" s="463"/>
      <c r="V884" s="463"/>
      <c r="W884" s="463"/>
      <c r="X884" s="463"/>
      <c r="Y884" s="463"/>
      <c r="Z884" s="463"/>
    </row>
    <row r="885" spans="1:26" ht="15.75" customHeight="1" x14ac:dyDescent="0.3">
      <c r="A885" s="463"/>
      <c r="B885" s="463"/>
      <c r="C885" s="463"/>
      <c r="D885" s="463"/>
      <c r="E885" s="463"/>
      <c r="F885" s="463"/>
      <c r="G885" s="463"/>
      <c r="H885" s="463"/>
      <c r="I885" s="463"/>
      <c r="J885" s="463"/>
      <c r="K885" s="463"/>
      <c r="L885" s="463"/>
      <c r="M885" s="463"/>
      <c r="N885" s="463"/>
      <c r="O885" s="463"/>
      <c r="P885" s="463"/>
      <c r="Q885" s="463"/>
      <c r="R885" s="463"/>
      <c r="S885" s="463"/>
      <c r="T885" s="463"/>
      <c r="U885" s="463"/>
      <c r="V885" s="463"/>
      <c r="W885" s="463"/>
      <c r="X885" s="463"/>
      <c r="Y885" s="463"/>
      <c r="Z885" s="463"/>
    </row>
    <row r="886" spans="1:26" ht="15.75" customHeight="1" x14ac:dyDescent="0.3">
      <c r="A886" s="463"/>
      <c r="B886" s="463"/>
      <c r="C886" s="463"/>
      <c r="D886" s="463"/>
      <c r="E886" s="463"/>
      <c r="F886" s="463"/>
      <c r="G886" s="463"/>
      <c r="H886" s="463"/>
      <c r="I886" s="463"/>
      <c r="J886" s="463"/>
      <c r="K886" s="463"/>
      <c r="L886" s="463"/>
      <c r="M886" s="463"/>
      <c r="N886" s="463"/>
      <c r="O886" s="463"/>
      <c r="P886" s="463"/>
      <c r="Q886" s="463"/>
      <c r="R886" s="463"/>
      <c r="S886" s="463"/>
      <c r="T886" s="463"/>
      <c r="U886" s="463"/>
      <c r="V886" s="463"/>
      <c r="W886" s="463"/>
      <c r="X886" s="463"/>
      <c r="Y886" s="463"/>
      <c r="Z886" s="463"/>
    </row>
    <row r="887" spans="1:26" ht="15.75" customHeight="1" x14ac:dyDescent="0.3">
      <c r="A887" s="463"/>
      <c r="B887" s="463"/>
      <c r="C887" s="463"/>
      <c r="D887" s="463"/>
      <c r="E887" s="463"/>
      <c r="F887" s="463"/>
      <c r="G887" s="463"/>
      <c r="H887" s="463"/>
      <c r="I887" s="463"/>
      <c r="J887" s="463"/>
      <c r="K887" s="463"/>
      <c r="L887" s="463"/>
      <c r="M887" s="463"/>
      <c r="N887" s="463"/>
      <c r="O887" s="463"/>
      <c r="P887" s="463"/>
      <c r="Q887" s="463"/>
      <c r="R887" s="463"/>
      <c r="S887" s="463"/>
      <c r="T887" s="463"/>
      <c r="U887" s="463"/>
      <c r="V887" s="463"/>
      <c r="W887" s="463"/>
      <c r="X887" s="463"/>
      <c r="Y887" s="463"/>
      <c r="Z887" s="463"/>
    </row>
    <row r="888" spans="1:26" ht="15.75" customHeight="1" x14ac:dyDescent="0.3">
      <c r="A888" s="463"/>
      <c r="B888" s="463"/>
      <c r="C888" s="463"/>
      <c r="D888" s="463"/>
      <c r="E888" s="463"/>
      <c r="F888" s="463"/>
      <c r="G888" s="463"/>
      <c r="H888" s="463"/>
      <c r="I888" s="463"/>
      <c r="J888" s="463"/>
      <c r="K888" s="463"/>
      <c r="L888" s="463"/>
      <c r="M888" s="463"/>
      <c r="N888" s="463"/>
      <c r="O888" s="463"/>
      <c r="P888" s="463"/>
      <c r="Q888" s="463"/>
      <c r="R888" s="463"/>
      <c r="S888" s="463"/>
      <c r="T888" s="463"/>
      <c r="U888" s="463"/>
      <c r="V888" s="463"/>
      <c r="W888" s="463"/>
      <c r="X888" s="463"/>
      <c r="Y888" s="463"/>
      <c r="Z888" s="463"/>
    </row>
    <row r="889" spans="1:26" ht="15.75" customHeight="1" x14ac:dyDescent="0.3">
      <c r="A889" s="463"/>
      <c r="B889" s="463"/>
      <c r="C889" s="463"/>
      <c r="D889" s="463"/>
      <c r="E889" s="463"/>
      <c r="F889" s="463"/>
      <c r="G889" s="463"/>
      <c r="H889" s="463"/>
      <c r="I889" s="463"/>
      <c r="J889" s="463"/>
      <c r="K889" s="463"/>
      <c r="L889" s="463"/>
      <c r="M889" s="463"/>
      <c r="N889" s="463"/>
      <c r="O889" s="463"/>
      <c r="P889" s="463"/>
      <c r="Q889" s="463"/>
      <c r="R889" s="463"/>
      <c r="S889" s="463"/>
      <c r="T889" s="463"/>
      <c r="U889" s="463"/>
      <c r="V889" s="463"/>
      <c r="W889" s="463"/>
      <c r="X889" s="463"/>
      <c r="Y889" s="463"/>
      <c r="Z889" s="463"/>
    </row>
    <row r="890" spans="1:26" ht="15.75" customHeight="1" x14ac:dyDescent="0.3">
      <c r="A890" s="463"/>
      <c r="B890" s="463"/>
      <c r="C890" s="463"/>
      <c r="D890" s="463"/>
      <c r="E890" s="463"/>
      <c r="F890" s="463"/>
      <c r="G890" s="463"/>
      <c r="H890" s="463"/>
      <c r="I890" s="463"/>
      <c r="J890" s="463"/>
      <c r="K890" s="463"/>
      <c r="L890" s="463"/>
      <c r="M890" s="463"/>
      <c r="N890" s="463"/>
      <c r="O890" s="463"/>
      <c r="P890" s="463"/>
      <c r="Q890" s="463"/>
      <c r="R890" s="463"/>
      <c r="S890" s="463"/>
      <c r="T890" s="463"/>
      <c r="U890" s="463"/>
      <c r="V890" s="463"/>
      <c r="W890" s="463"/>
      <c r="X890" s="463"/>
      <c r="Y890" s="463"/>
      <c r="Z890" s="463"/>
    </row>
    <row r="891" spans="1:26" ht="15.75" customHeight="1" x14ac:dyDescent="0.3">
      <c r="A891" s="463"/>
      <c r="B891" s="463"/>
      <c r="C891" s="463"/>
      <c r="D891" s="463"/>
      <c r="E891" s="463"/>
      <c r="F891" s="463"/>
      <c r="G891" s="463"/>
      <c r="H891" s="463"/>
      <c r="I891" s="463"/>
      <c r="J891" s="463"/>
      <c r="K891" s="463"/>
      <c r="L891" s="463"/>
      <c r="M891" s="463"/>
      <c r="N891" s="463"/>
      <c r="O891" s="463"/>
      <c r="P891" s="463"/>
      <c r="Q891" s="463"/>
      <c r="R891" s="463"/>
      <c r="S891" s="463"/>
      <c r="T891" s="463"/>
      <c r="U891" s="463"/>
      <c r="V891" s="463"/>
      <c r="W891" s="463"/>
      <c r="X891" s="463"/>
      <c r="Y891" s="463"/>
      <c r="Z891" s="463"/>
    </row>
    <row r="892" spans="1:26" ht="15.75" customHeight="1" x14ac:dyDescent="0.3">
      <c r="A892" s="463"/>
      <c r="B892" s="463"/>
      <c r="C892" s="463"/>
      <c r="D892" s="463"/>
      <c r="E892" s="463"/>
      <c r="F892" s="463"/>
      <c r="G892" s="463"/>
      <c r="H892" s="463"/>
      <c r="I892" s="463"/>
      <c r="J892" s="463"/>
      <c r="K892" s="463"/>
      <c r="L892" s="463"/>
      <c r="M892" s="463"/>
      <c r="N892" s="463"/>
      <c r="O892" s="463"/>
      <c r="P892" s="463"/>
      <c r="Q892" s="463"/>
      <c r="R892" s="463"/>
      <c r="S892" s="463"/>
      <c r="T892" s="463"/>
      <c r="U892" s="463"/>
      <c r="V892" s="463"/>
      <c r="W892" s="463"/>
      <c r="X892" s="463"/>
      <c r="Y892" s="463"/>
      <c r="Z892" s="463"/>
    </row>
    <row r="893" spans="1:26" ht="15.75" customHeight="1" x14ac:dyDescent="0.3">
      <c r="A893" s="463"/>
      <c r="B893" s="463"/>
      <c r="C893" s="463"/>
      <c r="D893" s="463"/>
      <c r="E893" s="463"/>
      <c r="F893" s="463"/>
      <c r="G893" s="463"/>
      <c r="H893" s="463"/>
      <c r="I893" s="463"/>
      <c r="J893" s="463"/>
      <c r="K893" s="463"/>
      <c r="L893" s="463"/>
      <c r="M893" s="463"/>
      <c r="N893" s="463"/>
      <c r="O893" s="463"/>
      <c r="P893" s="463"/>
      <c r="Q893" s="463"/>
      <c r="R893" s="463"/>
      <c r="S893" s="463"/>
      <c r="T893" s="463"/>
      <c r="U893" s="463"/>
      <c r="V893" s="463"/>
      <c r="W893" s="463"/>
      <c r="X893" s="463"/>
      <c r="Y893" s="463"/>
      <c r="Z893" s="463"/>
    </row>
    <row r="894" spans="1:26" ht="15.75" customHeight="1" x14ac:dyDescent="0.3">
      <c r="A894" s="463"/>
      <c r="B894" s="463"/>
      <c r="C894" s="463"/>
      <c r="D894" s="463"/>
      <c r="E894" s="463"/>
      <c r="F894" s="463"/>
      <c r="G894" s="463"/>
      <c r="H894" s="463"/>
      <c r="I894" s="463"/>
      <c r="J894" s="463"/>
      <c r="K894" s="463"/>
      <c r="L894" s="463"/>
      <c r="M894" s="463"/>
      <c r="N894" s="463"/>
      <c r="O894" s="463"/>
      <c r="P894" s="463"/>
      <c r="Q894" s="463"/>
      <c r="R894" s="463"/>
      <c r="S894" s="463"/>
      <c r="T894" s="463"/>
      <c r="U894" s="463"/>
      <c r="V894" s="463"/>
      <c r="W894" s="463"/>
      <c r="X894" s="463"/>
      <c r="Y894" s="463"/>
      <c r="Z894" s="463"/>
    </row>
    <row r="895" spans="1:26" ht="15.75" customHeight="1" x14ac:dyDescent="0.3">
      <c r="A895" s="463"/>
      <c r="B895" s="463"/>
      <c r="C895" s="463"/>
      <c r="D895" s="463"/>
      <c r="E895" s="463"/>
      <c r="F895" s="463"/>
      <c r="G895" s="463"/>
      <c r="H895" s="463"/>
      <c r="I895" s="463"/>
      <c r="J895" s="463"/>
      <c r="K895" s="463"/>
      <c r="L895" s="463"/>
      <c r="M895" s="463"/>
      <c r="N895" s="463"/>
      <c r="O895" s="463"/>
      <c r="P895" s="463"/>
      <c r="Q895" s="463"/>
      <c r="R895" s="463"/>
      <c r="S895" s="463"/>
      <c r="T895" s="463"/>
      <c r="U895" s="463"/>
      <c r="V895" s="463"/>
      <c r="W895" s="463"/>
      <c r="X895" s="463"/>
      <c r="Y895" s="463"/>
      <c r="Z895" s="463"/>
    </row>
    <row r="896" spans="1:26" ht="15.75" customHeight="1" x14ac:dyDescent="0.3">
      <c r="A896" s="463"/>
      <c r="B896" s="463"/>
      <c r="C896" s="463"/>
      <c r="D896" s="463"/>
      <c r="E896" s="463"/>
      <c r="F896" s="463"/>
      <c r="G896" s="463"/>
      <c r="H896" s="463"/>
      <c r="I896" s="463"/>
      <c r="J896" s="463"/>
      <c r="K896" s="463"/>
      <c r="L896" s="463"/>
      <c r="M896" s="463"/>
      <c r="N896" s="463"/>
      <c r="O896" s="463"/>
      <c r="P896" s="463"/>
      <c r="Q896" s="463"/>
      <c r="R896" s="463"/>
      <c r="S896" s="463"/>
      <c r="T896" s="463"/>
      <c r="U896" s="463"/>
      <c r="V896" s="463"/>
      <c r="W896" s="463"/>
      <c r="X896" s="463"/>
      <c r="Y896" s="463"/>
      <c r="Z896" s="463"/>
    </row>
    <row r="897" spans="1:26" ht="15.75" customHeight="1" x14ac:dyDescent="0.3">
      <c r="A897" s="463"/>
      <c r="B897" s="463"/>
      <c r="C897" s="463"/>
      <c r="D897" s="463"/>
      <c r="E897" s="463"/>
      <c r="F897" s="463"/>
      <c r="G897" s="463"/>
      <c r="H897" s="463"/>
      <c r="I897" s="463"/>
      <c r="J897" s="463"/>
      <c r="K897" s="463"/>
      <c r="L897" s="463"/>
      <c r="M897" s="463"/>
      <c r="N897" s="463"/>
      <c r="O897" s="463"/>
      <c r="P897" s="463"/>
      <c r="Q897" s="463"/>
      <c r="R897" s="463"/>
      <c r="S897" s="463"/>
      <c r="T897" s="463"/>
      <c r="U897" s="463"/>
      <c r="V897" s="463"/>
      <c r="W897" s="463"/>
      <c r="X897" s="463"/>
      <c r="Y897" s="463"/>
      <c r="Z897" s="463"/>
    </row>
    <row r="898" spans="1:26" ht="15.75" customHeight="1" x14ac:dyDescent="0.3">
      <c r="A898" s="463"/>
      <c r="B898" s="463"/>
      <c r="C898" s="463"/>
      <c r="D898" s="463"/>
      <c r="E898" s="463"/>
      <c r="F898" s="463"/>
      <c r="G898" s="463"/>
      <c r="H898" s="463"/>
      <c r="I898" s="463"/>
      <c r="J898" s="463"/>
      <c r="K898" s="463"/>
      <c r="L898" s="463"/>
      <c r="M898" s="463"/>
      <c r="N898" s="463"/>
      <c r="O898" s="463"/>
      <c r="P898" s="463"/>
      <c r="Q898" s="463"/>
      <c r="R898" s="463"/>
      <c r="S898" s="463"/>
      <c r="T898" s="463"/>
      <c r="U898" s="463"/>
      <c r="V898" s="463"/>
      <c r="W898" s="463"/>
      <c r="X898" s="463"/>
      <c r="Y898" s="463"/>
      <c r="Z898" s="463"/>
    </row>
    <row r="899" spans="1:26" ht="15.75" customHeight="1" x14ac:dyDescent="0.3">
      <c r="A899" s="463"/>
      <c r="B899" s="463"/>
      <c r="C899" s="463"/>
      <c r="D899" s="463"/>
      <c r="E899" s="463"/>
      <c r="F899" s="463"/>
      <c r="G899" s="463"/>
      <c r="H899" s="463"/>
      <c r="I899" s="463"/>
      <c r="J899" s="463"/>
      <c r="K899" s="463"/>
      <c r="L899" s="463"/>
      <c r="M899" s="463"/>
      <c r="N899" s="463"/>
      <c r="O899" s="463"/>
      <c r="P899" s="463"/>
      <c r="Q899" s="463"/>
      <c r="R899" s="463"/>
      <c r="S899" s="463"/>
      <c r="T899" s="463"/>
      <c r="U899" s="463"/>
      <c r="V899" s="463"/>
      <c r="W899" s="463"/>
      <c r="X899" s="463"/>
      <c r="Y899" s="463"/>
      <c r="Z899" s="463"/>
    </row>
    <row r="900" spans="1:26" ht="15.75" customHeight="1" x14ac:dyDescent="0.3">
      <c r="A900" s="463"/>
      <c r="B900" s="463"/>
      <c r="C900" s="463"/>
      <c r="D900" s="463"/>
      <c r="E900" s="463"/>
      <c r="F900" s="463"/>
      <c r="G900" s="463"/>
      <c r="H900" s="463"/>
      <c r="I900" s="463"/>
      <c r="J900" s="463"/>
      <c r="K900" s="463"/>
      <c r="L900" s="463"/>
      <c r="M900" s="463"/>
      <c r="N900" s="463"/>
      <c r="O900" s="463"/>
      <c r="P900" s="463"/>
      <c r="Q900" s="463"/>
      <c r="R900" s="463"/>
      <c r="S900" s="463"/>
      <c r="T900" s="463"/>
      <c r="U900" s="463"/>
      <c r="V900" s="463"/>
      <c r="W900" s="463"/>
      <c r="X900" s="463"/>
      <c r="Y900" s="463"/>
      <c r="Z900" s="463"/>
    </row>
    <row r="901" spans="1:26" ht="15.75" customHeight="1" x14ac:dyDescent="0.3">
      <c r="A901" s="463"/>
      <c r="B901" s="463"/>
      <c r="C901" s="463"/>
      <c r="D901" s="463"/>
      <c r="E901" s="463"/>
      <c r="F901" s="463"/>
      <c r="G901" s="463"/>
      <c r="H901" s="463"/>
      <c r="I901" s="463"/>
      <c r="J901" s="463"/>
      <c r="K901" s="463"/>
      <c r="L901" s="463"/>
      <c r="M901" s="463"/>
      <c r="N901" s="463"/>
      <c r="O901" s="463"/>
      <c r="P901" s="463"/>
      <c r="Q901" s="463"/>
      <c r="R901" s="463"/>
      <c r="S901" s="463"/>
      <c r="T901" s="463"/>
      <c r="U901" s="463"/>
      <c r="V901" s="463"/>
      <c r="W901" s="463"/>
      <c r="X901" s="463"/>
      <c r="Y901" s="463"/>
      <c r="Z901" s="463"/>
    </row>
    <row r="902" spans="1:26" ht="15.75" customHeight="1" x14ac:dyDescent="0.3">
      <c r="A902" s="463"/>
      <c r="B902" s="463"/>
      <c r="C902" s="463"/>
      <c r="D902" s="463"/>
      <c r="E902" s="463"/>
      <c r="F902" s="463"/>
      <c r="G902" s="463"/>
      <c r="H902" s="463"/>
      <c r="I902" s="463"/>
      <c r="J902" s="463"/>
      <c r="K902" s="463"/>
      <c r="L902" s="463"/>
      <c r="M902" s="463"/>
      <c r="N902" s="463"/>
      <c r="O902" s="463"/>
      <c r="P902" s="463"/>
      <c r="Q902" s="463"/>
      <c r="R902" s="463"/>
      <c r="S902" s="463"/>
      <c r="T902" s="463"/>
      <c r="U902" s="463"/>
      <c r="V902" s="463"/>
      <c r="W902" s="463"/>
      <c r="X902" s="463"/>
      <c r="Y902" s="463"/>
      <c r="Z902" s="463"/>
    </row>
    <row r="903" spans="1:26" ht="15.75" customHeight="1" x14ac:dyDescent="0.3">
      <c r="A903" s="463"/>
      <c r="B903" s="463"/>
      <c r="C903" s="463"/>
      <c r="D903" s="463"/>
      <c r="E903" s="463"/>
      <c r="F903" s="463"/>
      <c r="G903" s="463"/>
      <c r="H903" s="463"/>
      <c r="I903" s="463"/>
      <c r="J903" s="463"/>
      <c r="K903" s="463"/>
      <c r="L903" s="463"/>
      <c r="M903" s="463"/>
      <c r="N903" s="463"/>
      <c r="O903" s="463"/>
      <c r="P903" s="463"/>
      <c r="Q903" s="463"/>
      <c r="R903" s="463"/>
      <c r="S903" s="463"/>
      <c r="T903" s="463"/>
      <c r="U903" s="463"/>
      <c r="V903" s="463"/>
      <c r="W903" s="463"/>
      <c r="X903" s="463"/>
      <c r="Y903" s="463"/>
      <c r="Z903" s="463"/>
    </row>
    <row r="904" spans="1:26" ht="15.75" customHeight="1" x14ac:dyDescent="0.3">
      <c r="A904" s="463"/>
      <c r="B904" s="463"/>
      <c r="C904" s="463"/>
      <c r="D904" s="463"/>
      <c r="E904" s="463"/>
      <c r="F904" s="463"/>
      <c r="G904" s="463"/>
      <c r="H904" s="463"/>
      <c r="I904" s="463"/>
      <c r="J904" s="463"/>
      <c r="K904" s="463"/>
      <c r="L904" s="463"/>
      <c r="M904" s="463"/>
      <c r="N904" s="463"/>
      <c r="O904" s="463"/>
      <c r="P904" s="463"/>
      <c r="Q904" s="463"/>
      <c r="R904" s="463"/>
      <c r="S904" s="463"/>
      <c r="T904" s="463"/>
      <c r="U904" s="463"/>
      <c r="V904" s="463"/>
      <c r="W904" s="463"/>
      <c r="X904" s="463"/>
      <c r="Y904" s="463"/>
      <c r="Z904" s="463"/>
    </row>
    <row r="905" spans="1:26" ht="15.75" customHeight="1" x14ac:dyDescent="0.3">
      <c r="A905" s="463"/>
      <c r="B905" s="463"/>
      <c r="C905" s="463"/>
      <c r="D905" s="463"/>
      <c r="E905" s="463"/>
      <c r="F905" s="463"/>
      <c r="G905" s="463"/>
      <c r="H905" s="463"/>
      <c r="I905" s="463"/>
      <c r="J905" s="463"/>
      <c r="K905" s="463"/>
      <c r="L905" s="463"/>
      <c r="M905" s="463"/>
      <c r="N905" s="463"/>
      <c r="O905" s="463"/>
      <c r="P905" s="463"/>
      <c r="Q905" s="463"/>
      <c r="R905" s="463"/>
      <c r="S905" s="463"/>
      <c r="T905" s="463"/>
      <c r="U905" s="463"/>
      <c r="V905" s="463"/>
      <c r="W905" s="463"/>
      <c r="X905" s="463"/>
      <c r="Y905" s="463"/>
      <c r="Z905" s="463"/>
    </row>
    <row r="906" spans="1:26" ht="15.75" customHeight="1" x14ac:dyDescent="0.3">
      <c r="A906" s="463"/>
      <c r="B906" s="463"/>
      <c r="C906" s="463"/>
      <c r="D906" s="463"/>
      <c r="E906" s="463"/>
      <c r="F906" s="463"/>
      <c r="G906" s="463"/>
      <c r="H906" s="463"/>
      <c r="I906" s="463"/>
      <c r="J906" s="463"/>
      <c r="K906" s="463"/>
      <c r="L906" s="463"/>
      <c r="M906" s="463"/>
      <c r="N906" s="463"/>
      <c r="O906" s="463"/>
      <c r="P906" s="463"/>
      <c r="Q906" s="463"/>
      <c r="R906" s="463"/>
      <c r="S906" s="463"/>
      <c r="T906" s="463"/>
      <c r="U906" s="463"/>
      <c r="V906" s="463"/>
      <c r="W906" s="463"/>
      <c r="X906" s="463"/>
      <c r="Y906" s="463"/>
      <c r="Z906" s="463"/>
    </row>
    <row r="907" spans="1:26" ht="15.75" customHeight="1" x14ac:dyDescent="0.3">
      <c r="A907" s="463"/>
      <c r="B907" s="463"/>
      <c r="C907" s="463"/>
      <c r="D907" s="463"/>
      <c r="E907" s="463"/>
      <c r="F907" s="463"/>
      <c r="G907" s="463"/>
      <c r="H907" s="463"/>
      <c r="I907" s="463"/>
      <c r="J907" s="463"/>
      <c r="K907" s="463"/>
      <c r="L907" s="463"/>
      <c r="M907" s="463"/>
      <c r="N907" s="463"/>
      <c r="O907" s="463"/>
      <c r="P907" s="463"/>
      <c r="Q907" s="463"/>
      <c r="R907" s="463"/>
      <c r="S907" s="463"/>
      <c r="T907" s="463"/>
      <c r="U907" s="463"/>
      <c r="V907" s="463"/>
      <c r="W907" s="463"/>
      <c r="X907" s="463"/>
      <c r="Y907" s="463"/>
      <c r="Z907" s="463"/>
    </row>
    <row r="908" spans="1:26" ht="15.75" customHeight="1" x14ac:dyDescent="0.3">
      <c r="A908" s="463"/>
      <c r="B908" s="463"/>
      <c r="C908" s="463"/>
      <c r="D908" s="463"/>
      <c r="E908" s="463"/>
      <c r="F908" s="463"/>
      <c r="G908" s="463"/>
      <c r="H908" s="463"/>
      <c r="I908" s="463"/>
      <c r="J908" s="463"/>
      <c r="K908" s="463"/>
      <c r="L908" s="463"/>
      <c r="M908" s="463"/>
      <c r="N908" s="463"/>
      <c r="O908" s="463"/>
      <c r="P908" s="463"/>
      <c r="Q908" s="463"/>
      <c r="R908" s="463"/>
      <c r="S908" s="463"/>
      <c r="T908" s="463"/>
      <c r="U908" s="463"/>
      <c r="V908" s="463"/>
      <c r="W908" s="463"/>
      <c r="X908" s="463"/>
      <c r="Y908" s="463"/>
      <c r="Z908" s="463"/>
    </row>
    <row r="909" spans="1:26" ht="15.75" customHeight="1" x14ac:dyDescent="0.3">
      <c r="A909" s="463"/>
      <c r="B909" s="463"/>
      <c r="C909" s="463"/>
      <c r="D909" s="463"/>
      <c r="E909" s="463"/>
      <c r="F909" s="463"/>
      <c r="G909" s="463"/>
      <c r="H909" s="463"/>
      <c r="I909" s="463"/>
      <c r="J909" s="463"/>
      <c r="K909" s="463"/>
      <c r="L909" s="463"/>
      <c r="M909" s="463"/>
      <c r="N909" s="463"/>
      <c r="O909" s="463"/>
      <c r="P909" s="463"/>
      <c r="Q909" s="463"/>
      <c r="R909" s="463"/>
      <c r="S909" s="463"/>
      <c r="T909" s="463"/>
      <c r="U909" s="463"/>
      <c r="V909" s="463"/>
      <c r="W909" s="463"/>
      <c r="X909" s="463"/>
      <c r="Y909" s="463"/>
      <c r="Z909" s="463"/>
    </row>
    <row r="910" spans="1:26" ht="15.75" customHeight="1" x14ac:dyDescent="0.3">
      <c r="A910" s="463"/>
      <c r="B910" s="463"/>
      <c r="C910" s="463"/>
      <c r="D910" s="463"/>
      <c r="E910" s="463"/>
      <c r="F910" s="463"/>
      <c r="G910" s="463"/>
      <c r="H910" s="463"/>
      <c r="I910" s="463"/>
      <c r="J910" s="463"/>
      <c r="K910" s="463"/>
      <c r="L910" s="463"/>
      <c r="M910" s="463"/>
      <c r="N910" s="463"/>
      <c r="O910" s="463"/>
      <c r="P910" s="463"/>
      <c r="Q910" s="463"/>
      <c r="R910" s="463"/>
      <c r="S910" s="463"/>
      <c r="T910" s="463"/>
      <c r="U910" s="463"/>
      <c r="V910" s="463"/>
      <c r="W910" s="463"/>
      <c r="X910" s="463"/>
      <c r="Y910" s="463"/>
      <c r="Z910" s="463"/>
    </row>
    <row r="911" spans="1:26" ht="15.75" customHeight="1" x14ac:dyDescent="0.3">
      <c r="A911" s="463"/>
      <c r="B911" s="463"/>
      <c r="C911" s="463"/>
      <c r="D911" s="463"/>
      <c r="E911" s="463"/>
      <c r="F911" s="463"/>
      <c r="G911" s="463"/>
      <c r="H911" s="463"/>
      <c r="I911" s="463"/>
      <c r="J911" s="463"/>
      <c r="K911" s="463"/>
      <c r="L911" s="463"/>
      <c r="M911" s="463"/>
      <c r="N911" s="463"/>
      <c r="O911" s="463"/>
      <c r="P911" s="463"/>
      <c r="Q911" s="463"/>
      <c r="R911" s="463"/>
      <c r="S911" s="463"/>
      <c r="T911" s="463"/>
      <c r="U911" s="463"/>
      <c r="V911" s="463"/>
      <c r="W911" s="463"/>
      <c r="X911" s="463"/>
      <c r="Y911" s="463"/>
      <c r="Z911" s="463"/>
    </row>
    <row r="912" spans="1:26" ht="15.75" customHeight="1" x14ac:dyDescent="0.3">
      <c r="A912" s="463"/>
      <c r="B912" s="463"/>
      <c r="C912" s="463"/>
      <c r="D912" s="463"/>
      <c r="E912" s="463"/>
      <c r="F912" s="463"/>
      <c r="G912" s="463"/>
      <c r="H912" s="463"/>
      <c r="I912" s="463"/>
      <c r="J912" s="463"/>
      <c r="K912" s="463"/>
      <c r="L912" s="463"/>
      <c r="M912" s="463"/>
      <c r="N912" s="463"/>
      <c r="O912" s="463"/>
      <c r="P912" s="463"/>
      <c r="Q912" s="463"/>
      <c r="R912" s="463"/>
      <c r="S912" s="463"/>
      <c r="T912" s="463"/>
      <c r="U912" s="463"/>
      <c r="V912" s="463"/>
      <c r="W912" s="463"/>
      <c r="X912" s="463"/>
      <c r="Y912" s="463"/>
      <c r="Z912" s="463"/>
    </row>
    <row r="913" spans="1:26" ht="15.75" customHeight="1" x14ac:dyDescent="0.3">
      <c r="A913" s="463"/>
      <c r="B913" s="463"/>
      <c r="C913" s="463"/>
      <c r="D913" s="463"/>
      <c r="E913" s="463"/>
      <c r="F913" s="463"/>
      <c r="G913" s="463"/>
      <c r="H913" s="463"/>
      <c r="I913" s="463"/>
      <c r="J913" s="463"/>
      <c r="K913" s="463"/>
      <c r="L913" s="463"/>
      <c r="M913" s="463"/>
      <c r="N913" s="463"/>
      <c r="O913" s="463"/>
      <c r="P913" s="463"/>
      <c r="Q913" s="463"/>
      <c r="R913" s="463"/>
      <c r="S913" s="463"/>
      <c r="T913" s="463"/>
      <c r="U913" s="463"/>
      <c r="V913" s="463"/>
      <c r="W913" s="463"/>
      <c r="X913" s="463"/>
      <c r="Y913" s="463"/>
      <c r="Z913" s="463"/>
    </row>
    <row r="914" spans="1:26" ht="15.75" customHeight="1" x14ac:dyDescent="0.3">
      <c r="A914" s="463"/>
      <c r="B914" s="463"/>
      <c r="C914" s="463"/>
      <c r="D914" s="463"/>
      <c r="E914" s="463"/>
      <c r="F914" s="463"/>
      <c r="G914" s="463"/>
      <c r="H914" s="463"/>
      <c r="I914" s="463"/>
      <c r="J914" s="463"/>
      <c r="K914" s="463"/>
      <c r="L914" s="463"/>
      <c r="M914" s="463"/>
      <c r="N914" s="463"/>
      <c r="O914" s="463"/>
      <c r="P914" s="463"/>
      <c r="Q914" s="463"/>
      <c r="R914" s="463"/>
      <c r="S914" s="463"/>
      <c r="T914" s="463"/>
      <c r="U914" s="463"/>
      <c r="V914" s="463"/>
      <c r="W914" s="463"/>
      <c r="X914" s="463"/>
      <c r="Y914" s="463"/>
      <c r="Z914" s="463"/>
    </row>
    <row r="915" spans="1:26" ht="15.75" customHeight="1" x14ac:dyDescent="0.3">
      <c r="A915" s="463"/>
      <c r="B915" s="463"/>
      <c r="C915" s="463"/>
      <c r="D915" s="463"/>
      <c r="E915" s="463"/>
      <c r="F915" s="463"/>
      <c r="G915" s="463"/>
      <c r="H915" s="463"/>
      <c r="I915" s="463"/>
      <c r="J915" s="463"/>
      <c r="K915" s="463"/>
      <c r="L915" s="463"/>
      <c r="M915" s="463"/>
      <c r="N915" s="463"/>
      <c r="O915" s="463"/>
      <c r="P915" s="463"/>
      <c r="Q915" s="463"/>
      <c r="R915" s="463"/>
      <c r="S915" s="463"/>
      <c r="T915" s="463"/>
      <c r="U915" s="463"/>
      <c r="V915" s="463"/>
      <c r="W915" s="463"/>
      <c r="X915" s="463"/>
      <c r="Y915" s="463"/>
      <c r="Z915" s="463"/>
    </row>
    <row r="916" spans="1:26" ht="15.75" customHeight="1" x14ac:dyDescent="0.3">
      <c r="A916" s="463"/>
      <c r="B916" s="463"/>
      <c r="C916" s="463"/>
      <c r="D916" s="463"/>
      <c r="E916" s="463"/>
      <c r="F916" s="463"/>
      <c r="G916" s="463"/>
      <c r="H916" s="463"/>
      <c r="I916" s="463"/>
      <c r="J916" s="463"/>
      <c r="K916" s="463"/>
      <c r="L916" s="463"/>
      <c r="M916" s="463"/>
      <c r="N916" s="463"/>
      <c r="O916" s="463"/>
      <c r="P916" s="463"/>
      <c r="Q916" s="463"/>
      <c r="R916" s="463"/>
      <c r="S916" s="463"/>
      <c r="T916" s="463"/>
      <c r="U916" s="463"/>
      <c r="V916" s="463"/>
      <c r="W916" s="463"/>
      <c r="X916" s="463"/>
      <c r="Y916" s="463"/>
      <c r="Z916" s="463"/>
    </row>
    <row r="917" spans="1:26" ht="15.75" customHeight="1" x14ac:dyDescent="0.3">
      <c r="A917" s="463"/>
      <c r="B917" s="463"/>
      <c r="C917" s="463"/>
      <c r="D917" s="463"/>
      <c r="E917" s="463"/>
      <c r="F917" s="463"/>
      <c r="G917" s="463"/>
      <c r="H917" s="463"/>
      <c r="I917" s="463"/>
      <c r="J917" s="463"/>
      <c r="K917" s="463"/>
      <c r="L917" s="463"/>
      <c r="M917" s="463"/>
      <c r="N917" s="463"/>
      <c r="O917" s="463"/>
      <c r="P917" s="463"/>
      <c r="Q917" s="463"/>
      <c r="R917" s="463"/>
      <c r="S917" s="463"/>
      <c r="T917" s="463"/>
      <c r="U917" s="463"/>
      <c r="V917" s="463"/>
      <c r="W917" s="463"/>
      <c r="X917" s="463"/>
      <c r="Y917" s="463"/>
      <c r="Z917" s="463"/>
    </row>
    <row r="918" spans="1:26" ht="15.75" customHeight="1" x14ac:dyDescent="0.3">
      <c r="A918" s="463"/>
      <c r="B918" s="463"/>
      <c r="C918" s="463"/>
      <c r="D918" s="463"/>
      <c r="E918" s="463"/>
      <c r="F918" s="463"/>
      <c r="G918" s="463"/>
      <c r="H918" s="463"/>
      <c r="I918" s="463"/>
      <c r="J918" s="463"/>
      <c r="K918" s="463"/>
      <c r="L918" s="463"/>
      <c r="M918" s="463"/>
      <c r="N918" s="463"/>
      <c r="O918" s="463"/>
      <c r="P918" s="463"/>
      <c r="Q918" s="463"/>
      <c r="R918" s="463"/>
      <c r="S918" s="463"/>
      <c r="T918" s="463"/>
      <c r="U918" s="463"/>
      <c r="V918" s="463"/>
      <c r="W918" s="463"/>
      <c r="X918" s="463"/>
      <c r="Y918" s="463"/>
      <c r="Z918" s="463"/>
    </row>
    <row r="919" spans="1:26" ht="15.75" customHeight="1" x14ac:dyDescent="0.3">
      <c r="A919" s="463"/>
      <c r="B919" s="463"/>
      <c r="C919" s="463"/>
      <c r="D919" s="463"/>
      <c r="E919" s="463"/>
      <c r="F919" s="463"/>
      <c r="G919" s="463"/>
      <c r="H919" s="463"/>
      <c r="I919" s="463"/>
      <c r="J919" s="463"/>
      <c r="K919" s="463"/>
      <c r="L919" s="463"/>
      <c r="M919" s="463"/>
      <c r="N919" s="463"/>
      <c r="O919" s="463"/>
      <c r="P919" s="463"/>
      <c r="Q919" s="463"/>
      <c r="R919" s="463"/>
      <c r="S919" s="463"/>
      <c r="T919" s="463"/>
      <c r="U919" s="463"/>
      <c r="V919" s="463"/>
      <c r="W919" s="463"/>
      <c r="X919" s="463"/>
      <c r="Y919" s="463"/>
      <c r="Z919" s="463"/>
    </row>
    <row r="920" spans="1:26" ht="15.75" customHeight="1" x14ac:dyDescent="0.3">
      <c r="A920" s="463"/>
      <c r="B920" s="463"/>
      <c r="C920" s="463"/>
      <c r="D920" s="463"/>
      <c r="E920" s="463"/>
      <c r="F920" s="463"/>
      <c r="G920" s="463"/>
      <c r="H920" s="463"/>
      <c r="I920" s="463"/>
      <c r="J920" s="463"/>
      <c r="K920" s="463"/>
      <c r="L920" s="463"/>
      <c r="M920" s="463"/>
      <c r="N920" s="463"/>
      <c r="O920" s="463"/>
      <c r="P920" s="463"/>
      <c r="Q920" s="463"/>
      <c r="R920" s="463"/>
      <c r="S920" s="463"/>
      <c r="T920" s="463"/>
      <c r="U920" s="463"/>
      <c r="V920" s="463"/>
      <c r="W920" s="463"/>
      <c r="X920" s="463"/>
      <c r="Y920" s="463"/>
      <c r="Z920" s="463"/>
    </row>
    <row r="921" spans="1:26" ht="15.75" customHeight="1" x14ac:dyDescent="0.3">
      <c r="A921" s="463"/>
      <c r="B921" s="463"/>
      <c r="C921" s="463"/>
      <c r="D921" s="463"/>
      <c r="E921" s="463"/>
      <c r="F921" s="463"/>
      <c r="G921" s="463"/>
      <c r="H921" s="463"/>
      <c r="I921" s="463"/>
      <c r="J921" s="463"/>
      <c r="K921" s="463"/>
      <c r="L921" s="463"/>
      <c r="M921" s="463"/>
      <c r="N921" s="463"/>
      <c r="O921" s="463"/>
      <c r="P921" s="463"/>
      <c r="Q921" s="463"/>
      <c r="R921" s="463"/>
      <c r="S921" s="463"/>
      <c r="T921" s="463"/>
      <c r="U921" s="463"/>
      <c r="V921" s="463"/>
      <c r="W921" s="463"/>
      <c r="X921" s="463"/>
      <c r="Y921" s="463"/>
      <c r="Z921" s="463"/>
    </row>
    <row r="922" spans="1:26" ht="15.75" customHeight="1" x14ac:dyDescent="0.3">
      <c r="A922" s="463"/>
      <c r="B922" s="463"/>
      <c r="C922" s="463"/>
      <c r="D922" s="463"/>
      <c r="E922" s="463"/>
      <c r="F922" s="463"/>
      <c r="G922" s="463"/>
      <c r="H922" s="463"/>
      <c r="I922" s="463"/>
      <c r="J922" s="463"/>
      <c r="K922" s="463"/>
      <c r="L922" s="463"/>
      <c r="M922" s="463"/>
      <c r="N922" s="463"/>
      <c r="O922" s="463"/>
      <c r="P922" s="463"/>
      <c r="Q922" s="463"/>
      <c r="R922" s="463"/>
      <c r="S922" s="463"/>
      <c r="T922" s="463"/>
      <c r="U922" s="463"/>
      <c r="V922" s="463"/>
      <c r="W922" s="463"/>
      <c r="X922" s="463"/>
      <c r="Y922" s="463"/>
      <c r="Z922" s="463"/>
    </row>
    <row r="923" spans="1:26" ht="15.75" customHeight="1" x14ac:dyDescent="0.3">
      <c r="A923" s="463"/>
      <c r="B923" s="463"/>
      <c r="C923" s="463"/>
      <c r="D923" s="463"/>
      <c r="E923" s="463"/>
      <c r="F923" s="463"/>
      <c r="G923" s="463"/>
      <c r="H923" s="463"/>
      <c r="I923" s="463"/>
      <c r="J923" s="463"/>
      <c r="K923" s="463"/>
      <c r="L923" s="463"/>
      <c r="M923" s="463"/>
      <c r="N923" s="463"/>
      <c r="O923" s="463"/>
      <c r="P923" s="463"/>
      <c r="Q923" s="463"/>
      <c r="R923" s="463"/>
      <c r="S923" s="463"/>
      <c r="T923" s="463"/>
      <c r="U923" s="463"/>
      <c r="V923" s="463"/>
      <c r="W923" s="463"/>
      <c r="X923" s="463"/>
      <c r="Y923" s="463"/>
      <c r="Z923" s="463"/>
    </row>
    <row r="924" spans="1:26" ht="15.75" customHeight="1" x14ac:dyDescent="0.3">
      <c r="A924" s="463"/>
      <c r="B924" s="463"/>
      <c r="C924" s="463"/>
      <c r="D924" s="463"/>
      <c r="E924" s="463"/>
      <c r="F924" s="463"/>
      <c r="G924" s="463"/>
      <c r="H924" s="463"/>
      <c r="I924" s="463"/>
      <c r="J924" s="463"/>
      <c r="K924" s="463"/>
      <c r="L924" s="463"/>
      <c r="M924" s="463"/>
      <c r="N924" s="463"/>
      <c r="O924" s="463"/>
      <c r="P924" s="463"/>
      <c r="Q924" s="463"/>
      <c r="R924" s="463"/>
      <c r="S924" s="463"/>
      <c r="T924" s="463"/>
      <c r="U924" s="463"/>
      <c r="V924" s="463"/>
      <c r="W924" s="463"/>
      <c r="X924" s="463"/>
      <c r="Y924" s="463"/>
      <c r="Z924" s="463"/>
    </row>
    <row r="925" spans="1:26" ht="15.75" customHeight="1" x14ac:dyDescent="0.3">
      <c r="A925" s="463"/>
      <c r="B925" s="463"/>
      <c r="C925" s="463"/>
      <c r="D925" s="463"/>
      <c r="E925" s="463"/>
      <c r="F925" s="463"/>
      <c r="G925" s="463"/>
      <c r="H925" s="463"/>
      <c r="I925" s="463"/>
      <c r="J925" s="463"/>
      <c r="K925" s="463"/>
      <c r="L925" s="463"/>
      <c r="M925" s="463"/>
      <c r="N925" s="463"/>
      <c r="O925" s="463"/>
      <c r="P925" s="463"/>
      <c r="Q925" s="463"/>
      <c r="R925" s="463"/>
      <c r="S925" s="463"/>
      <c r="T925" s="463"/>
      <c r="U925" s="463"/>
      <c r="V925" s="463"/>
      <c r="W925" s="463"/>
      <c r="X925" s="463"/>
      <c r="Y925" s="463"/>
      <c r="Z925" s="463"/>
    </row>
    <row r="926" spans="1:26" ht="15.75" customHeight="1" x14ac:dyDescent="0.3">
      <c r="A926" s="463"/>
      <c r="B926" s="463"/>
      <c r="C926" s="463"/>
      <c r="D926" s="463"/>
      <c r="E926" s="463"/>
      <c r="F926" s="463"/>
      <c r="G926" s="463"/>
      <c r="H926" s="463"/>
      <c r="I926" s="463"/>
      <c r="J926" s="463"/>
      <c r="K926" s="463"/>
      <c r="L926" s="463"/>
      <c r="M926" s="463"/>
      <c r="N926" s="463"/>
      <c r="O926" s="463"/>
      <c r="P926" s="463"/>
      <c r="Q926" s="463"/>
      <c r="R926" s="463"/>
      <c r="S926" s="463"/>
      <c r="T926" s="463"/>
      <c r="U926" s="463"/>
      <c r="V926" s="463"/>
      <c r="W926" s="463"/>
      <c r="X926" s="463"/>
      <c r="Y926" s="463"/>
      <c r="Z926" s="463"/>
    </row>
    <row r="927" spans="1:26" ht="15.75" customHeight="1" x14ac:dyDescent="0.3">
      <c r="A927" s="463"/>
      <c r="B927" s="463"/>
      <c r="C927" s="463"/>
      <c r="D927" s="463"/>
      <c r="E927" s="463"/>
      <c r="F927" s="463"/>
      <c r="G927" s="463"/>
      <c r="H927" s="463"/>
      <c r="I927" s="463"/>
      <c r="J927" s="463"/>
      <c r="K927" s="463"/>
      <c r="L927" s="463"/>
      <c r="M927" s="463"/>
      <c r="N927" s="463"/>
      <c r="O927" s="463"/>
      <c r="P927" s="463"/>
      <c r="Q927" s="463"/>
      <c r="R927" s="463"/>
      <c r="S927" s="463"/>
      <c r="T927" s="463"/>
      <c r="U927" s="463"/>
      <c r="V927" s="463"/>
      <c r="W927" s="463"/>
      <c r="X927" s="463"/>
      <c r="Y927" s="463"/>
      <c r="Z927" s="463"/>
    </row>
    <row r="928" spans="1:26" ht="15.75" customHeight="1" x14ac:dyDescent="0.3">
      <c r="A928" s="463"/>
      <c r="B928" s="463"/>
      <c r="C928" s="463"/>
      <c r="D928" s="463"/>
      <c r="E928" s="463"/>
      <c r="F928" s="463"/>
      <c r="G928" s="463"/>
      <c r="H928" s="463"/>
      <c r="I928" s="463"/>
      <c r="J928" s="463"/>
      <c r="K928" s="463"/>
      <c r="L928" s="463"/>
      <c r="M928" s="463"/>
      <c r="N928" s="463"/>
      <c r="O928" s="463"/>
      <c r="P928" s="463"/>
      <c r="Q928" s="463"/>
      <c r="R928" s="463"/>
      <c r="S928" s="463"/>
      <c r="T928" s="463"/>
      <c r="U928" s="463"/>
      <c r="V928" s="463"/>
      <c r="W928" s="463"/>
      <c r="X928" s="463"/>
      <c r="Y928" s="463"/>
      <c r="Z928" s="463"/>
    </row>
    <row r="929" spans="1:26" ht="15.75" customHeight="1" x14ac:dyDescent="0.3">
      <c r="A929" s="463"/>
      <c r="B929" s="463"/>
      <c r="C929" s="463"/>
      <c r="D929" s="463"/>
      <c r="E929" s="463"/>
      <c r="F929" s="463"/>
      <c r="G929" s="463"/>
      <c r="H929" s="463"/>
      <c r="I929" s="463"/>
      <c r="J929" s="463"/>
      <c r="K929" s="463"/>
      <c r="L929" s="463"/>
      <c r="M929" s="463"/>
      <c r="N929" s="463"/>
      <c r="O929" s="463"/>
      <c r="P929" s="463"/>
      <c r="Q929" s="463"/>
      <c r="R929" s="463"/>
      <c r="S929" s="463"/>
      <c r="T929" s="463"/>
      <c r="U929" s="463"/>
      <c r="V929" s="463"/>
      <c r="W929" s="463"/>
      <c r="X929" s="463"/>
      <c r="Y929" s="463"/>
      <c r="Z929" s="463"/>
    </row>
    <row r="930" spans="1:26" ht="15.75" customHeight="1" x14ac:dyDescent="0.3">
      <c r="A930" s="463"/>
      <c r="B930" s="463"/>
      <c r="C930" s="463"/>
      <c r="D930" s="463"/>
      <c r="E930" s="463"/>
      <c r="F930" s="463"/>
      <c r="G930" s="463"/>
      <c r="H930" s="463"/>
      <c r="I930" s="463"/>
      <c r="J930" s="463"/>
      <c r="K930" s="463"/>
      <c r="L930" s="463"/>
      <c r="M930" s="463"/>
      <c r="N930" s="463"/>
      <c r="O930" s="463"/>
      <c r="P930" s="463"/>
      <c r="Q930" s="463"/>
      <c r="R930" s="463"/>
      <c r="S930" s="463"/>
      <c r="T930" s="463"/>
      <c r="U930" s="463"/>
      <c r="V930" s="463"/>
      <c r="W930" s="463"/>
      <c r="X930" s="463"/>
      <c r="Y930" s="463"/>
      <c r="Z930" s="463"/>
    </row>
    <row r="931" spans="1:26" ht="15.75" customHeight="1" x14ac:dyDescent="0.3">
      <c r="A931" s="463"/>
      <c r="B931" s="463"/>
      <c r="C931" s="463"/>
      <c r="D931" s="463"/>
      <c r="E931" s="463"/>
      <c r="F931" s="463"/>
      <c r="G931" s="463"/>
      <c r="H931" s="463"/>
      <c r="I931" s="463"/>
      <c r="J931" s="463"/>
      <c r="K931" s="463"/>
      <c r="L931" s="463"/>
      <c r="M931" s="463"/>
      <c r="N931" s="463"/>
      <c r="O931" s="463"/>
      <c r="P931" s="463"/>
      <c r="Q931" s="463"/>
      <c r="R931" s="463"/>
      <c r="S931" s="463"/>
      <c r="T931" s="463"/>
      <c r="U931" s="463"/>
      <c r="V931" s="463"/>
      <c r="W931" s="463"/>
      <c r="X931" s="463"/>
      <c r="Y931" s="463"/>
      <c r="Z931" s="463"/>
    </row>
    <row r="932" spans="1:26" ht="15.75" customHeight="1" x14ac:dyDescent="0.3">
      <c r="A932" s="463"/>
      <c r="B932" s="463"/>
      <c r="C932" s="463"/>
      <c r="D932" s="463"/>
      <c r="E932" s="463"/>
      <c r="F932" s="463"/>
      <c r="G932" s="463"/>
      <c r="H932" s="463"/>
      <c r="I932" s="463"/>
      <c r="J932" s="463"/>
      <c r="K932" s="463"/>
      <c r="L932" s="463"/>
      <c r="M932" s="463"/>
      <c r="N932" s="463"/>
      <c r="O932" s="463"/>
      <c r="P932" s="463"/>
      <c r="Q932" s="463"/>
      <c r="R932" s="463"/>
      <c r="S932" s="463"/>
      <c r="T932" s="463"/>
      <c r="U932" s="463"/>
      <c r="V932" s="463"/>
      <c r="W932" s="463"/>
      <c r="X932" s="463"/>
      <c r="Y932" s="463"/>
      <c r="Z932" s="463"/>
    </row>
    <row r="933" spans="1:26" ht="15.75" customHeight="1" x14ac:dyDescent="0.3">
      <c r="A933" s="463"/>
      <c r="B933" s="463"/>
      <c r="C933" s="463"/>
      <c r="D933" s="463"/>
      <c r="E933" s="463"/>
      <c r="F933" s="463"/>
      <c r="G933" s="463"/>
      <c r="H933" s="463"/>
      <c r="I933" s="463"/>
      <c r="J933" s="463"/>
      <c r="K933" s="463"/>
      <c r="L933" s="463"/>
      <c r="M933" s="463"/>
      <c r="N933" s="463"/>
      <c r="O933" s="463"/>
      <c r="P933" s="463"/>
      <c r="Q933" s="463"/>
      <c r="R933" s="463"/>
      <c r="S933" s="463"/>
      <c r="T933" s="463"/>
      <c r="U933" s="463"/>
      <c r="V933" s="463"/>
      <c r="W933" s="463"/>
      <c r="X933" s="463"/>
      <c r="Y933" s="463"/>
      <c r="Z933" s="463"/>
    </row>
    <row r="934" spans="1:26" ht="15.75" customHeight="1" x14ac:dyDescent="0.3">
      <c r="A934" s="463"/>
      <c r="B934" s="463"/>
      <c r="C934" s="463"/>
      <c r="D934" s="463"/>
      <c r="E934" s="463"/>
      <c r="F934" s="463"/>
      <c r="G934" s="463"/>
      <c r="H934" s="463"/>
      <c r="I934" s="463"/>
      <c r="J934" s="463"/>
      <c r="K934" s="463"/>
      <c r="L934" s="463"/>
      <c r="M934" s="463"/>
      <c r="N934" s="463"/>
      <c r="O934" s="463"/>
      <c r="P934" s="463"/>
      <c r="Q934" s="463"/>
      <c r="R934" s="463"/>
      <c r="S934" s="463"/>
      <c r="T934" s="463"/>
      <c r="U934" s="463"/>
      <c r="V934" s="463"/>
      <c r="W934" s="463"/>
      <c r="X934" s="463"/>
      <c r="Y934" s="463"/>
      <c r="Z934" s="463"/>
    </row>
    <row r="935" spans="1:26" ht="15.75" customHeight="1" x14ac:dyDescent="0.3">
      <c r="A935" s="463"/>
      <c r="B935" s="463"/>
      <c r="C935" s="463"/>
      <c r="D935" s="463"/>
      <c r="E935" s="463"/>
      <c r="F935" s="463"/>
      <c r="G935" s="463"/>
      <c r="H935" s="463"/>
      <c r="I935" s="463"/>
      <c r="J935" s="463"/>
      <c r="K935" s="463"/>
      <c r="L935" s="463"/>
      <c r="M935" s="463"/>
      <c r="N935" s="463"/>
      <c r="O935" s="463"/>
      <c r="P935" s="463"/>
      <c r="Q935" s="463"/>
      <c r="R935" s="463"/>
      <c r="S935" s="463"/>
      <c r="T935" s="463"/>
      <c r="U935" s="463"/>
      <c r="V935" s="463"/>
      <c r="W935" s="463"/>
      <c r="X935" s="463"/>
      <c r="Y935" s="463"/>
      <c r="Z935" s="463"/>
    </row>
    <row r="936" spans="1:26" ht="15.75" customHeight="1" x14ac:dyDescent="0.3">
      <c r="A936" s="463"/>
      <c r="B936" s="463"/>
      <c r="C936" s="463"/>
      <c r="D936" s="463"/>
      <c r="E936" s="463"/>
      <c r="F936" s="463"/>
      <c r="G936" s="463"/>
      <c r="H936" s="463"/>
      <c r="I936" s="463"/>
      <c r="J936" s="463"/>
      <c r="K936" s="463"/>
      <c r="L936" s="463"/>
      <c r="M936" s="463"/>
      <c r="N936" s="463"/>
      <c r="O936" s="463"/>
      <c r="P936" s="463"/>
      <c r="Q936" s="463"/>
      <c r="R936" s="463"/>
      <c r="S936" s="463"/>
      <c r="T936" s="463"/>
      <c r="U936" s="463"/>
      <c r="V936" s="463"/>
      <c r="W936" s="463"/>
      <c r="X936" s="463"/>
      <c r="Y936" s="463"/>
      <c r="Z936" s="463"/>
    </row>
    <row r="937" spans="1:26" ht="15.75" customHeight="1" x14ac:dyDescent="0.3">
      <c r="A937" s="463"/>
      <c r="B937" s="463"/>
      <c r="C937" s="463"/>
      <c r="D937" s="463"/>
      <c r="E937" s="463"/>
      <c r="F937" s="463"/>
      <c r="G937" s="463"/>
      <c r="H937" s="463"/>
      <c r="I937" s="463"/>
      <c r="J937" s="463"/>
      <c r="K937" s="463"/>
      <c r="L937" s="463"/>
      <c r="M937" s="463"/>
      <c r="N937" s="463"/>
      <c r="O937" s="463"/>
      <c r="P937" s="463"/>
      <c r="Q937" s="463"/>
      <c r="R937" s="463"/>
      <c r="S937" s="463"/>
      <c r="T937" s="463"/>
      <c r="U937" s="463"/>
      <c r="V937" s="463"/>
      <c r="W937" s="463"/>
      <c r="X937" s="463"/>
      <c r="Y937" s="463"/>
      <c r="Z937" s="463"/>
    </row>
    <row r="938" spans="1:26" ht="15.75" customHeight="1" x14ac:dyDescent="0.3">
      <c r="A938" s="463"/>
      <c r="B938" s="463"/>
      <c r="C938" s="463"/>
      <c r="D938" s="463"/>
      <c r="E938" s="463"/>
      <c r="F938" s="463"/>
      <c r="G938" s="463"/>
      <c r="H938" s="463"/>
      <c r="I938" s="463"/>
      <c r="J938" s="463"/>
      <c r="K938" s="463"/>
      <c r="L938" s="463"/>
      <c r="M938" s="463"/>
      <c r="N938" s="463"/>
      <c r="O938" s="463"/>
      <c r="P938" s="463"/>
      <c r="Q938" s="463"/>
      <c r="R938" s="463"/>
      <c r="S938" s="463"/>
      <c r="T938" s="463"/>
      <c r="U938" s="463"/>
      <c r="V938" s="463"/>
      <c r="W938" s="463"/>
      <c r="X938" s="463"/>
      <c r="Y938" s="463"/>
      <c r="Z938" s="463"/>
    </row>
    <row r="939" spans="1:26" ht="15.75" customHeight="1" x14ac:dyDescent="0.3">
      <c r="A939" s="463"/>
      <c r="B939" s="463"/>
      <c r="C939" s="463"/>
      <c r="D939" s="463"/>
      <c r="E939" s="463"/>
      <c r="F939" s="463"/>
      <c r="G939" s="463"/>
      <c r="H939" s="463"/>
      <c r="I939" s="463"/>
      <c r="J939" s="463"/>
      <c r="K939" s="463"/>
      <c r="L939" s="463"/>
      <c r="M939" s="463"/>
      <c r="N939" s="463"/>
      <c r="O939" s="463"/>
      <c r="P939" s="463"/>
      <c r="Q939" s="463"/>
      <c r="R939" s="463"/>
      <c r="S939" s="463"/>
      <c r="T939" s="463"/>
      <c r="U939" s="463"/>
      <c r="V939" s="463"/>
      <c r="W939" s="463"/>
      <c r="X939" s="463"/>
      <c r="Y939" s="463"/>
      <c r="Z939" s="463"/>
    </row>
    <row r="940" spans="1:26" ht="15.75" customHeight="1" x14ac:dyDescent="0.3">
      <c r="A940" s="463"/>
      <c r="B940" s="463"/>
      <c r="C940" s="463"/>
      <c r="D940" s="463"/>
      <c r="E940" s="463"/>
      <c r="F940" s="463"/>
      <c r="G940" s="463"/>
      <c r="H940" s="463"/>
      <c r="I940" s="463"/>
      <c r="J940" s="463"/>
      <c r="K940" s="463"/>
      <c r="L940" s="463"/>
      <c r="M940" s="463"/>
      <c r="N940" s="463"/>
      <c r="O940" s="463"/>
      <c r="P940" s="463"/>
      <c r="Q940" s="463"/>
      <c r="R940" s="463"/>
      <c r="S940" s="463"/>
      <c r="T940" s="463"/>
      <c r="U940" s="463"/>
      <c r="V940" s="463"/>
      <c r="W940" s="463"/>
      <c r="X940" s="463"/>
      <c r="Y940" s="463"/>
      <c r="Z940" s="463"/>
    </row>
    <row r="941" spans="1:26" ht="15.75" customHeight="1" x14ac:dyDescent="0.3">
      <c r="A941" s="463"/>
      <c r="B941" s="463"/>
      <c r="C941" s="463"/>
      <c r="D941" s="463"/>
      <c r="E941" s="463"/>
      <c r="F941" s="463"/>
      <c r="G941" s="463"/>
      <c r="H941" s="463"/>
      <c r="I941" s="463"/>
      <c r="J941" s="463"/>
      <c r="K941" s="463"/>
      <c r="L941" s="463"/>
      <c r="M941" s="463"/>
      <c r="N941" s="463"/>
      <c r="O941" s="463"/>
      <c r="P941" s="463"/>
      <c r="Q941" s="463"/>
      <c r="R941" s="463"/>
      <c r="S941" s="463"/>
      <c r="T941" s="463"/>
      <c r="U941" s="463"/>
      <c r="V941" s="463"/>
      <c r="W941" s="463"/>
      <c r="X941" s="463"/>
      <c r="Y941" s="463"/>
      <c r="Z941" s="463"/>
    </row>
    <row r="942" spans="1:26" ht="15.75" customHeight="1" x14ac:dyDescent="0.3">
      <c r="A942" s="463"/>
      <c r="B942" s="463"/>
      <c r="C942" s="463"/>
      <c r="D942" s="463"/>
      <c r="E942" s="463"/>
      <c r="F942" s="463"/>
      <c r="G942" s="463"/>
      <c r="H942" s="463"/>
      <c r="I942" s="463"/>
      <c r="J942" s="463"/>
      <c r="K942" s="463"/>
      <c r="L942" s="463"/>
      <c r="M942" s="463"/>
      <c r="N942" s="463"/>
      <c r="O942" s="463"/>
      <c r="P942" s="463"/>
      <c r="Q942" s="463"/>
      <c r="R942" s="463"/>
      <c r="S942" s="463"/>
      <c r="T942" s="463"/>
      <c r="U942" s="463"/>
      <c r="V942" s="463"/>
      <c r="W942" s="463"/>
      <c r="X942" s="463"/>
      <c r="Y942" s="463"/>
      <c r="Z942" s="463"/>
    </row>
    <row r="943" spans="1:26" ht="15.75" customHeight="1" x14ac:dyDescent="0.3">
      <c r="A943" s="463"/>
      <c r="B943" s="463"/>
      <c r="C943" s="463"/>
      <c r="D943" s="463"/>
      <c r="E943" s="463"/>
      <c r="F943" s="463"/>
      <c r="G943" s="463"/>
      <c r="H943" s="463"/>
      <c r="I943" s="463"/>
      <c r="J943" s="463"/>
      <c r="K943" s="463"/>
      <c r="L943" s="463"/>
      <c r="M943" s="463"/>
      <c r="N943" s="463"/>
      <c r="O943" s="463"/>
      <c r="P943" s="463"/>
      <c r="Q943" s="463"/>
      <c r="R943" s="463"/>
      <c r="S943" s="463"/>
      <c r="T943" s="463"/>
      <c r="U943" s="463"/>
      <c r="V943" s="463"/>
      <c r="W943" s="463"/>
      <c r="X943" s="463"/>
      <c r="Y943" s="463"/>
      <c r="Z943" s="463"/>
    </row>
    <row r="944" spans="1:26" ht="15.75" customHeight="1" x14ac:dyDescent="0.3">
      <c r="A944" s="463"/>
      <c r="B944" s="463"/>
      <c r="C944" s="463"/>
      <c r="D944" s="463"/>
      <c r="E944" s="463"/>
      <c r="F944" s="463"/>
      <c r="G944" s="463"/>
      <c r="H944" s="463"/>
      <c r="I944" s="463"/>
      <c r="J944" s="463"/>
      <c r="K944" s="463"/>
      <c r="L944" s="463"/>
      <c r="M944" s="463"/>
      <c r="N944" s="463"/>
      <c r="O944" s="463"/>
      <c r="P944" s="463"/>
      <c r="Q944" s="463"/>
      <c r="R944" s="463"/>
      <c r="S944" s="463"/>
      <c r="T944" s="463"/>
      <c r="U944" s="463"/>
      <c r="V944" s="463"/>
      <c r="W944" s="463"/>
      <c r="X944" s="463"/>
      <c r="Y944" s="463"/>
      <c r="Z944" s="463"/>
    </row>
    <row r="945" spans="1:26" ht="15.75" customHeight="1" x14ac:dyDescent="0.3">
      <c r="A945" s="463"/>
      <c r="B945" s="463"/>
      <c r="C945" s="463"/>
      <c r="D945" s="463"/>
      <c r="E945" s="463"/>
      <c r="F945" s="463"/>
      <c r="G945" s="463"/>
      <c r="H945" s="463"/>
      <c r="I945" s="463"/>
      <c r="J945" s="463"/>
      <c r="K945" s="463"/>
      <c r="L945" s="463"/>
      <c r="M945" s="463"/>
      <c r="N945" s="463"/>
      <c r="O945" s="463"/>
      <c r="P945" s="463"/>
      <c r="Q945" s="463"/>
      <c r="R945" s="463"/>
      <c r="S945" s="463"/>
      <c r="T945" s="463"/>
      <c r="U945" s="463"/>
      <c r="V945" s="463"/>
      <c r="W945" s="463"/>
      <c r="X945" s="463"/>
      <c r="Y945" s="463"/>
      <c r="Z945" s="463"/>
    </row>
    <row r="946" spans="1:26" ht="15.75" customHeight="1" x14ac:dyDescent="0.3">
      <c r="A946" s="463"/>
      <c r="B946" s="463"/>
      <c r="C946" s="463"/>
      <c r="D946" s="463"/>
      <c r="E946" s="463"/>
      <c r="F946" s="463"/>
      <c r="G946" s="463"/>
      <c r="H946" s="463"/>
      <c r="I946" s="463"/>
      <c r="J946" s="463"/>
      <c r="K946" s="463"/>
      <c r="L946" s="463"/>
      <c r="M946" s="463"/>
      <c r="N946" s="463"/>
      <c r="O946" s="463"/>
      <c r="P946" s="463"/>
      <c r="Q946" s="463"/>
      <c r="R946" s="463"/>
      <c r="S946" s="463"/>
      <c r="T946" s="463"/>
      <c r="U946" s="463"/>
      <c r="V946" s="463"/>
      <c r="W946" s="463"/>
      <c r="X946" s="463"/>
      <c r="Y946" s="463"/>
      <c r="Z946" s="463"/>
    </row>
    <row r="947" spans="1:26" ht="15.75" customHeight="1" x14ac:dyDescent="0.3">
      <c r="A947" s="463"/>
      <c r="B947" s="463"/>
      <c r="C947" s="463"/>
      <c r="D947" s="463"/>
      <c r="E947" s="463"/>
      <c r="F947" s="463"/>
      <c r="G947" s="463"/>
      <c r="H947" s="463"/>
      <c r="I947" s="463"/>
      <c r="J947" s="463"/>
      <c r="K947" s="463"/>
      <c r="L947" s="463"/>
      <c r="M947" s="463"/>
      <c r="N947" s="463"/>
      <c r="O947" s="463"/>
      <c r="P947" s="463"/>
      <c r="Q947" s="463"/>
      <c r="R947" s="463"/>
      <c r="S947" s="463"/>
      <c r="T947" s="463"/>
      <c r="U947" s="463"/>
      <c r="V947" s="463"/>
      <c r="W947" s="463"/>
      <c r="X947" s="463"/>
      <c r="Y947" s="463"/>
      <c r="Z947" s="463"/>
    </row>
    <row r="948" spans="1:26" ht="15.75" customHeight="1" x14ac:dyDescent="0.3">
      <c r="A948" s="463"/>
      <c r="B948" s="463"/>
      <c r="C948" s="463"/>
      <c r="D948" s="463"/>
      <c r="E948" s="463"/>
      <c r="F948" s="463"/>
      <c r="G948" s="463"/>
      <c r="H948" s="463"/>
      <c r="I948" s="463"/>
      <c r="J948" s="463"/>
      <c r="K948" s="463"/>
      <c r="L948" s="463"/>
      <c r="M948" s="463"/>
      <c r="N948" s="463"/>
      <c r="O948" s="463"/>
      <c r="P948" s="463"/>
      <c r="Q948" s="463"/>
      <c r="R948" s="463"/>
      <c r="S948" s="463"/>
      <c r="T948" s="463"/>
      <c r="U948" s="463"/>
      <c r="V948" s="463"/>
      <c r="W948" s="463"/>
      <c r="X948" s="463"/>
      <c r="Y948" s="463"/>
      <c r="Z948" s="463"/>
    </row>
    <row r="949" spans="1:26" ht="15.75" customHeight="1" x14ac:dyDescent="0.3">
      <c r="A949" s="463"/>
      <c r="B949" s="463"/>
      <c r="C949" s="463"/>
      <c r="D949" s="463"/>
      <c r="E949" s="463"/>
      <c r="F949" s="463"/>
      <c r="G949" s="463"/>
      <c r="H949" s="463"/>
      <c r="I949" s="463"/>
      <c r="J949" s="463"/>
      <c r="K949" s="463"/>
      <c r="L949" s="463"/>
      <c r="M949" s="463"/>
      <c r="N949" s="463"/>
      <c r="O949" s="463"/>
      <c r="P949" s="463"/>
      <c r="Q949" s="463"/>
      <c r="R949" s="463"/>
      <c r="S949" s="463"/>
      <c r="T949" s="463"/>
      <c r="U949" s="463"/>
      <c r="V949" s="463"/>
      <c r="W949" s="463"/>
      <c r="X949" s="463"/>
      <c r="Y949" s="463"/>
      <c r="Z949" s="463"/>
    </row>
    <row r="950" spans="1:26" ht="15.75" customHeight="1" x14ac:dyDescent="0.3">
      <c r="A950" s="463"/>
      <c r="B950" s="463"/>
      <c r="C950" s="463"/>
      <c r="D950" s="463"/>
      <c r="E950" s="463"/>
      <c r="F950" s="463"/>
      <c r="G950" s="463"/>
      <c r="H950" s="463"/>
      <c r="I950" s="463"/>
      <c r="J950" s="463"/>
      <c r="K950" s="463"/>
      <c r="L950" s="463"/>
      <c r="M950" s="463"/>
      <c r="N950" s="463"/>
      <c r="O950" s="463"/>
      <c r="P950" s="463"/>
      <c r="Q950" s="463"/>
      <c r="R950" s="463"/>
      <c r="S950" s="463"/>
      <c r="T950" s="463"/>
      <c r="U950" s="463"/>
      <c r="V950" s="463"/>
      <c r="W950" s="463"/>
      <c r="X950" s="463"/>
      <c r="Y950" s="463"/>
      <c r="Z950" s="463"/>
    </row>
    <row r="951" spans="1:26" ht="15.75" customHeight="1" x14ac:dyDescent="0.3">
      <c r="A951" s="463"/>
      <c r="B951" s="463"/>
      <c r="C951" s="463"/>
      <c r="D951" s="463"/>
      <c r="E951" s="463"/>
      <c r="F951" s="463"/>
      <c r="G951" s="463"/>
      <c r="H951" s="463"/>
      <c r="I951" s="463"/>
      <c r="J951" s="463"/>
      <c r="K951" s="463"/>
      <c r="L951" s="463"/>
      <c r="M951" s="463"/>
      <c r="N951" s="463"/>
      <c r="O951" s="463"/>
      <c r="P951" s="463"/>
      <c r="Q951" s="463"/>
      <c r="R951" s="463"/>
      <c r="S951" s="463"/>
      <c r="T951" s="463"/>
      <c r="U951" s="463"/>
      <c r="V951" s="463"/>
      <c r="W951" s="463"/>
      <c r="X951" s="463"/>
      <c r="Y951" s="463"/>
      <c r="Z951" s="463"/>
    </row>
    <row r="952" spans="1:26" ht="15.75" customHeight="1" x14ac:dyDescent="0.3">
      <c r="A952" s="463"/>
      <c r="B952" s="463"/>
      <c r="C952" s="463"/>
      <c r="D952" s="463"/>
      <c r="E952" s="463"/>
      <c r="F952" s="463"/>
      <c r="G952" s="463"/>
      <c r="H952" s="463"/>
      <c r="I952" s="463"/>
      <c r="J952" s="463"/>
      <c r="K952" s="463"/>
      <c r="L952" s="463"/>
      <c r="M952" s="463"/>
      <c r="N952" s="463"/>
      <c r="O952" s="463"/>
      <c r="P952" s="463"/>
      <c r="Q952" s="463"/>
      <c r="R952" s="463"/>
      <c r="S952" s="463"/>
      <c r="T952" s="463"/>
      <c r="U952" s="463"/>
      <c r="V952" s="463"/>
      <c r="W952" s="463"/>
      <c r="X952" s="463"/>
      <c r="Y952" s="463"/>
      <c r="Z952" s="463"/>
    </row>
    <row r="953" spans="1:26" ht="15.75" customHeight="1" x14ac:dyDescent="0.3">
      <c r="A953" s="463"/>
      <c r="B953" s="463"/>
      <c r="C953" s="463"/>
      <c r="D953" s="463"/>
      <c r="E953" s="463"/>
      <c r="F953" s="463"/>
      <c r="G953" s="463"/>
      <c r="H953" s="463"/>
      <c r="I953" s="463"/>
      <c r="J953" s="463"/>
      <c r="K953" s="463"/>
      <c r="L953" s="463"/>
      <c r="M953" s="463"/>
      <c r="N953" s="463"/>
      <c r="O953" s="463"/>
      <c r="P953" s="463"/>
      <c r="Q953" s="463"/>
      <c r="R953" s="463"/>
      <c r="S953" s="463"/>
      <c r="T953" s="463"/>
      <c r="U953" s="463"/>
      <c r="V953" s="463"/>
      <c r="W953" s="463"/>
      <c r="X953" s="463"/>
      <c r="Y953" s="463"/>
      <c r="Z953" s="463"/>
    </row>
    <row r="954" spans="1:26" ht="15.75" customHeight="1" x14ac:dyDescent="0.3">
      <c r="A954" s="463"/>
      <c r="B954" s="463"/>
      <c r="C954" s="463"/>
      <c r="D954" s="463"/>
      <c r="E954" s="463"/>
      <c r="F954" s="463"/>
      <c r="G954" s="463"/>
      <c r="H954" s="463"/>
      <c r="I954" s="463"/>
      <c r="J954" s="463"/>
      <c r="K954" s="463"/>
      <c r="L954" s="463"/>
      <c r="M954" s="463"/>
      <c r="N954" s="463"/>
      <c r="O954" s="463"/>
      <c r="P954" s="463"/>
      <c r="Q954" s="463"/>
      <c r="R954" s="463"/>
      <c r="S954" s="463"/>
      <c r="T954" s="463"/>
      <c r="U954" s="463"/>
      <c r="V954" s="463"/>
      <c r="W954" s="463"/>
      <c r="X954" s="463"/>
      <c r="Y954" s="463"/>
      <c r="Z954" s="463"/>
    </row>
    <row r="955" spans="1:26" ht="15.75" customHeight="1" x14ac:dyDescent="0.3">
      <c r="A955" s="463"/>
      <c r="B955" s="463"/>
      <c r="C955" s="463"/>
      <c r="D955" s="463"/>
      <c r="E955" s="463"/>
      <c r="F955" s="463"/>
      <c r="G955" s="463"/>
      <c r="H955" s="463"/>
      <c r="I955" s="463"/>
      <c r="J955" s="463"/>
      <c r="K955" s="463"/>
      <c r="L955" s="463"/>
      <c r="M955" s="463"/>
      <c r="N955" s="463"/>
      <c r="O955" s="463"/>
      <c r="P955" s="463"/>
      <c r="Q955" s="463"/>
      <c r="R955" s="463"/>
      <c r="S955" s="463"/>
      <c r="T955" s="463"/>
      <c r="U955" s="463"/>
      <c r="V955" s="463"/>
      <c r="W955" s="463"/>
      <c r="X955" s="463"/>
      <c r="Y955" s="463"/>
      <c r="Z955" s="463"/>
    </row>
    <row r="956" spans="1:26" ht="15.75" customHeight="1" x14ac:dyDescent="0.3">
      <c r="A956" s="463"/>
      <c r="B956" s="463"/>
      <c r="C956" s="463"/>
      <c r="D956" s="463"/>
      <c r="E956" s="463"/>
      <c r="F956" s="463"/>
      <c r="G956" s="463"/>
      <c r="H956" s="463"/>
      <c r="I956" s="463"/>
      <c r="J956" s="463"/>
      <c r="K956" s="463"/>
      <c r="L956" s="463"/>
      <c r="M956" s="463"/>
      <c r="N956" s="463"/>
      <c r="O956" s="463"/>
      <c r="P956" s="463"/>
      <c r="Q956" s="463"/>
      <c r="R956" s="463"/>
      <c r="S956" s="463"/>
      <c r="T956" s="463"/>
      <c r="U956" s="463"/>
      <c r="V956" s="463"/>
      <c r="W956" s="463"/>
      <c r="X956" s="463"/>
      <c r="Y956" s="463"/>
      <c r="Z956" s="463"/>
    </row>
    <row r="957" spans="1:26" ht="15.75" customHeight="1" x14ac:dyDescent="0.3">
      <c r="A957" s="463"/>
      <c r="B957" s="463"/>
      <c r="C957" s="463"/>
      <c r="D957" s="463"/>
      <c r="E957" s="463"/>
      <c r="F957" s="463"/>
      <c r="G957" s="463"/>
      <c r="H957" s="463"/>
      <c r="I957" s="463"/>
      <c r="J957" s="463"/>
      <c r="K957" s="463"/>
      <c r="L957" s="463"/>
      <c r="M957" s="463"/>
      <c r="N957" s="463"/>
      <c r="O957" s="463"/>
      <c r="P957" s="463"/>
      <c r="Q957" s="463"/>
      <c r="R957" s="463"/>
      <c r="S957" s="463"/>
      <c r="T957" s="463"/>
      <c r="U957" s="463"/>
      <c r="V957" s="463"/>
      <c r="W957" s="463"/>
      <c r="X957" s="463"/>
      <c r="Y957" s="463"/>
      <c r="Z957" s="463"/>
    </row>
    <row r="958" spans="1:26" ht="15.75" customHeight="1" x14ac:dyDescent="0.3">
      <c r="A958" s="463"/>
      <c r="B958" s="463"/>
      <c r="C958" s="463"/>
      <c r="D958" s="463"/>
      <c r="E958" s="463"/>
      <c r="F958" s="463"/>
      <c r="G958" s="463"/>
      <c r="H958" s="463"/>
      <c r="I958" s="463"/>
      <c r="J958" s="463"/>
      <c r="K958" s="463"/>
      <c r="L958" s="463"/>
      <c r="M958" s="463"/>
      <c r="N958" s="463"/>
      <c r="O958" s="463"/>
      <c r="P958" s="463"/>
      <c r="Q958" s="463"/>
      <c r="R958" s="463"/>
      <c r="S958" s="463"/>
      <c r="T958" s="463"/>
      <c r="U958" s="463"/>
      <c r="V958" s="463"/>
      <c r="W958" s="463"/>
      <c r="X958" s="463"/>
      <c r="Y958" s="463"/>
      <c r="Z958" s="463"/>
    </row>
    <row r="959" spans="1:26" ht="15.75" customHeight="1" x14ac:dyDescent="0.3">
      <c r="A959" s="463"/>
      <c r="B959" s="463"/>
      <c r="C959" s="463"/>
      <c r="D959" s="463"/>
      <c r="E959" s="463"/>
      <c r="F959" s="463"/>
      <c r="G959" s="463"/>
      <c r="H959" s="463"/>
      <c r="I959" s="463"/>
      <c r="J959" s="463"/>
      <c r="K959" s="463"/>
      <c r="L959" s="463"/>
      <c r="M959" s="463"/>
      <c r="N959" s="463"/>
      <c r="O959" s="463"/>
      <c r="P959" s="463"/>
      <c r="Q959" s="463"/>
      <c r="R959" s="463"/>
      <c r="S959" s="463"/>
      <c r="T959" s="463"/>
      <c r="U959" s="463"/>
      <c r="V959" s="463"/>
      <c r="W959" s="463"/>
      <c r="X959" s="463"/>
      <c r="Y959" s="463"/>
      <c r="Z959" s="463"/>
    </row>
    <row r="960" spans="1:26" ht="15.75" customHeight="1" x14ac:dyDescent="0.3">
      <c r="A960" s="463"/>
      <c r="B960" s="463"/>
      <c r="C960" s="463"/>
      <c r="D960" s="463"/>
      <c r="E960" s="463"/>
      <c r="F960" s="463"/>
      <c r="G960" s="463"/>
      <c r="H960" s="463"/>
      <c r="I960" s="463"/>
      <c r="J960" s="463"/>
      <c r="K960" s="463"/>
      <c r="L960" s="463"/>
      <c r="M960" s="463"/>
      <c r="N960" s="463"/>
      <c r="O960" s="463"/>
      <c r="P960" s="463"/>
      <c r="Q960" s="463"/>
      <c r="R960" s="463"/>
      <c r="S960" s="463"/>
      <c r="T960" s="463"/>
      <c r="U960" s="463"/>
      <c r="V960" s="463"/>
      <c r="W960" s="463"/>
      <c r="X960" s="463"/>
      <c r="Y960" s="463"/>
      <c r="Z960" s="463"/>
    </row>
    <row r="961" spans="1:26" ht="15.75" customHeight="1" x14ac:dyDescent="0.3">
      <c r="A961" s="463"/>
      <c r="B961" s="463"/>
      <c r="C961" s="463"/>
      <c r="D961" s="463"/>
      <c r="E961" s="463"/>
      <c r="F961" s="463"/>
      <c r="G961" s="463"/>
      <c r="H961" s="463"/>
      <c r="I961" s="463"/>
      <c r="J961" s="463"/>
      <c r="K961" s="463"/>
      <c r="L961" s="463"/>
      <c r="M961" s="463"/>
      <c r="N961" s="463"/>
      <c r="O961" s="463"/>
      <c r="P961" s="463"/>
      <c r="Q961" s="463"/>
      <c r="R961" s="463"/>
      <c r="S961" s="463"/>
      <c r="T961" s="463"/>
      <c r="U961" s="463"/>
      <c r="V961" s="463"/>
      <c r="W961" s="463"/>
      <c r="X961" s="463"/>
      <c r="Y961" s="463"/>
      <c r="Z961" s="463"/>
    </row>
    <row r="962" spans="1:26" ht="15.75" customHeight="1" x14ac:dyDescent="0.3">
      <c r="A962" s="463"/>
      <c r="B962" s="463"/>
      <c r="C962" s="463"/>
      <c r="D962" s="463"/>
      <c r="E962" s="463"/>
      <c r="F962" s="463"/>
      <c r="G962" s="463"/>
      <c r="H962" s="463"/>
      <c r="I962" s="463"/>
      <c r="J962" s="463"/>
      <c r="K962" s="463"/>
      <c r="L962" s="463"/>
      <c r="M962" s="463"/>
      <c r="N962" s="463"/>
      <c r="O962" s="463"/>
      <c r="P962" s="463"/>
      <c r="Q962" s="463"/>
      <c r="R962" s="463"/>
      <c r="S962" s="463"/>
      <c r="T962" s="463"/>
      <c r="U962" s="463"/>
      <c r="V962" s="463"/>
      <c r="W962" s="463"/>
      <c r="X962" s="463"/>
      <c r="Y962" s="463"/>
      <c r="Z962" s="463"/>
    </row>
    <row r="963" spans="1:26" ht="15.75" customHeight="1" x14ac:dyDescent="0.3">
      <c r="A963" s="463"/>
      <c r="B963" s="463"/>
      <c r="C963" s="463"/>
      <c r="D963" s="463"/>
      <c r="E963" s="463"/>
      <c r="F963" s="463"/>
      <c r="G963" s="463"/>
      <c r="H963" s="463"/>
      <c r="I963" s="463"/>
      <c r="J963" s="463"/>
      <c r="K963" s="463"/>
      <c r="L963" s="463"/>
      <c r="M963" s="463"/>
      <c r="N963" s="463"/>
      <c r="O963" s="463"/>
      <c r="P963" s="463"/>
      <c r="Q963" s="463"/>
      <c r="R963" s="463"/>
      <c r="S963" s="463"/>
      <c r="T963" s="463"/>
      <c r="U963" s="463"/>
      <c r="V963" s="463"/>
      <c r="W963" s="463"/>
      <c r="X963" s="463"/>
      <c r="Y963" s="463"/>
      <c r="Z963" s="463"/>
    </row>
    <row r="964" spans="1:26" ht="15.75" customHeight="1" x14ac:dyDescent="0.3">
      <c r="A964" s="463"/>
      <c r="B964" s="463"/>
      <c r="C964" s="463"/>
      <c r="D964" s="463"/>
      <c r="E964" s="463"/>
      <c r="F964" s="463"/>
      <c r="G964" s="463"/>
      <c r="H964" s="463"/>
      <c r="I964" s="463"/>
      <c r="J964" s="463"/>
      <c r="K964" s="463"/>
      <c r="L964" s="463"/>
      <c r="M964" s="463"/>
      <c r="N964" s="463"/>
      <c r="O964" s="463"/>
      <c r="P964" s="463"/>
      <c r="Q964" s="463"/>
      <c r="R964" s="463"/>
      <c r="S964" s="463"/>
      <c r="T964" s="463"/>
      <c r="U964" s="463"/>
      <c r="V964" s="463"/>
      <c r="W964" s="463"/>
      <c r="X964" s="463"/>
      <c r="Y964" s="463"/>
      <c r="Z964" s="463"/>
    </row>
    <row r="965" spans="1:26" ht="15.75" customHeight="1" x14ac:dyDescent="0.3">
      <c r="A965" s="463"/>
      <c r="B965" s="463"/>
      <c r="C965" s="463"/>
      <c r="D965" s="463"/>
      <c r="E965" s="463"/>
      <c r="F965" s="463"/>
      <c r="G965" s="463"/>
      <c r="H965" s="463"/>
      <c r="I965" s="463"/>
      <c r="J965" s="463"/>
      <c r="K965" s="463"/>
      <c r="L965" s="463"/>
      <c r="M965" s="463"/>
      <c r="N965" s="463"/>
      <c r="O965" s="463"/>
      <c r="P965" s="463"/>
      <c r="Q965" s="463"/>
      <c r="R965" s="463"/>
      <c r="S965" s="463"/>
      <c r="T965" s="463"/>
      <c r="U965" s="463"/>
      <c r="V965" s="463"/>
      <c r="W965" s="463"/>
      <c r="X965" s="463"/>
      <c r="Y965" s="463"/>
      <c r="Z965" s="463"/>
    </row>
    <row r="966" spans="1:26" ht="15.75" customHeight="1" x14ac:dyDescent="0.3">
      <c r="A966" s="463"/>
      <c r="B966" s="463"/>
      <c r="C966" s="463"/>
      <c r="D966" s="463"/>
      <c r="E966" s="463"/>
      <c r="F966" s="463"/>
      <c r="G966" s="463"/>
      <c r="H966" s="463"/>
      <c r="I966" s="463"/>
      <c r="J966" s="463"/>
      <c r="K966" s="463"/>
      <c r="L966" s="463"/>
      <c r="M966" s="463"/>
      <c r="N966" s="463"/>
      <c r="O966" s="463"/>
      <c r="P966" s="463"/>
      <c r="Q966" s="463"/>
      <c r="R966" s="463"/>
      <c r="S966" s="463"/>
      <c r="T966" s="463"/>
      <c r="U966" s="463"/>
      <c r="V966" s="463"/>
      <c r="W966" s="463"/>
      <c r="X966" s="463"/>
      <c r="Y966" s="463"/>
      <c r="Z966" s="463"/>
    </row>
    <row r="967" spans="1:26" ht="15.75" customHeight="1" x14ac:dyDescent="0.3">
      <c r="A967" s="463"/>
      <c r="B967" s="463"/>
      <c r="C967" s="463"/>
      <c r="D967" s="463"/>
      <c r="E967" s="463"/>
      <c r="F967" s="463"/>
      <c r="G967" s="463"/>
      <c r="H967" s="463"/>
      <c r="I967" s="463"/>
      <c r="J967" s="463"/>
      <c r="K967" s="463"/>
      <c r="L967" s="463"/>
      <c r="M967" s="463"/>
      <c r="N967" s="463"/>
      <c r="O967" s="463"/>
      <c r="P967" s="463"/>
      <c r="Q967" s="463"/>
      <c r="R967" s="463"/>
      <c r="S967" s="463"/>
      <c r="T967" s="463"/>
      <c r="U967" s="463"/>
      <c r="V967" s="463"/>
      <c r="W967" s="463"/>
      <c r="X967" s="463"/>
      <c r="Y967" s="463"/>
      <c r="Z967" s="463"/>
    </row>
    <row r="968" spans="1:26" ht="15.75" customHeight="1" x14ac:dyDescent="0.3">
      <c r="A968" s="463"/>
      <c r="B968" s="463"/>
      <c r="C968" s="463"/>
      <c r="D968" s="463"/>
      <c r="E968" s="463"/>
      <c r="F968" s="463"/>
      <c r="G968" s="463"/>
      <c r="H968" s="463"/>
      <c r="I968" s="463"/>
      <c r="J968" s="463"/>
      <c r="K968" s="463"/>
      <c r="L968" s="463"/>
      <c r="M968" s="463"/>
      <c r="N968" s="463"/>
      <c r="O968" s="463"/>
      <c r="P968" s="463"/>
      <c r="Q968" s="463"/>
      <c r="R968" s="463"/>
      <c r="S968" s="463"/>
      <c r="T968" s="463"/>
      <c r="U968" s="463"/>
      <c r="V968" s="463"/>
      <c r="W968" s="463"/>
      <c r="X968" s="463"/>
      <c r="Y968" s="463"/>
      <c r="Z968" s="463"/>
    </row>
    <row r="969" spans="1:26" ht="15.75" customHeight="1" x14ac:dyDescent="0.3">
      <c r="A969" s="463"/>
      <c r="B969" s="463"/>
      <c r="C969" s="463"/>
      <c r="D969" s="463"/>
      <c r="E969" s="463"/>
      <c r="F969" s="463"/>
      <c r="G969" s="463"/>
      <c r="H969" s="463"/>
      <c r="I969" s="463"/>
      <c r="J969" s="463"/>
      <c r="K969" s="463"/>
      <c r="L969" s="463"/>
      <c r="M969" s="463"/>
      <c r="N969" s="463"/>
      <c r="O969" s="463"/>
      <c r="P969" s="463"/>
      <c r="Q969" s="463"/>
      <c r="R969" s="463"/>
      <c r="S969" s="463"/>
      <c r="T969" s="463"/>
      <c r="U969" s="463"/>
      <c r="V969" s="463"/>
      <c r="W969" s="463"/>
      <c r="X969" s="463"/>
      <c r="Y969" s="463"/>
      <c r="Z969" s="463"/>
    </row>
    <row r="970" spans="1:26" ht="15.75" customHeight="1" x14ac:dyDescent="0.3">
      <c r="A970" s="463"/>
      <c r="B970" s="463"/>
      <c r="C970" s="463"/>
      <c r="D970" s="463"/>
      <c r="E970" s="463"/>
      <c r="F970" s="463"/>
      <c r="G970" s="463"/>
      <c r="H970" s="463"/>
      <c r="I970" s="463"/>
      <c r="J970" s="463"/>
      <c r="K970" s="463"/>
      <c r="L970" s="463"/>
      <c r="M970" s="463"/>
      <c r="N970" s="463"/>
      <c r="O970" s="463"/>
      <c r="P970" s="463"/>
      <c r="Q970" s="463"/>
      <c r="R970" s="463"/>
      <c r="S970" s="463"/>
      <c r="T970" s="463"/>
      <c r="U970" s="463"/>
      <c r="V970" s="463"/>
      <c r="W970" s="463"/>
      <c r="X970" s="463"/>
      <c r="Y970" s="463"/>
      <c r="Z970" s="463"/>
    </row>
    <row r="971" spans="1:26" ht="15.75" customHeight="1" x14ac:dyDescent="0.3">
      <c r="A971" s="463"/>
      <c r="B971" s="463"/>
      <c r="C971" s="463"/>
      <c r="D971" s="463"/>
      <c r="E971" s="463"/>
      <c r="F971" s="463"/>
      <c r="G971" s="463"/>
      <c r="H971" s="463"/>
      <c r="I971" s="463"/>
      <c r="J971" s="463"/>
      <c r="K971" s="463"/>
      <c r="L971" s="463"/>
      <c r="M971" s="463"/>
      <c r="N971" s="463"/>
      <c r="O971" s="463"/>
      <c r="P971" s="463"/>
      <c r="Q971" s="463"/>
      <c r="R971" s="463"/>
      <c r="S971" s="463"/>
      <c r="T971" s="463"/>
      <c r="U971" s="463"/>
      <c r="V971" s="463"/>
      <c r="W971" s="463"/>
      <c r="X971" s="463"/>
      <c r="Y971" s="463"/>
      <c r="Z971" s="463"/>
    </row>
    <row r="972" spans="1:26" ht="15.75" customHeight="1" x14ac:dyDescent="0.3">
      <c r="A972" s="463"/>
      <c r="B972" s="463"/>
      <c r="C972" s="463"/>
      <c r="D972" s="463"/>
      <c r="E972" s="463"/>
      <c r="F972" s="463"/>
      <c r="G972" s="463"/>
      <c r="H972" s="463"/>
      <c r="I972" s="463"/>
      <c r="J972" s="463"/>
      <c r="K972" s="463"/>
      <c r="L972" s="463"/>
      <c r="M972" s="463"/>
      <c r="N972" s="463"/>
      <c r="O972" s="463"/>
      <c r="P972" s="463"/>
      <c r="Q972" s="463"/>
      <c r="R972" s="463"/>
      <c r="S972" s="463"/>
      <c r="T972" s="463"/>
      <c r="U972" s="463"/>
      <c r="V972" s="463"/>
      <c r="W972" s="463"/>
      <c r="X972" s="463"/>
      <c r="Y972" s="463"/>
      <c r="Z972" s="463"/>
    </row>
    <row r="973" spans="1:26" ht="15.75" customHeight="1" x14ac:dyDescent="0.3">
      <c r="A973" s="463"/>
      <c r="B973" s="463"/>
      <c r="C973" s="463"/>
      <c r="D973" s="463"/>
      <c r="E973" s="463"/>
      <c r="F973" s="463"/>
      <c r="G973" s="463"/>
      <c r="H973" s="463"/>
      <c r="I973" s="463"/>
      <c r="J973" s="463"/>
      <c r="K973" s="463"/>
      <c r="L973" s="463"/>
      <c r="M973" s="463"/>
      <c r="N973" s="463"/>
      <c r="O973" s="463"/>
      <c r="P973" s="463"/>
      <c r="Q973" s="463"/>
      <c r="R973" s="463"/>
      <c r="S973" s="463"/>
      <c r="T973" s="463"/>
      <c r="U973" s="463"/>
      <c r="V973" s="463"/>
      <c r="W973" s="463"/>
      <c r="X973" s="463"/>
      <c r="Y973" s="463"/>
      <c r="Z973" s="463"/>
    </row>
    <row r="974" spans="1:26" ht="15.75" customHeight="1" x14ac:dyDescent="0.3">
      <c r="A974" s="463"/>
      <c r="B974" s="463"/>
      <c r="C974" s="463"/>
      <c r="D974" s="463"/>
      <c r="E974" s="463"/>
      <c r="F974" s="463"/>
      <c r="G974" s="463"/>
      <c r="H974" s="463"/>
      <c r="I974" s="463"/>
      <c r="J974" s="463"/>
      <c r="K974" s="463"/>
      <c r="L974" s="463"/>
      <c r="M974" s="463"/>
      <c r="N974" s="463"/>
      <c r="O974" s="463"/>
      <c r="P974" s="463"/>
      <c r="Q974" s="463"/>
      <c r="R974" s="463"/>
      <c r="S974" s="463"/>
      <c r="T974" s="463"/>
      <c r="U974" s="463"/>
      <c r="V974" s="463"/>
      <c r="W974" s="463"/>
      <c r="X974" s="463"/>
      <c r="Y974" s="463"/>
      <c r="Z974" s="463"/>
    </row>
    <row r="975" spans="1:26" ht="15.75" customHeight="1" x14ac:dyDescent="0.3">
      <c r="A975" s="463"/>
      <c r="B975" s="463"/>
      <c r="C975" s="463"/>
      <c r="D975" s="463"/>
      <c r="E975" s="463"/>
      <c r="F975" s="463"/>
      <c r="G975" s="463"/>
      <c r="H975" s="463"/>
      <c r="I975" s="463"/>
      <c r="J975" s="463"/>
      <c r="K975" s="463"/>
      <c r="L975" s="463"/>
      <c r="M975" s="463"/>
      <c r="N975" s="463"/>
      <c r="O975" s="463"/>
      <c r="P975" s="463"/>
      <c r="Q975" s="463"/>
      <c r="R975" s="463"/>
      <c r="S975" s="463"/>
      <c r="T975" s="463"/>
      <c r="U975" s="463"/>
      <c r="V975" s="463"/>
      <c r="W975" s="463"/>
      <c r="X975" s="463"/>
      <c r="Y975" s="463"/>
      <c r="Z975" s="463"/>
    </row>
    <row r="976" spans="1:26" ht="15.75" customHeight="1" x14ac:dyDescent="0.3">
      <c r="A976" s="463"/>
      <c r="B976" s="463"/>
      <c r="C976" s="463"/>
      <c r="D976" s="463"/>
      <c r="E976" s="463"/>
      <c r="F976" s="463"/>
      <c r="G976" s="463"/>
      <c r="H976" s="463"/>
      <c r="I976" s="463"/>
      <c r="J976" s="463"/>
      <c r="K976" s="463"/>
      <c r="L976" s="463"/>
      <c r="M976" s="463"/>
      <c r="N976" s="463"/>
      <c r="O976" s="463"/>
      <c r="P976" s="463"/>
      <c r="Q976" s="463"/>
      <c r="R976" s="463"/>
      <c r="S976" s="463"/>
      <c r="T976" s="463"/>
      <c r="U976" s="463"/>
      <c r="V976" s="463"/>
      <c r="W976" s="463"/>
      <c r="X976" s="463"/>
      <c r="Y976" s="463"/>
      <c r="Z976" s="463"/>
    </row>
    <row r="977" spans="1:26" ht="15.75" customHeight="1" x14ac:dyDescent="0.3">
      <c r="A977" s="463"/>
      <c r="B977" s="463"/>
      <c r="C977" s="463"/>
      <c r="D977" s="463"/>
      <c r="E977" s="463"/>
      <c r="F977" s="463"/>
      <c r="G977" s="463"/>
      <c r="H977" s="463"/>
      <c r="I977" s="463"/>
      <c r="J977" s="463"/>
      <c r="K977" s="463"/>
      <c r="L977" s="463"/>
      <c r="M977" s="463"/>
      <c r="N977" s="463"/>
      <c r="O977" s="463"/>
      <c r="P977" s="463"/>
      <c r="Q977" s="463"/>
      <c r="R977" s="463"/>
      <c r="S977" s="463"/>
      <c r="T977" s="463"/>
      <c r="U977" s="463"/>
      <c r="V977" s="463"/>
      <c r="W977" s="463"/>
      <c r="X977" s="463"/>
      <c r="Y977" s="463"/>
      <c r="Z977" s="463"/>
    </row>
    <row r="978" spans="1:26" ht="15.75" customHeight="1" x14ac:dyDescent="0.3">
      <c r="A978" s="463"/>
      <c r="B978" s="463"/>
      <c r="C978" s="463"/>
      <c r="D978" s="463"/>
      <c r="E978" s="463"/>
      <c r="F978" s="463"/>
      <c r="G978" s="463"/>
      <c r="H978" s="463"/>
      <c r="I978" s="463"/>
      <c r="J978" s="463"/>
      <c r="K978" s="463"/>
      <c r="L978" s="463"/>
      <c r="M978" s="463"/>
      <c r="N978" s="463"/>
      <c r="O978" s="463"/>
      <c r="P978" s="463"/>
      <c r="Q978" s="463"/>
      <c r="R978" s="463"/>
      <c r="S978" s="463"/>
      <c r="T978" s="463"/>
      <c r="U978" s="463"/>
      <c r="V978" s="463"/>
      <c r="W978" s="463"/>
      <c r="X978" s="463"/>
      <c r="Y978" s="463"/>
      <c r="Z978" s="463"/>
    </row>
    <row r="979" spans="1:26" ht="15.75" customHeight="1" x14ac:dyDescent="0.3">
      <c r="A979" s="463"/>
      <c r="B979" s="463"/>
      <c r="C979" s="463"/>
      <c r="D979" s="463"/>
      <c r="E979" s="463"/>
      <c r="F979" s="463"/>
      <c r="G979" s="463"/>
      <c r="H979" s="463"/>
      <c r="I979" s="463"/>
      <c r="J979" s="463"/>
      <c r="K979" s="463"/>
      <c r="L979" s="463"/>
      <c r="M979" s="463"/>
      <c r="N979" s="463"/>
      <c r="O979" s="463"/>
      <c r="P979" s="463"/>
      <c r="Q979" s="463"/>
      <c r="R979" s="463"/>
      <c r="S979" s="463"/>
      <c r="T979" s="463"/>
      <c r="U979" s="463"/>
      <c r="V979" s="463"/>
      <c r="W979" s="463"/>
      <c r="X979" s="463"/>
      <c r="Y979" s="463"/>
      <c r="Z979" s="463"/>
    </row>
    <row r="980" spans="1:26" ht="15.75" customHeight="1" x14ac:dyDescent="0.3">
      <c r="A980" s="463"/>
      <c r="B980" s="463"/>
      <c r="C980" s="463"/>
      <c r="D980" s="463"/>
      <c r="E980" s="463"/>
      <c r="F980" s="463"/>
      <c r="G980" s="463"/>
      <c r="H980" s="463"/>
      <c r="I980" s="463"/>
      <c r="J980" s="463"/>
      <c r="K980" s="463"/>
      <c r="L980" s="463"/>
      <c r="M980" s="463"/>
      <c r="N980" s="463"/>
      <c r="O980" s="463"/>
      <c r="P980" s="463"/>
      <c r="Q980" s="463"/>
      <c r="R980" s="463"/>
      <c r="S980" s="463"/>
      <c r="T980" s="463"/>
      <c r="U980" s="463"/>
      <c r="V980" s="463"/>
      <c r="W980" s="463"/>
      <c r="X980" s="463"/>
      <c r="Y980" s="463"/>
      <c r="Z980" s="463"/>
    </row>
    <row r="981" spans="1:26" ht="15.75" customHeight="1" x14ac:dyDescent="0.3">
      <c r="A981" s="463"/>
      <c r="B981" s="463"/>
      <c r="C981" s="463"/>
      <c r="D981" s="463"/>
      <c r="E981" s="463"/>
      <c r="F981" s="463"/>
      <c r="G981" s="463"/>
      <c r="H981" s="463"/>
      <c r="I981" s="463"/>
      <c r="J981" s="463"/>
      <c r="K981" s="463"/>
      <c r="L981" s="463"/>
      <c r="M981" s="463"/>
      <c r="N981" s="463"/>
      <c r="O981" s="463"/>
      <c r="P981" s="463"/>
      <c r="Q981" s="463"/>
      <c r="R981" s="463"/>
      <c r="S981" s="463"/>
      <c r="T981" s="463"/>
      <c r="U981" s="463"/>
      <c r="V981" s="463"/>
      <c r="W981" s="463"/>
      <c r="X981" s="463"/>
      <c r="Y981" s="463"/>
      <c r="Z981" s="463"/>
    </row>
    <row r="982" spans="1:26" ht="15.75" customHeight="1" x14ac:dyDescent="0.3">
      <c r="A982" s="463"/>
      <c r="B982" s="463"/>
      <c r="C982" s="463"/>
      <c r="D982" s="463"/>
      <c r="E982" s="463"/>
      <c r="F982" s="463"/>
      <c r="G982" s="463"/>
      <c r="H982" s="463"/>
      <c r="I982" s="463"/>
      <c r="J982" s="463"/>
      <c r="K982" s="463"/>
      <c r="L982" s="463"/>
      <c r="M982" s="463"/>
      <c r="N982" s="463"/>
      <c r="O982" s="463"/>
      <c r="P982" s="463"/>
      <c r="Q982" s="463"/>
      <c r="R982" s="463"/>
      <c r="S982" s="463"/>
      <c r="T982" s="463"/>
      <c r="U982" s="463"/>
      <c r="V982" s="463"/>
      <c r="W982" s="463"/>
      <c r="X982" s="463"/>
      <c r="Y982" s="463"/>
      <c r="Z982" s="463"/>
    </row>
    <row r="983" spans="1:26" ht="15.75" customHeight="1" x14ac:dyDescent="0.3">
      <c r="A983" s="463"/>
      <c r="B983" s="463"/>
      <c r="C983" s="463"/>
      <c r="D983" s="463"/>
      <c r="E983" s="463"/>
      <c r="F983" s="463"/>
      <c r="G983" s="463"/>
      <c r="H983" s="463"/>
      <c r="I983" s="463"/>
      <c r="J983" s="463"/>
      <c r="K983" s="463"/>
      <c r="L983" s="463"/>
      <c r="M983" s="463"/>
      <c r="N983" s="463"/>
      <c r="O983" s="463"/>
      <c r="P983" s="463"/>
      <c r="Q983" s="463"/>
      <c r="R983" s="463"/>
      <c r="S983" s="463"/>
      <c r="T983" s="463"/>
      <c r="U983" s="463"/>
      <c r="V983" s="463"/>
      <c r="W983" s="463"/>
      <c r="X983" s="463"/>
      <c r="Y983" s="463"/>
      <c r="Z983" s="463"/>
    </row>
    <row r="984" spans="1:26" ht="15.75" customHeight="1" x14ac:dyDescent="0.3">
      <c r="A984" s="463"/>
      <c r="B984" s="463"/>
      <c r="C984" s="463"/>
      <c r="D984" s="463"/>
      <c r="E984" s="463"/>
      <c r="F984" s="463"/>
      <c r="G984" s="463"/>
      <c r="H984" s="463"/>
      <c r="I984" s="463"/>
      <c r="J984" s="463"/>
      <c r="K984" s="463"/>
      <c r="L984" s="463"/>
      <c r="M984" s="463"/>
      <c r="N984" s="463"/>
      <c r="O984" s="463"/>
      <c r="P984" s="463"/>
      <c r="Q984" s="463"/>
      <c r="R984" s="463"/>
      <c r="S984" s="463"/>
      <c r="T984" s="463"/>
      <c r="U984" s="463"/>
      <c r="V984" s="463"/>
      <c r="W984" s="463"/>
      <c r="X984" s="463"/>
      <c r="Y984" s="463"/>
      <c r="Z984" s="463"/>
    </row>
    <row r="985" spans="1:26" ht="15.75" customHeight="1" x14ac:dyDescent="0.3">
      <c r="A985" s="463"/>
      <c r="B985" s="463"/>
      <c r="C985" s="463"/>
      <c r="D985" s="463"/>
      <c r="E985" s="463"/>
      <c r="F985" s="463"/>
      <c r="G985" s="463"/>
      <c r="H985" s="463"/>
      <c r="I985" s="463"/>
      <c r="J985" s="463"/>
      <c r="K985" s="463"/>
      <c r="L985" s="463"/>
      <c r="M985" s="463"/>
      <c r="N985" s="463"/>
      <c r="O985" s="463"/>
      <c r="P985" s="463"/>
      <c r="Q985" s="463"/>
      <c r="R985" s="463"/>
      <c r="S985" s="463"/>
      <c r="T985" s="463"/>
      <c r="U985" s="463"/>
      <c r="V985" s="463"/>
      <c r="W985" s="463"/>
      <c r="X985" s="463"/>
      <c r="Y985" s="463"/>
      <c r="Z985" s="463"/>
    </row>
    <row r="986" spans="1:26" ht="15.75" customHeight="1" x14ac:dyDescent="0.3">
      <c r="A986" s="463"/>
      <c r="B986" s="463"/>
      <c r="C986" s="463"/>
      <c r="D986" s="463"/>
      <c r="E986" s="463"/>
      <c r="F986" s="463"/>
      <c r="G986" s="463"/>
      <c r="H986" s="463"/>
      <c r="I986" s="463"/>
      <c r="J986" s="463"/>
      <c r="K986" s="463"/>
      <c r="L986" s="463"/>
      <c r="M986" s="463"/>
      <c r="N986" s="463"/>
      <c r="O986" s="463"/>
      <c r="P986" s="463"/>
      <c r="Q986" s="463"/>
      <c r="R986" s="463"/>
      <c r="S986" s="463"/>
      <c r="T986" s="463"/>
      <c r="U986" s="463"/>
      <c r="V986" s="463"/>
      <c r="W986" s="463"/>
      <c r="X986" s="463"/>
      <c r="Y986" s="463"/>
      <c r="Z986" s="463"/>
    </row>
    <row r="987" spans="1:26" ht="15.75" customHeight="1" x14ac:dyDescent="0.3">
      <c r="A987" s="463"/>
      <c r="B987" s="463"/>
      <c r="C987" s="463"/>
      <c r="D987" s="463"/>
      <c r="E987" s="463"/>
      <c r="F987" s="463"/>
      <c r="G987" s="463"/>
      <c r="H987" s="463"/>
      <c r="I987" s="463"/>
      <c r="J987" s="463"/>
      <c r="K987" s="463"/>
      <c r="L987" s="463"/>
      <c r="M987" s="463"/>
      <c r="N987" s="463"/>
      <c r="O987" s="463"/>
      <c r="P987" s="463"/>
      <c r="Q987" s="463"/>
      <c r="R987" s="463"/>
      <c r="S987" s="463"/>
      <c r="T987" s="463"/>
      <c r="U987" s="463"/>
      <c r="V987" s="463"/>
      <c r="W987" s="463"/>
      <c r="X987" s="463"/>
      <c r="Y987" s="463"/>
      <c r="Z987" s="463"/>
    </row>
    <row r="988" spans="1:26" ht="15.75" customHeight="1" x14ac:dyDescent="0.3">
      <c r="A988" s="463"/>
      <c r="B988" s="463"/>
      <c r="C988" s="463"/>
      <c r="D988" s="463"/>
      <c r="E988" s="463"/>
      <c r="F988" s="463"/>
      <c r="G988" s="463"/>
      <c r="H988" s="463"/>
      <c r="I988" s="463"/>
      <c r="J988" s="463"/>
      <c r="K988" s="463"/>
      <c r="L988" s="463"/>
      <c r="M988" s="463"/>
      <c r="N988" s="463"/>
      <c r="O988" s="463"/>
      <c r="P988" s="463"/>
      <c r="Q988" s="463"/>
      <c r="R988" s="463"/>
      <c r="S988" s="463"/>
      <c r="T988" s="463"/>
      <c r="U988" s="463"/>
      <c r="V988" s="463"/>
      <c r="W988" s="463"/>
      <c r="X988" s="463"/>
      <c r="Y988" s="463"/>
      <c r="Z988" s="463"/>
    </row>
    <row r="989" spans="1:26" ht="15.75" customHeight="1" x14ac:dyDescent="0.3">
      <c r="A989" s="463"/>
      <c r="B989" s="463"/>
      <c r="C989" s="463"/>
      <c r="D989" s="463"/>
      <c r="E989" s="463"/>
      <c r="F989" s="463"/>
      <c r="G989" s="463"/>
      <c r="H989" s="463"/>
      <c r="I989" s="463"/>
      <c r="J989" s="463"/>
      <c r="K989" s="463"/>
      <c r="L989" s="463"/>
      <c r="M989" s="463"/>
      <c r="N989" s="463"/>
      <c r="O989" s="463"/>
      <c r="P989" s="463"/>
      <c r="Q989" s="463"/>
      <c r="R989" s="463"/>
      <c r="S989" s="463"/>
      <c r="T989" s="463"/>
      <c r="U989" s="463"/>
      <c r="V989" s="463"/>
      <c r="W989" s="463"/>
      <c r="X989" s="463"/>
      <c r="Y989" s="463"/>
      <c r="Z989" s="463"/>
    </row>
    <row r="990" spans="1:26" ht="15.75" customHeight="1" x14ac:dyDescent="0.3">
      <c r="A990" s="463"/>
      <c r="B990" s="463"/>
      <c r="C990" s="463"/>
      <c r="D990" s="463"/>
      <c r="E990" s="463"/>
      <c r="F990" s="463"/>
      <c r="G990" s="463"/>
      <c r="H990" s="463"/>
      <c r="I990" s="463"/>
      <c r="J990" s="463"/>
      <c r="K990" s="463"/>
      <c r="L990" s="463"/>
      <c r="M990" s="463"/>
      <c r="N990" s="463"/>
      <c r="O990" s="463"/>
      <c r="P990" s="463"/>
      <c r="Q990" s="463"/>
      <c r="R990" s="463"/>
      <c r="S990" s="463"/>
      <c r="T990" s="463"/>
      <c r="U990" s="463"/>
      <c r="V990" s="463"/>
      <c r="W990" s="463"/>
      <c r="X990" s="463"/>
      <c r="Y990" s="463"/>
      <c r="Z990" s="463"/>
    </row>
    <row r="991" spans="1:26" ht="15.75" customHeight="1" x14ac:dyDescent="0.3">
      <c r="A991" s="463"/>
      <c r="B991" s="463"/>
      <c r="C991" s="463"/>
      <c r="D991" s="463"/>
      <c r="E991" s="463"/>
      <c r="F991" s="463"/>
      <c r="G991" s="463"/>
      <c r="H991" s="463"/>
      <c r="I991" s="463"/>
      <c r="J991" s="463"/>
      <c r="K991" s="463"/>
      <c r="L991" s="463"/>
      <c r="M991" s="463"/>
      <c r="N991" s="463"/>
      <c r="O991" s="463"/>
      <c r="P991" s="463"/>
      <c r="Q991" s="463"/>
      <c r="R991" s="463"/>
      <c r="S991" s="463"/>
      <c r="T991" s="463"/>
      <c r="U991" s="463"/>
      <c r="V991" s="463"/>
      <c r="W991" s="463"/>
      <c r="X991" s="463"/>
      <c r="Y991" s="463"/>
      <c r="Z991" s="463"/>
    </row>
    <row r="992" spans="1:26" ht="15.75" customHeight="1" x14ac:dyDescent="0.3">
      <c r="A992" s="463"/>
      <c r="B992" s="463"/>
      <c r="C992" s="463"/>
      <c r="D992" s="463"/>
      <c r="E992" s="463"/>
      <c r="F992" s="463"/>
      <c r="G992" s="463"/>
      <c r="H992" s="463"/>
      <c r="I992" s="463"/>
      <c r="J992" s="463"/>
      <c r="K992" s="463"/>
      <c r="L992" s="463"/>
      <c r="M992" s="463"/>
      <c r="N992" s="463"/>
      <c r="O992" s="463"/>
      <c r="P992" s="463"/>
      <c r="Q992" s="463"/>
      <c r="R992" s="463"/>
      <c r="S992" s="463"/>
      <c r="T992" s="463"/>
      <c r="U992" s="463"/>
      <c r="V992" s="463"/>
      <c r="W992" s="463"/>
      <c r="X992" s="463"/>
      <c r="Y992" s="463"/>
      <c r="Z992" s="463"/>
    </row>
    <row r="993" spans="1:26" ht="15.75" customHeight="1" x14ac:dyDescent="0.3">
      <c r="A993" s="463"/>
      <c r="B993" s="463"/>
      <c r="C993" s="463"/>
      <c r="D993" s="463"/>
      <c r="E993" s="463"/>
      <c r="F993" s="463"/>
      <c r="G993" s="463"/>
      <c r="H993" s="463"/>
      <c r="I993" s="463"/>
      <c r="J993" s="463"/>
      <c r="K993" s="463"/>
      <c r="L993" s="463"/>
      <c r="M993" s="463"/>
      <c r="N993" s="463"/>
      <c r="O993" s="463"/>
      <c r="P993" s="463"/>
      <c r="Q993" s="463"/>
      <c r="R993" s="463"/>
      <c r="S993" s="463"/>
      <c r="T993" s="463"/>
      <c r="U993" s="463"/>
      <c r="V993" s="463"/>
      <c r="W993" s="463"/>
      <c r="X993" s="463"/>
      <c r="Y993" s="463"/>
      <c r="Z993" s="463"/>
    </row>
    <row r="994" spans="1:26" ht="15.75" customHeight="1" x14ac:dyDescent="0.3">
      <c r="A994" s="463"/>
      <c r="B994" s="463"/>
      <c r="C994" s="463"/>
      <c r="D994" s="463"/>
      <c r="E994" s="463"/>
      <c r="F994" s="463"/>
      <c r="G994" s="463"/>
      <c r="H994" s="463"/>
      <c r="I994" s="463"/>
      <c r="J994" s="463"/>
      <c r="K994" s="463"/>
      <c r="L994" s="463"/>
      <c r="M994" s="463"/>
      <c r="N994" s="463"/>
      <c r="O994" s="463"/>
      <c r="P994" s="463"/>
      <c r="Q994" s="463"/>
      <c r="R994" s="463"/>
      <c r="S994" s="463"/>
      <c r="T994" s="463"/>
      <c r="U994" s="463"/>
      <c r="V994" s="463"/>
      <c r="W994" s="463"/>
      <c r="X994" s="463"/>
      <c r="Y994" s="463"/>
      <c r="Z994" s="463"/>
    </row>
    <row r="995" spans="1:26" ht="15.75" customHeight="1" x14ac:dyDescent="0.3">
      <c r="A995" s="463"/>
      <c r="B995" s="463"/>
      <c r="C995" s="463"/>
      <c r="D995" s="463"/>
      <c r="E995" s="463"/>
      <c r="F995" s="463"/>
      <c r="G995" s="463"/>
      <c r="H995" s="463"/>
      <c r="I995" s="463"/>
      <c r="J995" s="463"/>
      <c r="K995" s="463"/>
      <c r="L995" s="463"/>
      <c r="M995" s="463"/>
      <c r="N995" s="463"/>
      <c r="O995" s="463"/>
      <c r="P995" s="463"/>
      <c r="Q995" s="463"/>
      <c r="R995" s="463"/>
      <c r="S995" s="463"/>
      <c r="T995" s="463"/>
      <c r="U995" s="463"/>
      <c r="V995" s="463"/>
      <c r="W995" s="463"/>
      <c r="X995" s="463"/>
      <c r="Y995" s="463"/>
      <c r="Z995" s="463"/>
    </row>
    <row r="996" spans="1:26" ht="15.75" customHeight="1" x14ac:dyDescent="0.3">
      <c r="A996" s="463"/>
      <c r="B996" s="463"/>
      <c r="C996" s="463"/>
      <c r="D996" s="463"/>
      <c r="E996" s="463"/>
      <c r="F996" s="463"/>
      <c r="G996" s="463"/>
      <c r="H996" s="463"/>
      <c r="I996" s="463"/>
      <c r="J996" s="463"/>
      <c r="K996" s="463"/>
      <c r="L996" s="463"/>
      <c r="M996" s="463"/>
      <c r="N996" s="463"/>
      <c r="O996" s="463"/>
      <c r="P996" s="463"/>
      <c r="Q996" s="463"/>
      <c r="R996" s="463"/>
      <c r="S996" s="463"/>
      <c r="T996" s="463"/>
      <c r="U996" s="463"/>
      <c r="V996" s="463"/>
      <c r="W996" s="463"/>
      <c r="X996" s="463"/>
      <c r="Y996" s="463"/>
      <c r="Z996" s="463"/>
    </row>
    <row r="997" spans="1:26" ht="15.75" customHeight="1" x14ac:dyDescent="0.3">
      <c r="A997" s="463"/>
      <c r="B997" s="463"/>
      <c r="C997" s="463"/>
      <c r="D997" s="463"/>
      <c r="E997" s="463"/>
      <c r="F997" s="463"/>
      <c r="G997" s="463"/>
      <c r="H997" s="463"/>
      <c r="I997" s="463"/>
      <c r="J997" s="463"/>
      <c r="K997" s="463"/>
      <c r="L997" s="463"/>
      <c r="M997" s="463"/>
      <c r="N997" s="463"/>
      <c r="O997" s="463"/>
      <c r="P997" s="463"/>
      <c r="Q997" s="463"/>
      <c r="R997" s="463"/>
      <c r="S997" s="463"/>
      <c r="T997" s="463"/>
      <c r="U997" s="463"/>
      <c r="V997" s="463"/>
      <c r="W997" s="463"/>
      <c r="X997" s="463"/>
      <c r="Y997" s="463"/>
      <c r="Z997" s="463"/>
    </row>
    <row r="998" spans="1:26" ht="15.75" customHeight="1" x14ac:dyDescent="0.3">
      <c r="A998" s="463"/>
      <c r="B998" s="463"/>
      <c r="C998" s="463"/>
      <c r="D998" s="463"/>
      <c r="E998" s="463"/>
      <c r="F998" s="463"/>
      <c r="G998" s="463"/>
      <c r="H998" s="463"/>
      <c r="I998" s="463"/>
      <c r="J998" s="463"/>
      <c r="K998" s="463"/>
      <c r="L998" s="463"/>
      <c r="M998" s="463"/>
      <c r="N998" s="463"/>
      <c r="O998" s="463"/>
      <c r="P998" s="463"/>
      <c r="Q998" s="463"/>
      <c r="R998" s="463"/>
      <c r="S998" s="463"/>
      <c r="T998" s="463"/>
      <c r="U998" s="463"/>
      <c r="V998" s="463"/>
      <c r="W998" s="463"/>
      <c r="X998" s="463"/>
      <c r="Y998" s="463"/>
      <c r="Z998" s="463"/>
    </row>
    <row r="999" spans="1:26" ht="15.75" customHeight="1" x14ac:dyDescent="0.3">
      <c r="A999" s="463"/>
      <c r="B999" s="463"/>
      <c r="C999" s="463"/>
      <c r="D999" s="463"/>
      <c r="E999" s="463"/>
      <c r="F999" s="463"/>
      <c r="G999" s="463"/>
      <c r="H999" s="463"/>
      <c r="I999" s="463"/>
      <c r="J999" s="463"/>
      <c r="K999" s="463"/>
      <c r="L999" s="463"/>
      <c r="M999" s="463"/>
      <c r="N999" s="463"/>
      <c r="O999" s="463"/>
      <c r="P999" s="463"/>
      <c r="Q999" s="463"/>
      <c r="R999" s="463"/>
      <c r="S999" s="463"/>
      <c r="T999" s="463"/>
      <c r="U999" s="463"/>
      <c r="V999" s="463"/>
      <c r="W999" s="463"/>
      <c r="X999" s="463"/>
      <c r="Y999" s="463"/>
      <c r="Z999" s="463"/>
    </row>
    <row r="1000" spans="1:26" ht="15.75" customHeight="1" x14ac:dyDescent="0.3">
      <c r="A1000" s="463"/>
      <c r="B1000" s="463"/>
      <c r="C1000" s="463"/>
      <c r="D1000" s="463"/>
      <c r="E1000" s="463"/>
      <c r="F1000" s="463"/>
      <c r="G1000" s="463"/>
      <c r="H1000" s="463"/>
      <c r="I1000" s="463"/>
      <c r="J1000" s="463"/>
      <c r="K1000" s="463"/>
      <c r="L1000" s="463"/>
      <c r="M1000" s="463"/>
      <c r="N1000" s="463"/>
      <c r="O1000" s="463"/>
      <c r="P1000" s="463"/>
      <c r="Q1000" s="463"/>
      <c r="R1000" s="463"/>
      <c r="S1000" s="463"/>
      <c r="T1000" s="463"/>
      <c r="U1000" s="463"/>
      <c r="V1000" s="463"/>
      <c r="W1000" s="463"/>
      <c r="X1000" s="463"/>
      <c r="Y1000" s="463"/>
      <c r="Z1000" s="463"/>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012B-1D05-45AE-8745-3FCFC765CEC0}">
  <dimension ref="A1:H31"/>
  <sheetViews>
    <sheetView topLeftCell="A13" workbookViewId="0">
      <selection activeCell="B35" sqref="B35"/>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207</v>
      </c>
      <c r="B2" s="4">
        <v>9276441</v>
      </c>
      <c r="C2" s="3" t="s">
        <v>208</v>
      </c>
      <c r="D2" s="5">
        <v>4428550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210854</v>
      </c>
    </row>
    <row r="8" spans="1:8" ht="16.2" thickBot="1" x14ac:dyDescent="0.35">
      <c r="A8" s="11" t="s">
        <v>53</v>
      </c>
      <c r="B8" s="12">
        <v>9065587</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9276441</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1150</v>
      </c>
      <c r="C16" s="16">
        <v>2150</v>
      </c>
      <c r="D16" s="17" t="s">
        <v>24</v>
      </c>
      <c r="E16" s="17"/>
      <c r="F16" s="18"/>
    </row>
    <row r="17" spans="1:6" ht="16.2" thickBot="1" x14ac:dyDescent="0.35">
      <c r="A17" s="15" t="s">
        <v>25</v>
      </c>
      <c r="B17" s="12">
        <v>9607</v>
      </c>
      <c r="C17" s="12">
        <v>1450</v>
      </c>
      <c r="D17" s="19" t="s">
        <v>24</v>
      </c>
      <c r="E17" s="19"/>
      <c r="F17" s="20"/>
    </row>
    <row r="18" spans="1:6" ht="16.2" thickBot="1" x14ac:dyDescent="0.35">
      <c r="A18" s="15" t="s">
        <v>26</v>
      </c>
      <c r="B18" s="12">
        <v>0</v>
      </c>
      <c r="C18" s="12">
        <v>0</v>
      </c>
      <c r="D18" s="19"/>
      <c r="E18" s="19"/>
      <c r="F18" s="20"/>
    </row>
    <row r="19" spans="1:6" ht="16.2" thickBot="1" x14ac:dyDescent="0.35">
      <c r="A19" s="15" t="s">
        <v>27</v>
      </c>
      <c r="B19" s="12">
        <v>4125</v>
      </c>
      <c r="C19" s="12">
        <v>4125</v>
      </c>
      <c r="D19" s="19" t="s">
        <v>24</v>
      </c>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6711</v>
      </c>
      <c r="C22" s="12">
        <v>6550</v>
      </c>
      <c r="D22" s="19" t="s">
        <v>24</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21593</v>
      </c>
      <c r="C29" s="22">
        <v>14275</v>
      </c>
      <c r="D29" s="23"/>
      <c r="E29" s="23"/>
      <c r="F29" s="24"/>
    </row>
    <row r="31" spans="1:6" x14ac:dyDescent="0.3">
      <c r="B31" s="7" t="s">
        <v>2579</v>
      </c>
      <c r="C31" s="396">
        <f>SUM(B29:C29)</f>
        <v>35868</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906A9-4544-4EBD-9A27-EF9E51651601}">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233</v>
      </c>
      <c r="B2" s="390">
        <v>75000</v>
      </c>
      <c r="C2" s="389" t="s">
        <v>2330</v>
      </c>
      <c r="D2" s="391">
        <v>550000</v>
      </c>
      <c r="E2" s="389"/>
      <c r="F2" s="392"/>
      <c r="G2" s="391">
        <v>0</v>
      </c>
      <c r="H2" s="391">
        <v>0</v>
      </c>
    </row>
    <row r="4" spans="1:8" x14ac:dyDescent="0.3">
      <c r="A4" s="386" t="s">
        <v>11</v>
      </c>
    </row>
    <row r="6" spans="1:8" ht="16.2" thickBot="1" x14ac:dyDescent="0.35">
      <c r="A6" s="567" t="s">
        <v>12</v>
      </c>
      <c r="B6" s="10" t="s">
        <v>9</v>
      </c>
    </row>
    <row r="7" spans="1:8" ht="16.2" thickBot="1" x14ac:dyDescent="0.35">
      <c r="A7" s="566" t="s">
        <v>51</v>
      </c>
      <c r="B7" s="374">
        <v>0</v>
      </c>
    </row>
    <row r="8" spans="1:8" ht="16.2" thickBot="1" x14ac:dyDescent="0.35">
      <c r="A8" s="566" t="s">
        <v>53</v>
      </c>
      <c r="B8" s="374">
        <v>0</v>
      </c>
    </row>
    <row r="9" spans="1:8" ht="16.2" thickBot="1" x14ac:dyDescent="0.35">
      <c r="A9" s="566" t="s">
        <v>55</v>
      </c>
      <c r="B9" s="374">
        <v>1955</v>
      </c>
    </row>
    <row r="10" spans="1:8" ht="16.2" thickBot="1" x14ac:dyDescent="0.35">
      <c r="A10" s="566" t="s">
        <v>57</v>
      </c>
      <c r="B10" s="374">
        <v>615</v>
      </c>
    </row>
    <row r="11" spans="1:8" ht="16.2" thickBot="1" x14ac:dyDescent="0.35">
      <c r="A11" s="566"/>
      <c r="B11" s="374">
        <v>0</v>
      </c>
    </row>
    <row r="12" spans="1:8" ht="16.2" thickBot="1" x14ac:dyDescent="0.35">
      <c r="A12" s="566"/>
      <c r="B12" s="10"/>
      <c r="C12" s="374">
        <f>SUM(B7:B11)</f>
        <v>2570</v>
      </c>
    </row>
    <row r="13" spans="1:8" x14ac:dyDescent="0.3">
      <c r="A13" s="565"/>
      <c r="C13" s="10" t="s">
        <v>9</v>
      </c>
    </row>
    <row r="15" spans="1:8" ht="31.2" x14ac:dyDescent="0.3">
      <c r="A15" s="384" t="s">
        <v>17</v>
      </c>
      <c r="B15" s="385" t="s">
        <v>18</v>
      </c>
      <c r="C15" s="384" t="s">
        <v>19</v>
      </c>
      <c r="D15" s="384" t="s">
        <v>20</v>
      </c>
      <c r="E15" s="384" t="s">
        <v>21</v>
      </c>
      <c r="F15" s="384" t="s">
        <v>22</v>
      </c>
    </row>
    <row r="16" spans="1:8" ht="16.2" thickBot="1" x14ac:dyDescent="0.35">
      <c r="A16" s="564" t="s">
        <v>23</v>
      </c>
      <c r="B16" s="382">
        <v>300</v>
      </c>
      <c r="C16" s="382">
        <v>2000</v>
      </c>
      <c r="D16" s="359" t="s">
        <v>10</v>
      </c>
      <c r="E16" s="359"/>
      <c r="F16" s="383"/>
    </row>
    <row r="17" spans="1:6" ht="16.2" thickBot="1" x14ac:dyDescent="0.35">
      <c r="A17" s="564" t="s">
        <v>25</v>
      </c>
      <c r="B17" s="374">
        <v>200</v>
      </c>
      <c r="C17" s="374">
        <v>15000</v>
      </c>
      <c r="D17" s="387" t="s">
        <v>10</v>
      </c>
      <c r="E17" s="387"/>
      <c r="F17" s="377"/>
    </row>
    <row r="18" spans="1:6" ht="16.2" thickBot="1" x14ac:dyDescent="0.35">
      <c r="A18" s="564" t="s">
        <v>26</v>
      </c>
      <c r="B18" s="374">
        <v>600</v>
      </c>
      <c r="C18" s="374">
        <v>3000</v>
      </c>
      <c r="D18" s="387" t="s">
        <v>10</v>
      </c>
      <c r="E18" s="387"/>
      <c r="F18" s="377"/>
    </row>
    <row r="19" spans="1:6" ht="16.2" thickBot="1" x14ac:dyDescent="0.35">
      <c r="A19" s="564" t="s">
        <v>27</v>
      </c>
      <c r="B19" s="374">
        <v>0</v>
      </c>
      <c r="C19" s="374">
        <v>2000</v>
      </c>
      <c r="D19" s="387" t="s">
        <v>10</v>
      </c>
      <c r="E19" s="387"/>
      <c r="F19" s="377"/>
    </row>
    <row r="20" spans="1:6" ht="16.2" thickBot="1" x14ac:dyDescent="0.35">
      <c r="A20" s="564" t="s">
        <v>28</v>
      </c>
      <c r="B20" s="374">
        <v>0</v>
      </c>
      <c r="C20" s="374">
        <v>0</v>
      </c>
      <c r="D20" s="387" t="s">
        <v>9</v>
      </c>
      <c r="E20" s="387"/>
      <c r="F20" s="377"/>
    </row>
    <row r="21" spans="1:6" ht="16.2" thickBot="1" x14ac:dyDescent="0.35">
      <c r="A21" s="564" t="s">
        <v>29</v>
      </c>
      <c r="B21" s="374">
        <v>0</v>
      </c>
      <c r="C21" s="374">
        <v>0</v>
      </c>
      <c r="D21" s="387"/>
      <c r="E21" s="387"/>
      <c r="F21" s="377"/>
    </row>
    <row r="22" spans="1:6" ht="16.2" thickBot="1" x14ac:dyDescent="0.35">
      <c r="A22" s="564" t="s">
        <v>30</v>
      </c>
      <c r="B22" s="374">
        <v>0</v>
      </c>
      <c r="C22" s="374">
        <v>1000</v>
      </c>
      <c r="D22" s="387" t="s">
        <v>10</v>
      </c>
      <c r="E22" s="387"/>
      <c r="F22" s="377"/>
    </row>
    <row r="23" spans="1:6" ht="16.2" thickBot="1" x14ac:dyDescent="0.35">
      <c r="A23" s="566"/>
      <c r="B23" s="374">
        <v>0</v>
      </c>
      <c r="C23" s="374">
        <v>0</v>
      </c>
      <c r="D23" s="387"/>
      <c r="E23" s="387"/>
      <c r="F23" s="377"/>
    </row>
    <row r="24" spans="1:6" ht="16.2" thickBot="1" x14ac:dyDescent="0.35">
      <c r="A24" s="566"/>
      <c r="B24" s="374">
        <v>0</v>
      </c>
      <c r="C24" s="374">
        <v>0</v>
      </c>
      <c r="D24" s="387"/>
      <c r="E24" s="387"/>
      <c r="F24" s="377"/>
    </row>
    <row r="25" spans="1:6" ht="16.2" thickBot="1" x14ac:dyDescent="0.35">
      <c r="A25" s="566"/>
      <c r="B25" s="374">
        <v>0</v>
      </c>
      <c r="C25" s="374">
        <v>0</v>
      </c>
      <c r="D25" s="387"/>
      <c r="E25" s="387"/>
      <c r="F25" s="377"/>
    </row>
    <row r="26" spans="1:6" ht="16.2" thickBot="1" x14ac:dyDescent="0.35">
      <c r="A26" s="566"/>
      <c r="B26" s="374">
        <v>0</v>
      </c>
      <c r="C26" s="374">
        <v>0</v>
      </c>
      <c r="D26" s="387"/>
      <c r="E26" s="387"/>
      <c r="F26" s="377"/>
    </row>
    <row r="27" spans="1:6" ht="16.2" thickBot="1" x14ac:dyDescent="0.35">
      <c r="A27" s="566"/>
      <c r="B27" s="374">
        <v>0</v>
      </c>
      <c r="C27" s="374">
        <v>0</v>
      </c>
      <c r="D27" s="387"/>
      <c r="E27" s="387"/>
      <c r="F27" s="377"/>
    </row>
    <row r="28" spans="1:6" ht="16.2" thickBot="1" x14ac:dyDescent="0.35">
      <c r="A28" s="378"/>
      <c r="B28" s="374">
        <v>0</v>
      </c>
      <c r="C28" s="374">
        <v>0</v>
      </c>
      <c r="D28" s="387"/>
      <c r="E28" s="387"/>
      <c r="F28" s="377"/>
    </row>
    <row r="29" spans="1:6" ht="16.2" thickBot="1" x14ac:dyDescent="0.35">
      <c r="A29" s="565" t="s">
        <v>32</v>
      </c>
      <c r="B29" s="379">
        <f>SUM(B16:B28)</f>
        <v>1100</v>
      </c>
      <c r="C29" s="379">
        <f>SUM(C16:C28)</f>
        <v>23000</v>
      </c>
      <c r="D29" s="388"/>
      <c r="E29" s="388"/>
      <c r="F29" s="380"/>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4F85-4009-49BD-A8AF-0A76DA6B610F}">
  <dimension ref="A1:H29"/>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1515</v>
      </c>
      <c r="B2" s="4">
        <v>3000000</v>
      </c>
      <c r="C2" s="3" t="s">
        <v>1516</v>
      </c>
      <c r="D2" s="5">
        <v>2058521</v>
      </c>
      <c r="E2" s="3" t="s">
        <v>24</v>
      </c>
      <c r="F2" s="6"/>
      <c r="G2" s="5">
        <v>0</v>
      </c>
      <c r="H2" s="5">
        <v>2250000</v>
      </c>
    </row>
    <row r="3" spans="1:8" x14ac:dyDescent="0.3">
      <c r="D3" s="7" t="s">
        <v>1517</v>
      </c>
    </row>
    <row r="4" spans="1:8" x14ac:dyDescent="0.3">
      <c r="A4" s="8" t="s">
        <v>11</v>
      </c>
    </row>
    <row r="6" spans="1:8" ht="16.2" thickBot="1" x14ac:dyDescent="0.35">
      <c r="A6" s="9" t="s">
        <v>12</v>
      </c>
      <c r="B6" s="10" t="s">
        <v>9</v>
      </c>
    </row>
    <row r="7" spans="1:8" ht="16.2" thickBot="1" x14ac:dyDescent="0.35">
      <c r="A7" s="11" t="s">
        <v>51</v>
      </c>
      <c r="B7" s="12">
        <v>3000000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3000000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479</v>
      </c>
      <c r="C16" s="16">
        <v>979</v>
      </c>
      <c r="D16" s="17"/>
      <c r="E16" s="17"/>
      <c r="F16" s="18" t="s">
        <v>1518</v>
      </c>
    </row>
    <row r="17" spans="1:6" ht="16.2" thickBot="1" x14ac:dyDescent="0.35">
      <c r="A17" s="15" t="s">
        <v>25</v>
      </c>
      <c r="B17" s="12">
        <v>13635</v>
      </c>
      <c r="C17" s="12">
        <v>28560</v>
      </c>
      <c r="D17" s="19"/>
      <c r="E17" s="19"/>
      <c r="F17" s="20" t="s">
        <v>1519</v>
      </c>
    </row>
    <row r="18" spans="1:6" ht="16.2" thickBot="1" x14ac:dyDescent="0.35">
      <c r="A18" s="15" t="s">
        <v>26</v>
      </c>
      <c r="B18" s="12">
        <v>2996</v>
      </c>
      <c r="C18" s="12">
        <v>7996</v>
      </c>
      <c r="D18" s="19"/>
      <c r="E18" s="19"/>
      <c r="F18" s="20" t="s">
        <v>1520</v>
      </c>
    </row>
    <row r="19" spans="1:6" ht="16.2" thickBot="1" x14ac:dyDescent="0.35">
      <c r="A19" s="15" t="s">
        <v>27</v>
      </c>
      <c r="B19" s="12">
        <v>0</v>
      </c>
      <c r="C19" s="12">
        <v>0</v>
      </c>
      <c r="D19" s="19"/>
      <c r="E19" s="19"/>
      <c r="F19" s="20" t="s">
        <v>1521</v>
      </c>
    </row>
    <row r="20" spans="1:6" ht="16.2" thickBot="1" x14ac:dyDescent="0.35">
      <c r="A20" s="15" t="s">
        <v>28</v>
      </c>
      <c r="B20" s="12">
        <v>0</v>
      </c>
      <c r="C20" s="12">
        <v>0</v>
      </c>
      <c r="D20" s="19"/>
      <c r="E20" s="19"/>
      <c r="F20" s="20"/>
    </row>
    <row r="21" spans="1:6" ht="16.2" thickBot="1" x14ac:dyDescent="0.35">
      <c r="A21" s="15" t="s">
        <v>29</v>
      </c>
      <c r="B21" s="12">
        <v>8785</v>
      </c>
      <c r="C21" s="12">
        <v>16691</v>
      </c>
      <c r="D21" s="19"/>
      <c r="E21" s="19"/>
      <c r="F21" s="20"/>
    </row>
    <row r="22" spans="1:6" ht="16.2" thickBot="1" x14ac:dyDescent="0.35">
      <c r="A22" s="15" t="s">
        <v>30</v>
      </c>
      <c r="B22" s="12">
        <v>100</v>
      </c>
      <c r="C22" s="12">
        <v>1100</v>
      </c>
      <c r="D22" s="19"/>
      <c r="E22" s="19"/>
      <c r="F22" s="20" t="s">
        <v>1522</v>
      </c>
    </row>
    <row r="23" spans="1:6" ht="16.2" thickBot="1" x14ac:dyDescent="0.35">
      <c r="A23" s="15" t="s">
        <v>1523</v>
      </c>
      <c r="B23" s="12">
        <v>1923</v>
      </c>
      <c r="C23" s="12">
        <v>3600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f>SUM(B16:B28)</f>
        <v>27918</v>
      </c>
      <c r="C29" s="22">
        <f>SUM(C16:C28)</f>
        <v>58926</v>
      </c>
      <c r="D29" s="23"/>
      <c r="E29" s="23"/>
      <c r="F29"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0BA0-0FB6-4C10-938B-2DEB7D2AD1C2}">
  <sheetPr>
    <pageSetUpPr fitToPage="1"/>
  </sheetPr>
  <dimension ref="A1:I180"/>
  <sheetViews>
    <sheetView workbookViewId="0">
      <pane ySplit="1" topLeftCell="A158" activePane="bottomLeft" state="frozen"/>
      <selection activeCell="E11" sqref="E11:J11"/>
      <selection pane="bottomLeft" activeCell="H158" sqref="H158"/>
    </sheetView>
  </sheetViews>
  <sheetFormatPr defaultColWidth="17.6640625" defaultRowHeight="15.6" x14ac:dyDescent="0.3"/>
  <cols>
    <col min="1" max="1" width="7.88671875" style="410" bestFit="1" customWidth="1"/>
    <col min="2" max="2" width="35.5546875" style="417" bestFit="1" customWidth="1"/>
    <col min="3" max="3" width="18.109375" style="407" bestFit="1" customWidth="1"/>
    <col min="4" max="4" width="19.88671875" style="407" bestFit="1" customWidth="1"/>
    <col min="5" max="5" width="12.6640625" style="410" bestFit="1" customWidth="1"/>
    <col min="6" max="6" width="16.88671875" style="407" bestFit="1" customWidth="1"/>
    <col min="7" max="7" width="18.109375" style="407" bestFit="1" customWidth="1"/>
    <col min="8" max="9" width="17.6640625" style="591"/>
    <col min="10" max="16384" width="17.6640625" style="408"/>
  </cols>
  <sheetData>
    <row r="1" spans="1:9" s="403" customFormat="1" ht="46.8" x14ac:dyDescent="0.3">
      <c r="A1" s="384" t="s">
        <v>354</v>
      </c>
      <c r="B1" s="418" t="s">
        <v>2485</v>
      </c>
      <c r="C1" s="385" t="s">
        <v>1</v>
      </c>
      <c r="D1" s="385" t="s">
        <v>3</v>
      </c>
      <c r="E1" s="384" t="s">
        <v>4</v>
      </c>
      <c r="F1" s="385" t="s">
        <v>6</v>
      </c>
      <c r="G1" s="385" t="s">
        <v>7</v>
      </c>
      <c r="H1" s="590"/>
      <c r="I1" s="590"/>
    </row>
    <row r="2" spans="1:9" x14ac:dyDescent="0.3">
      <c r="A2" s="404">
        <v>1</v>
      </c>
      <c r="B2" s="404" t="s">
        <v>355</v>
      </c>
      <c r="C2" s="405">
        <v>0</v>
      </c>
      <c r="D2" s="405">
        <v>3121327</v>
      </c>
      <c r="E2" s="406" t="s">
        <v>10</v>
      </c>
      <c r="F2" s="405">
        <v>0</v>
      </c>
      <c r="G2" s="405">
        <v>0</v>
      </c>
    </row>
    <row r="3" spans="1:9" x14ac:dyDescent="0.3">
      <c r="A3" s="404">
        <v>2</v>
      </c>
      <c r="B3" s="409" t="s">
        <v>223</v>
      </c>
      <c r="C3" s="407">
        <v>21600</v>
      </c>
      <c r="D3" s="407">
        <v>4518214</v>
      </c>
      <c r="E3" s="410" t="s">
        <v>24</v>
      </c>
      <c r="F3" s="407">
        <v>0</v>
      </c>
      <c r="G3" s="407">
        <v>0</v>
      </c>
    </row>
    <row r="4" spans="1:9" x14ac:dyDescent="0.3">
      <c r="A4" s="404">
        <v>3</v>
      </c>
      <c r="B4" s="404" t="s">
        <v>356</v>
      </c>
      <c r="C4" s="407">
        <v>5500</v>
      </c>
      <c r="D4" s="407">
        <v>1862211</v>
      </c>
      <c r="E4" s="410" t="s">
        <v>24</v>
      </c>
      <c r="F4" s="407">
        <v>0</v>
      </c>
      <c r="G4" s="407">
        <v>0</v>
      </c>
    </row>
    <row r="5" spans="1:9" x14ac:dyDescent="0.3">
      <c r="A5" s="404">
        <v>4</v>
      </c>
      <c r="B5" s="404" t="s">
        <v>224</v>
      </c>
      <c r="C5" s="407">
        <v>21974187</v>
      </c>
      <c r="D5" s="407">
        <v>11175459</v>
      </c>
      <c r="E5" s="410" t="s">
        <v>24</v>
      </c>
      <c r="F5" s="407">
        <v>0</v>
      </c>
      <c r="G5" s="407">
        <v>40000</v>
      </c>
    </row>
    <row r="6" spans="1:9" x14ac:dyDescent="0.3">
      <c r="A6" s="404">
        <v>5</v>
      </c>
      <c r="B6" s="404" t="s">
        <v>62</v>
      </c>
      <c r="C6" s="407">
        <v>0</v>
      </c>
      <c r="D6" s="407">
        <v>1386277</v>
      </c>
      <c r="E6" s="410" t="s">
        <v>10</v>
      </c>
      <c r="F6" s="407">
        <v>0</v>
      </c>
      <c r="G6" s="407">
        <v>0</v>
      </c>
    </row>
    <row r="7" spans="1:9" x14ac:dyDescent="0.3">
      <c r="A7" s="404">
        <v>6</v>
      </c>
      <c r="B7" s="404" t="s">
        <v>357</v>
      </c>
      <c r="C7" s="407">
        <v>2500000</v>
      </c>
      <c r="D7" s="407">
        <v>2858058</v>
      </c>
      <c r="E7" s="410" t="s">
        <v>24</v>
      </c>
      <c r="F7" s="407">
        <v>0</v>
      </c>
      <c r="G7" s="407">
        <v>0</v>
      </c>
    </row>
    <row r="8" spans="1:9" x14ac:dyDescent="0.3">
      <c r="A8" s="404">
        <v>7</v>
      </c>
      <c r="B8" s="404" t="s">
        <v>358</v>
      </c>
      <c r="C8" s="407">
        <v>4770000</v>
      </c>
      <c r="D8" s="407">
        <v>1949335</v>
      </c>
      <c r="E8" s="410" t="s">
        <v>24</v>
      </c>
      <c r="F8" s="407">
        <v>1577733</v>
      </c>
      <c r="G8" s="407">
        <v>5807733</v>
      </c>
    </row>
    <row r="9" spans="1:9" x14ac:dyDescent="0.3">
      <c r="A9" s="404">
        <v>8</v>
      </c>
      <c r="B9" s="404" t="s">
        <v>225</v>
      </c>
      <c r="C9" s="407">
        <v>155215.15</v>
      </c>
      <c r="D9" s="407">
        <v>5532155</v>
      </c>
      <c r="E9" s="410" t="s">
        <v>10</v>
      </c>
      <c r="F9" s="407">
        <v>0</v>
      </c>
      <c r="G9" s="407">
        <v>0</v>
      </c>
    </row>
    <row r="10" spans="1:9" x14ac:dyDescent="0.3">
      <c r="A10" s="404">
        <v>9</v>
      </c>
      <c r="B10" s="404" t="s">
        <v>359</v>
      </c>
      <c r="C10" s="407">
        <v>1800000</v>
      </c>
      <c r="D10" s="407">
        <v>17992096</v>
      </c>
      <c r="E10" s="410" t="s">
        <v>24</v>
      </c>
      <c r="F10" s="407">
        <v>2016819.19</v>
      </c>
      <c r="G10" s="407">
        <v>0</v>
      </c>
    </row>
    <row r="11" spans="1:9" x14ac:dyDescent="0.3">
      <c r="A11" s="404">
        <v>10</v>
      </c>
      <c r="B11" s="404" t="s">
        <v>226</v>
      </c>
      <c r="C11" s="407">
        <v>525000</v>
      </c>
      <c r="D11" s="407">
        <v>1433590</v>
      </c>
      <c r="E11" s="410" t="s">
        <v>1547</v>
      </c>
      <c r="F11" s="407">
        <v>0</v>
      </c>
      <c r="G11" s="407">
        <v>0</v>
      </c>
    </row>
    <row r="12" spans="1:9" x14ac:dyDescent="0.3">
      <c r="A12" s="404">
        <v>11</v>
      </c>
      <c r="B12" s="404" t="s">
        <v>109</v>
      </c>
      <c r="C12" s="407">
        <v>848000</v>
      </c>
      <c r="D12" s="407">
        <v>18763770</v>
      </c>
      <c r="E12" s="410" t="s">
        <v>10</v>
      </c>
      <c r="F12" s="407">
        <v>0</v>
      </c>
      <c r="G12" s="407">
        <v>0</v>
      </c>
    </row>
    <row r="13" spans="1:9" x14ac:dyDescent="0.3">
      <c r="A13" s="404">
        <v>12</v>
      </c>
      <c r="B13" s="404" t="s">
        <v>360</v>
      </c>
      <c r="C13" s="407">
        <v>30000</v>
      </c>
      <c r="D13" s="407">
        <v>902614</v>
      </c>
      <c r="E13" s="410" t="s">
        <v>10</v>
      </c>
      <c r="F13" s="407">
        <v>0</v>
      </c>
      <c r="G13" s="407">
        <v>0</v>
      </c>
    </row>
    <row r="14" spans="1:9" x14ac:dyDescent="0.3">
      <c r="A14" s="404">
        <v>13</v>
      </c>
      <c r="B14" s="404" t="s">
        <v>227</v>
      </c>
      <c r="C14" s="407">
        <v>3750</v>
      </c>
      <c r="D14" s="407">
        <v>1352057</v>
      </c>
      <c r="E14" s="410" t="s">
        <v>10</v>
      </c>
      <c r="F14" s="407">
        <v>0</v>
      </c>
      <c r="G14" s="407">
        <v>0</v>
      </c>
    </row>
    <row r="15" spans="1:9" x14ac:dyDescent="0.3">
      <c r="A15" s="404">
        <v>14</v>
      </c>
      <c r="B15" s="404" t="s">
        <v>228</v>
      </c>
      <c r="C15" s="407">
        <v>0</v>
      </c>
      <c r="D15" s="407">
        <v>28769857</v>
      </c>
      <c r="E15" s="410" t="s">
        <v>10</v>
      </c>
      <c r="F15" s="407">
        <v>0</v>
      </c>
      <c r="G15" s="407">
        <v>0</v>
      </c>
    </row>
    <row r="16" spans="1:9" x14ac:dyDescent="0.3">
      <c r="A16" s="404">
        <v>14</v>
      </c>
      <c r="B16" s="404" t="s">
        <v>1548</v>
      </c>
      <c r="C16" s="407">
        <v>459664.5</v>
      </c>
      <c r="D16" s="407">
        <v>0</v>
      </c>
      <c r="E16" s="410" t="s">
        <v>10</v>
      </c>
      <c r="F16" s="407">
        <v>0</v>
      </c>
      <c r="G16" s="407">
        <v>0</v>
      </c>
    </row>
    <row r="17" spans="1:7" x14ac:dyDescent="0.3">
      <c r="A17" s="404">
        <v>15</v>
      </c>
      <c r="B17" s="404" t="s">
        <v>229</v>
      </c>
      <c r="C17" s="407">
        <v>2100000</v>
      </c>
      <c r="D17" s="407">
        <v>23700000</v>
      </c>
      <c r="E17" s="410" t="s">
        <v>10</v>
      </c>
      <c r="F17" s="407">
        <v>0</v>
      </c>
      <c r="G17" s="407">
        <v>0</v>
      </c>
    </row>
    <row r="18" spans="1:7" x14ac:dyDescent="0.3">
      <c r="A18" s="404">
        <v>16</v>
      </c>
      <c r="B18" s="404" t="s">
        <v>230</v>
      </c>
    </row>
    <row r="19" spans="1:7" x14ac:dyDescent="0.3">
      <c r="A19" s="404">
        <v>17</v>
      </c>
      <c r="B19" s="404" t="s">
        <v>361</v>
      </c>
      <c r="C19" s="407">
        <v>305998</v>
      </c>
      <c r="D19" s="407">
        <v>29562034</v>
      </c>
      <c r="E19" s="410" t="s">
        <v>24</v>
      </c>
      <c r="F19" s="407">
        <v>0</v>
      </c>
      <c r="G19" s="407">
        <v>100000</v>
      </c>
    </row>
    <row r="20" spans="1:7" x14ac:dyDescent="0.3">
      <c r="A20" s="404">
        <v>18</v>
      </c>
      <c r="B20" s="404" t="s">
        <v>231</v>
      </c>
      <c r="C20" s="407">
        <v>250000</v>
      </c>
      <c r="D20" s="407">
        <v>8000000</v>
      </c>
      <c r="E20" s="410" t="s">
        <v>10</v>
      </c>
      <c r="F20" s="407">
        <v>0</v>
      </c>
      <c r="G20" s="407">
        <v>80310.5</v>
      </c>
    </row>
    <row r="21" spans="1:7" x14ac:dyDescent="0.3">
      <c r="A21" s="404">
        <v>19</v>
      </c>
      <c r="B21" s="404" t="s">
        <v>362</v>
      </c>
      <c r="C21" s="407">
        <v>250000</v>
      </c>
      <c r="D21" s="407">
        <v>780000</v>
      </c>
      <c r="E21" s="410" t="s">
        <v>24</v>
      </c>
      <c r="F21" s="407">
        <v>0</v>
      </c>
      <c r="G21" s="407">
        <v>0</v>
      </c>
    </row>
    <row r="22" spans="1:7" x14ac:dyDescent="0.3">
      <c r="A22" s="404">
        <v>20</v>
      </c>
      <c r="B22" s="404" t="s">
        <v>232</v>
      </c>
      <c r="C22" s="407">
        <v>9276441</v>
      </c>
      <c r="D22" s="407">
        <v>4428550</v>
      </c>
      <c r="F22" s="407">
        <v>0</v>
      </c>
      <c r="G22" s="407">
        <v>0</v>
      </c>
    </row>
    <row r="23" spans="1:7" x14ac:dyDescent="0.3">
      <c r="A23" s="404">
        <v>21</v>
      </c>
      <c r="B23" s="404" t="s">
        <v>233</v>
      </c>
      <c r="C23" s="407">
        <v>75000</v>
      </c>
      <c r="D23" s="407">
        <v>550000</v>
      </c>
      <c r="F23" s="407">
        <v>0</v>
      </c>
      <c r="G23" s="407">
        <v>0</v>
      </c>
    </row>
    <row r="24" spans="1:7" x14ac:dyDescent="0.3">
      <c r="A24" s="404">
        <v>22</v>
      </c>
      <c r="B24" s="404" t="s">
        <v>234</v>
      </c>
      <c r="C24" s="407">
        <v>3000000</v>
      </c>
      <c r="D24" s="407">
        <v>2058521</v>
      </c>
      <c r="E24" s="410" t="s">
        <v>24</v>
      </c>
      <c r="F24" s="407">
        <v>0</v>
      </c>
      <c r="G24" s="407">
        <v>2250000</v>
      </c>
    </row>
    <row r="25" spans="1:7" x14ac:dyDescent="0.3">
      <c r="A25" s="404">
        <v>23</v>
      </c>
      <c r="B25" s="404" t="s">
        <v>235</v>
      </c>
      <c r="C25" s="407">
        <v>295732.28999999998</v>
      </c>
      <c r="D25" s="407">
        <v>6806725</v>
      </c>
      <c r="E25" s="410" t="s">
        <v>24</v>
      </c>
      <c r="F25" s="407">
        <v>0</v>
      </c>
      <c r="G25" s="407">
        <v>0</v>
      </c>
    </row>
    <row r="26" spans="1:7" x14ac:dyDescent="0.3">
      <c r="A26" s="404">
        <v>24</v>
      </c>
      <c r="B26" s="404" t="s">
        <v>236</v>
      </c>
      <c r="C26" s="407">
        <v>0</v>
      </c>
      <c r="D26" s="407">
        <v>1825733</v>
      </c>
      <c r="E26" s="410" t="s">
        <v>10</v>
      </c>
      <c r="F26" s="407">
        <v>0</v>
      </c>
      <c r="G26" s="407">
        <v>0</v>
      </c>
    </row>
    <row r="27" spans="1:7" x14ac:dyDescent="0.3">
      <c r="A27" s="404">
        <v>25</v>
      </c>
      <c r="B27" s="404" t="s">
        <v>237</v>
      </c>
      <c r="C27" s="407">
        <v>511000</v>
      </c>
      <c r="D27" s="407">
        <v>11596474</v>
      </c>
      <c r="E27" s="410" t="s">
        <v>10</v>
      </c>
      <c r="F27" s="407">
        <v>1200000</v>
      </c>
      <c r="G27" s="407">
        <v>1760000</v>
      </c>
    </row>
    <row r="28" spans="1:7" x14ac:dyDescent="0.3">
      <c r="A28" s="404">
        <v>26</v>
      </c>
      <c r="B28" s="409" t="s">
        <v>238</v>
      </c>
      <c r="C28" s="405">
        <v>1411040</v>
      </c>
      <c r="D28" s="405">
        <v>2657629</v>
      </c>
      <c r="E28" s="406" t="s">
        <v>108</v>
      </c>
      <c r="F28" s="405">
        <v>0</v>
      </c>
      <c r="G28" s="405">
        <v>0</v>
      </c>
    </row>
    <row r="29" spans="1:7" x14ac:dyDescent="0.3">
      <c r="A29" s="404">
        <v>27</v>
      </c>
      <c r="B29" s="404" t="s">
        <v>239</v>
      </c>
      <c r="C29" s="405">
        <v>319000</v>
      </c>
      <c r="D29" s="405">
        <v>9962574</v>
      </c>
      <c r="E29" s="406" t="s">
        <v>24</v>
      </c>
      <c r="F29" s="405">
        <v>0</v>
      </c>
      <c r="G29" s="405">
        <v>0</v>
      </c>
    </row>
    <row r="30" spans="1:7" x14ac:dyDescent="0.3">
      <c r="A30" s="404">
        <v>28</v>
      </c>
      <c r="B30" s="409" t="s">
        <v>240</v>
      </c>
      <c r="C30" s="407">
        <v>415029</v>
      </c>
      <c r="D30" s="407">
        <v>7815186</v>
      </c>
      <c r="E30" s="410" t="s">
        <v>10</v>
      </c>
      <c r="F30" s="407">
        <v>0</v>
      </c>
      <c r="G30" s="407">
        <v>0</v>
      </c>
    </row>
    <row r="31" spans="1:7" x14ac:dyDescent="0.3">
      <c r="A31" s="404">
        <v>29</v>
      </c>
      <c r="B31" s="404" t="s">
        <v>241</v>
      </c>
      <c r="C31" s="411">
        <v>0</v>
      </c>
      <c r="D31" s="411">
        <v>2392871</v>
      </c>
      <c r="E31" s="403" t="s">
        <v>10</v>
      </c>
      <c r="F31" s="411">
        <v>0</v>
      </c>
      <c r="G31" s="411">
        <v>0</v>
      </c>
    </row>
    <row r="32" spans="1:7" x14ac:dyDescent="0.3">
      <c r="A32" s="404">
        <v>30</v>
      </c>
      <c r="B32" s="409" t="s">
        <v>242</v>
      </c>
      <c r="C32" s="405">
        <v>70000</v>
      </c>
      <c r="D32" s="405">
        <v>3504509</v>
      </c>
      <c r="E32" s="412" t="s">
        <v>10</v>
      </c>
      <c r="F32" s="405">
        <v>0</v>
      </c>
      <c r="G32" s="405">
        <v>0</v>
      </c>
    </row>
    <row r="33" spans="1:7" x14ac:dyDescent="0.3">
      <c r="A33" s="404">
        <v>31</v>
      </c>
      <c r="B33" s="404" t="s">
        <v>243</v>
      </c>
      <c r="C33" s="407">
        <v>60953.69</v>
      </c>
      <c r="D33" s="407">
        <v>2071851</v>
      </c>
      <c r="E33" s="410" t="s">
        <v>10</v>
      </c>
      <c r="F33" s="407">
        <v>0</v>
      </c>
      <c r="G33" s="407">
        <v>0</v>
      </c>
    </row>
    <row r="34" spans="1:7" x14ac:dyDescent="0.3">
      <c r="A34" s="404">
        <v>32</v>
      </c>
      <c r="B34" s="409" t="s">
        <v>244</v>
      </c>
      <c r="C34" s="407">
        <v>25000</v>
      </c>
      <c r="D34" s="407">
        <v>6076095</v>
      </c>
      <c r="E34" s="410" t="s">
        <v>24</v>
      </c>
      <c r="F34" s="407">
        <v>0</v>
      </c>
      <c r="G34" s="407">
        <v>0</v>
      </c>
    </row>
    <row r="35" spans="1:7" x14ac:dyDescent="0.3">
      <c r="A35" s="404">
        <v>33</v>
      </c>
      <c r="B35" s="404" t="s">
        <v>245</v>
      </c>
      <c r="C35" s="407">
        <v>10868.19</v>
      </c>
      <c r="D35" s="407">
        <v>13600000</v>
      </c>
      <c r="F35" s="407">
        <v>0</v>
      </c>
      <c r="G35" s="407">
        <v>35125</v>
      </c>
    </row>
    <row r="36" spans="1:7" x14ac:dyDescent="0.3">
      <c r="A36" s="404">
        <v>34</v>
      </c>
      <c r="B36" s="409" t="s">
        <v>246</v>
      </c>
      <c r="C36" s="407">
        <v>1500000</v>
      </c>
      <c r="D36" s="407">
        <v>25053922</v>
      </c>
      <c r="E36" s="410" t="s">
        <v>24</v>
      </c>
      <c r="F36" s="407">
        <v>0</v>
      </c>
      <c r="G36" s="407">
        <v>1000000</v>
      </c>
    </row>
    <row r="37" spans="1:7" x14ac:dyDescent="0.3">
      <c r="A37" s="404">
        <v>35</v>
      </c>
      <c r="B37" s="404" t="s">
        <v>247</v>
      </c>
      <c r="C37" s="407">
        <v>735000</v>
      </c>
      <c r="D37" s="407">
        <v>25728182</v>
      </c>
      <c r="E37" s="410" t="s">
        <v>10</v>
      </c>
      <c r="F37" s="407">
        <v>0</v>
      </c>
      <c r="G37" s="407">
        <v>0</v>
      </c>
    </row>
    <row r="38" spans="1:7" x14ac:dyDescent="0.3">
      <c r="A38" s="404">
        <v>36</v>
      </c>
      <c r="B38" s="409" t="s">
        <v>248</v>
      </c>
      <c r="C38" s="407">
        <v>218933.98</v>
      </c>
      <c r="D38" s="407">
        <v>2777523</v>
      </c>
      <c r="E38" s="410" t="s">
        <v>24</v>
      </c>
      <c r="F38" s="407">
        <v>0</v>
      </c>
      <c r="G38" s="407">
        <v>0</v>
      </c>
    </row>
    <row r="39" spans="1:7" x14ac:dyDescent="0.3">
      <c r="A39" s="404">
        <v>37</v>
      </c>
      <c r="B39" s="404" t="s">
        <v>249</v>
      </c>
      <c r="C39" s="407">
        <v>0</v>
      </c>
      <c r="D39" s="407">
        <v>-2500000</v>
      </c>
      <c r="E39" s="410" t="s">
        <v>24</v>
      </c>
      <c r="F39" s="407">
        <v>2500000</v>
      </c>
      <c r="G39" s="407">
        <v>2520000</v>
      </c>
    </row>
    <row r="40" spans="1:7" x14ac:dyDescent="0.3">
      <c r="A40" s="404">
        <v>38</v>
      </c>
      <c r="B40" s="409" t="s">
        <v>250</v>
      </c>
      <c r="C40" s="407">
        <v>6113768</v>
      </c>
      <c r="D40" s="407">
        <v>5546660</v>
      </c>
      <c r="E40" s="410" t="s">
        <v>10</v>
      </c>
      <c r="F40" s="407">
        <v>0</v>
      </c>
      <c r="G40" s="407">
        <v>0</v>
      </c>
    </row>
    <row r="41" spans="1:7" x14ac:dyDescent="0.3">
      <c r="A41" s="404">
        <v>39</v>
      </c>
      <c r="B41" s="404" t="s">
        <v>256</v>
      </c>
      <c r="C41" s="407">
        <v>200000</v>
      </c>
      <c r="D41" s="407">
        <v>1261197</v>
      </c>
      <c r="F41" s="407">
        <v>0</v>
      </c>
      <c r="G41" s="407">
        <v>40000</v>
      </c>
    </row>
    <row r="42" spans="1:7" x14ac:dyDescent="0.3">
      <c r="A42" s="404">
        <v>40</v>
      </c>
      <c r="B42" s="409" t="s">
        <v>251</v>
      </c>
      <c r="C42" s="407">
        <v>1920110</v>
      </c>
      <c r="D42" s="407">
        <v>3696954</v>
      </c>
      <c r="E42" s="410" t="s">
        <v>10</v>
      </c>
      <c r="F42" s="407">
        <v>0</v>
      </c>
      <c r="G42" s="407">
        <v>0</v>
      </c>
    </row>
    <row r="43" spans="1:7" x14ac:dyDescent="0.3">
      <c r="A43" s="404">
        <v>41</v>
      </c>
      <c r="B43" s="404" t="s">
        <v>252</v>
      </c>
      <c r="C43" s="407">
        <v>0</v>
      </c>
      <c r="D43" s="407">
        <v>4979266</v>
      </c>
      <c r="E43" s="410" t="s">
        <v>10</v>
      </c>
      <c r="F43" s="407">
        <v>0</v>
      </c>
      <c r="G43" s="407">
        <v>0</v>
      </c>
    </row>
    <row r="44" spans="1:7" x14ac:dyDescent="0.3">
      <c r="A44" s="404">
        <v>42</v>
      </c>
      <c r="B44" s="409" t="s">
        <v>253</v>
      </c>
      <c r="C44" s="407">
        <v>0</v>
      </c>
      <c r="D44" s="407">
        <v>5713344</v>
      </c>
      <c r="E44" s="410" t="s">
        <v>10</v>
      </c>
      <c r="F44" s="407">
        <v>0</v>
      </c>
      <c r="G44" s="407">
        <v>0</v>
      </c>
    </row>
    <row r="45" spans="1:7" x14ac:dyDescent="0.3">
      <c r="A45" s="404">
        <v>43</v>
      </c>
      <c r="B45" s="404" t="s">
        <v>254</v>
      </c>
      <c r="C45" s="407">
        <v>950000</v>
      </c>
      <c r="D45" s="407">
        <v>24410000</v>
      </c>
      <c r="E45" s="410" t="s">
        <v>10</v>
      </c>
      <c r="F45" s="407">
        <v>0</v>
      </c>
      <c r="G45" s="407">
        <v>0</v>
      </c>
    </row>
    <row r="46" spans="1:7" x14ac:dyDescent="0.3">
      <c r="A46" s="404">
        <v>44</v>
      </c>
      <c r="B46" s="409" t="s">
        <v>255</v>
      </c>
      <c r="C46" s="407">
        <v>859498</v>
      </c>
      <c r="D46" s="407">
        <v>4663184</v>
      </c>
      <c r="E46" s="410" t="s">
        <v>24</v>
      </c>
      <c r="F46" s="407">
        <v>587376</v>
      </c>
      <c r="G46" s="407">
        <v>1901907</v>
      </c>
    </row>
    <row r="47" spans="1:7" x14ac:dyDescent="0.3">
      <c r="A47" s="404">
        <v>45</v>
      </c>
      <c r="B47" s="404" t="s">
        <v>363</v>
      </c>
      <c r="C47" s="407">
        <v>730518</v>
      </c>
      <c r="D47" s="407">
        <v>6261611</v>
      </c>
      <c r="E47" s="410" t="s">
        <v>10</v>
      </c>
      <c r="F47" s="407">
        <v>0</v>
      </c>
      <c r="G47" s="407">
        <v>0</v>
      </c>
    </row>
    <row r="48" spans="1:7" x14ac:dyDescent="0.3">
      <c r="A48" s="404">
        <v>46</v>
      </c>
      <c r="B48" s="409" t="s">
        <v>257</v>
      </c>
      <c r="C48" s="407">
        <v>797500</v>
      </c>
      <c r="D48" s="407">
        <v>9506363</v>
      </c>
      <c r="E48" s="410" t="s">
        <v>10</v>
      </c>
      <c r="F48" s="407">
        <v>0</v>
      </c>
      <c r="G48" s="407">
        <v>0</v>
      </c>
    </row>
    <row r="49" spans="1:7" x14ac:dyDescent="0.3">
      <c r="A49" s="404">
        <v>47</v>
      </c>
      <c r="B49" s="404" t="s">
        <v>364</v>
      </c>
      <c r="C49" s="407">
        <v>8836350.2599999998</v>
      </c>
      <c r="D49" s="407">
        <v>10602364</v>
      </c>
      <c r="E49" s="410" t="s">
        <v>24</v>
      </c>
      <c r="F49" s="407">
        <v>0</v>
      </c>
      <c r="G49" s="407">
        <v>0</v>
      </c>
    </row>
    <row r="50" spans="1:7" x14ac:dyDescent="0.3">
      <c r="A50" s="404">
        <v>48</v>
      </c>
      <c r="B50" s="409" t="s">
        <v>258</v>
      </c>
      <c r="C50" s="407">
        <v>88176</v>
      </c>
      <c r="D50" s="407">
        <v>1113842</v>
      </c>
      <c r="E50" s="410" t="s">
        <v>10</v>
      </c>
      <c r="F50" s="407">
        <v>0</v>
      </c>
      <c r="G50" s="407">
        <v>0</v>
      </c>
    </row>
    <row r="51" spans="1:7" x14ac:dyDescent="0.3">
      <c r="A51" s="404">
        <v>49</v>
      </c>
      <c r="B51" s="404" t="s">
        <v>259</v>
      </c>
      <c r="C51" s="407">
        <v>1185800</v>
      </c>
      <c r="D51" s="407">
        <v>25660000</v>
      </c>
      <c r="E51" s="410" t="s">
        <v>9</v>
      </c>
      <c r="F51" s="407">
        <v>0</v>
      </c>
      <c r="G51" s="407">
        <v>0</v>
      </c>
    </row>
    <row r="52" spans="1:7" x14ac:dyDescent="0.3">
      <c r="A52" s="404">
        <v>50</v>
      </c>
      <c r="B52" s="409" t="s">
        <v>260</v>
      </c>
      <c r="C52" s="407">
        <v>122250</v>
      </c>
      <c r="D52" s="407">
        <v>3661555</v>
      </c>
      <c r="E52" s="410" t="s">
        <v>24</v>
      </c>
      <c r="F52" s="407">
        <v>0</v>
      </c>
      <c r="G52" s="407">
        <v>0</v>
      </c>
    </row>
    <row r="53" spans="1:7" x14ac:dyDescent="0.3">
      <c r="A53" s="404">
        <v>51</v>
      </c>
      <c r="B53" s="404" t="s">
        <v>261</v>
      </c>
      <c r="C53" s="407">
        <v>581936</v>
      </c>
      <c r="D53" s="407">
        <v>34688000</v>
      </c>
      <c r="E53" s="410" t="s">
        <v>10</v>
      </c>
      <c r="F53" s="407">
        <v>0</v>
      </c>
      <c r="G53" s="407">
        <v>0</v>
      </c>
    </row>
    <row r="54" spans="1:7" x14ac:dyDescent="0.3">
      <c r="A54" s="404">
        <v>52</v>
      </c>
      <c r="B54" s="409" t="s">
        <v>262</v>
      </c>
      <c r="C54" s="407">
        <v>400000</v>
      </c>
      <c r="D54" s="407">
        <v>15227357</v>
      </c>
      <c r="E54" s="410" t="s">
        <v>24</v>
      </c>
      <c r="F54" s="407">
        <v>0</v>
      </c>
      <c r="G54" s="407">
        <v>0</v>
      </c>
    </row>
    <row r="55" spans="1:7" x14ac:dyDescent="0.3">
      <c r="A55" s="404">
        <v>53</v>
      </c>
      <c r="B55" s="404" t="s">
        <v>263</v>
      </c>
      <c r="C55" s="407">
        <v>0</v>
      </c>
      <c r="D55" s="407">
        <v>2055845</v>
      </c>
      <c r="E55" s="410" t="s">
        <v>24</v>
      </c>
      <c r="F55" s="407">
        <v>0</v>
      </c>
      <c r="G55" s="407">
        <v>0</v>
      </c>
    </row>
    <row r="56" spans="1:7" x14ac:dyDescent="0.3">
      <c r="A56" s="404">
        <v>54</v>
      </c>
      <c r="B56" s="409" t="s">
        <v>365</v>
      </c>
      <c r="C56" s="407">
        <v>1593000</v>
      </c>
      <c r="D56" s="407">
        <v>27601660</v>
      </c>
      <c r="E56" s="410" t="s">
        <v>10</v>
      </c>
      <c r="F56" s="407">
        <v>0</v>
      </c>
      <c r="G56" s="407">
        <v>818000</v>
      </c>
    </row>
    <row r="57" spans="1:7" x14ac:dyDescent="0.3">
      <c r="A57" s="404">
        <v>55</v>
      </c>
      <c r="B57" s="404" t="s">
        <v>264</v>
      </c>
      <c r="C57" s="407">
        <v>346244</v>
      </c>
      <c r="D57" s="407">
        <v>2254540</v>
      </c>
      <c r="E57" s="410" t="s">
        <v>24</v>
      </c>
      <c r="F57" s="407">
        <v>406862</v>
      </c>
      <c r="G57" s="407">
        <v>197780</v>
      </c>
    </row>
    <row r="58" spans="1:7" x14ac:dyDescent="0.3">
      <c r="A58" s="404">
        <v>56</v>
      </c>
      <c r="B58" s="409" t="s">
        <v>265</v>
      </c>
      <c r="C58" s="407">
        <v>106000</v>
      </c>
      <c r="D58" s="407">
        <v>6665234</v>
      </c>
      <c r="E58" s="410" t="s">
        <v>24</v>
      </c>
      <c r="F58" s="407">
        <v>0</v>
      </c>
      <c r="G58" s="407">
        <v>0</v>
      </c>
    </row>
    <row r="59" spans="1:7" x14ac:dyDescent="0.3">
      <c r="A59" s="404">
        <v>57</v>
      </c>
      <c r="B59" s="404" t="s">
        <v>266</v>
      </c>
      <c r="C59" s="407">
        <v>1000000</v>
      </c>
      <c r="D59" s="407">
        <v>62816389</v>
      </c>
      <c r="E59" s="410" t="s">
        <v>10</v>
      </c>
      <c r="F59" s="407">
        <v>0</v>
      </c>
      <c r="G59" s="407">
        <v>0</v>
      </c>
    </row>
    <row r="60" spans="1:7" x14ac:dyDescent="0.3">
      <c r="A60" s="404">
        <v>58</v>
      </c>
      <c r="B60" s="409" t="s">
        <v>267</v>
      </c>
      <c r="C60" s="407">
        <v>0</v>
      </c>
      <c r="D60" s="407">
        <v>4696375</v>
      </c>
      <c r="F60" s="407">
        <v>0</v>
      </c>
      <c r="G60" s="407">
        <v>0</v>
      </c>
    </row>
    <row r="61" spans="1:7" x14ac:dyDescent="0.3">
      <c r="A61" s="404">
        <v>501</v>
      </c>
      <c r="B61" s="409" t="s">
        <v>1985</v>
      </c>
      <c r="C61" s="407">
        <v>0</v>
      </c>
      <c r="D61" s="407">
        <v>6674075</v>
      </c>
      <c r="F61" s="407">
        <v>0</v>
      </c>
      <c r="G61" s="407">
        <v>0</v>
      </c>
    </row>
    <row r="62" spans="1:7" x14ac:dyDescent="0.3">
      <c r="A62" s="404">
        <v>59</v>
      </c>
      <c r="B62" s="404" t="s">
        <v>1525</v>
      </c>
      <c r="C62" s="407">
        <v>19229777</v>
      </c>
      <c r="D62" s="407">
        <v>23590577</v>
      </c>
      <c r="E62" s="410" t="s">
        <v>24</v>
      </c>
      <c r="F62" s="407">
        <v>0</v>
      </c>
      <c r="G62" s="407">
        <v>0</v>
      </c>
    </row>
    <row r="63" spans="1:7" x14ac:dyDescent="0.3">
      <c r="A63" s="404">
        <v>59</v>
      </c>
      <c r="B63" s="404" t="s">
        <v>1986</v>
      </c>
      <c r="C63" s="407">
        <v>26250</v>
      </c>
      <c r="D63" s="407">
        <v>169666</v>
      </c>
      <c r="E63" s="410" t="s">
        <v>24</v>
      </c>
      <c r="F63" s="407">
        <v>0</v>
      </c>
      <c r="G63" s="407">
        <v>0</v>
      </c>
    </row>
    <row r="64" spans="1:7" x14ac:dyDescent="0.3">
      <c r="A64" s="404">
        <v>60</v>
      </c>
      <c r="B64" s="409" t="s">
        <v>268</v>
      </c>
      <c r="C64" s="407">
        <v>18000000</v>
      </c>
      <c r="D64" s="407">
        <v>10554268</v>
      </c>
      <c r="F64" s="407">
        <v>0</v>
      </c>
      <c r="G64" s="407">
        <v>0</v>
      </c>
    </row>
    <row r="65" spans="1:9" x14ac:dyDescent="0.3">
      <c r="A65" s="404">
        <v>61</v>
      </c>
      <c r="B65" s="404" t="s">
        <v>269</v>
      </c>
      <c r="C65" s="407">
        <v>160000</v>
      </c>
      <c r="D65" s="407">
        <v>5216391</v>
      </c>
      <c r="E65" s="410" t="s">
        <v>10</v>
      </c>
      <c r="F65" s="407">
        <v>0</v>
      </c>
      <c r="G65" s="407">
        <v>0</v>
      </c>
    </row>
    <row r="66" spans="1:9" x14ac:dyDescent="0.3">
      <c r="A66" s="404">
        <v>62</v>
      </c>
      <c r="B66" s="409" t="s">
        <v>270</v>
      </c>
      <c r="C66" s="407">
        <v>2000000</v>
      </c>
      <c r="D66" s="407">
        <v>1900000</v>
      </c>
      <c r="E66" s="410" t="s">
        <v>24</v>
      </c>
      <c r="F66" s="591">
        <v>9458464.5999999996</v>
      </c>
      <c r="G66" s="591">
        <v>1045864.6</v>
      </c>
      <c r="H66" s="408"/>
      <c r="I66" s="408"/>
    </row>
    <row r="67" spans="1:9" x14ac:dyDescent="0.3">
      <c r="A67" s="404">
        <v>63</v>
      </c>
      <c r="B67" s="404" t="s">
        <v>271</v>
      </c>
      <c r="C67" s="407">
        <v>0</v>
      </c>
      <c r="D67" s="407">
        <v>1171530</v>
      </c>
      <c r="F67" s="407">
        <v>0</v>
      </c>
      <c r="G67" s="407">
        <v>0</v>
      </c>
    </row>
    <row r="68" spans="1:9" x14ac:dyDescent="0.3">
      <c r="A68" s="404">
        <v>63</v>
      </c>
      <c r="B68" s="404" t="s">
        <v>1987</v>
      </c>
      <c r="C68" s="407">
        <v>6185</v>
      </c>
      <c r="D68" s="407">
        <v>0</v>
      </c>
      <c r="F68" s="407">
        <v>0</v>
      </c>
      <c r="G68" s="407">
        <v>0</v>
      </c>
    </row>
    <row r="69" spans="1:9" x14ac:dyDescent="0.3">
      <c r="A69" s="404">
        <v>64</v>
      </c>
      <c r="B69" s="409" t="s">
        <v>272</v>
      </c>
      <c r="C69" s="407">
        <v>6113000</v>
      </c>
      <c r="D69" s="407">
        <v>12566843.5</v>
      </c>
      <c r="F69" s="407">
        <v>0</v>
      </c>
      <c r="G69" s="407">
        <v>0</v>
      </c>
    </row>
    <row r="70" spans="1:9" x14ac:dyDescent="0.3">
      <c r="A70" s="404">
        <v>65</v>
      </c>
      <c r="B70" s="404" t="s">
        <v>366</v>
      </c>
      <c r="C70" s="407">
        <v>0</v>
      </c>
      <c r="D70" s="407">
        <v>0</v>
      </c>
      <c r="F70" s="407">
        <v>0</v>
      </c>
      <c r="G70" s="407">
        <v>0</v>
      </c>
    </row>
    <row r="71" spans="1:9" x14ac:dyDescent="0.3">
      <c r="A71" s="404">
        <v>66</v>
      </c>
      <c r="B71" s="409" t="s">
        <v>273</v>
      </c>
      <c r="C71" s="407">
        <v>174618.5</v>
      </c>
      <c r="D71" s="407">
        <v>2745617</v>
      </c>
      <c r="E71" s="410" t="s">
        <v>24</v>
      </c>
      <c r="F71" s="407">
        <v>0</v>
      </c>
      <c r="G71" s="407">
        <v>174618.5</v>
      </c>
    </row>
    <row r="72" spans="1:9" x14ac:dyDescent="0.3">
      <c r="A72" s="404">
        <v>67</v>
      </c>
      <c r="B72" s="404" t="s">
        <v>274</v>
      </c>
      <c r="C72" s="407">
        <v>5725136</v>
      </c>
      <c r="D72" s="407">
        <v>5385985</v>
      </c>
      <c r="E72" s="410" t="s">
        <v>10</v>
      </c>
      <c r="F72" s="407">
        <v>0</v>
      </c>
      <c r="G72" s="407">
        <v>0</v>
      </c>
    </row>
    <row r="73" spans="1:9" x14ac:dyDescent="0.3">
      <c r="A73" s="404">
        <v>68</v>
      </c>
      <c r="B73" s="409" t="s">
        <v>275</v>
      </c>
      <c r="C73" s="407">
        <v>65197</v>
      </c>
      <c r="D73" s="407">
        <v>2563377</v>
      </c>
      <c r="E73" s="410" t="s">
        <v>10</v>
      </c>
      <c r="F73" s="407">
        <v>0</v>
      </c>
      <c r="G73" s="407">
        <v>0</v>
      </c>
    </row>
    <row r="74" spans="1:9" x14ac:dyDescent="0.3">
      <c r="A74" s="404">
        <v>69</v>
      </c>
      <c r="B74" s="409" t="s">
        <v>276</v>
      </c>
      <c r="C74" s="407">
        <v>5047013.9400000004</v>
      </c>
      <c r="D74" s="407">
        <v>9988573</v>
      </c>
      <c r="E74" s="410" t="s">
        <v>24</v>
      </c>
      <c r="F74" s="407">
        <v>0</v>
      </c>
      <c r="G74" s="407">
        <v>0</v>
      </c>
    </row>
    <row r="75" spans="1:9" x14ac:dyDescent="0.3">
      <c r="A75" s="404">
        <v>70</v>
      </c>
      <c r="B75" s="409" t="s">
        <v>277</v>
      </c>
      <c r="C75" s="407">
        <v>0</v>
      </c>
      <c r="D75" s="407">
        <v>4874514</v>
      </c>
      <c r="E75" s="410" t="s">
        <v>24</v>
      </c>
      <c r="F75" s="407">
        <v>150000</v>
      </c>
      <c r="G75" s="407">
        <v>0</v>
      </c>
    </row>
    <row r="76" spans="1:9" x14ac:dyDescent="0.3">
      <c r="A76" s="404">
        <v>71</v>
      </c>
      <c r="B76" s="404" t="s">
        <v>278</v>
      </c>
      <c r="C76" s="407">
        <v>2786653.8</v>
      </c>
      <c r="D76" s="407">
        <v>5225067</v>
      </c>
      <c r="E76" s="410" t="s">
        <v>10</v>
      </c>
      <c r="F76" s="407">
        <v>0</v>
      </c>
      <c r="G76" s="407">
        <v>0</v>
      </c>
    </row>
    <row r="77" spans="1:9" x14ac:dyDescent="0.3">
      <c r="A77" s="404">
        <v>72</v>
      </c>
      <c r="B77" s="409" t="s">
        <v>367</v>
      </c>
      <c r="C77" s="407">
        <v>370000</v>
      </c>
      <c r="D77" s="407">
        <v>4506087</v>
      </c>
      <c r="E77" s="410" t="s">
        <v>24</v>
      </c>
      <c r="F77" s="407">
        <v>639120</v>
      </c>
      <c r="G77" s="407">
        <v>700000</v>
      </c>
    </row>
    <row r="78" spans="1:9" x14ac:dyDescent="0.3">
      <c r="A78" s="404">
        <v>72</v>
      </c>
      <c r="B78" s="409" t="s">
        <v>2422</v>
      </c>
      <c r="C78" s="407">
        <v>0</v>
      </c>
      <c r="D78" s="407">
        <v>2098501</v>
      </c>
      <c r="E78" s="410" t="s">
        <v>24</v>
      </c>
      <c r="F78" s="407">
        <v>0</v>
      </c>
      <c r="G78" s="407">
        <v>0</v>
      </c>
    </row>
    <row r="79" spans="1:9" x14ac:dyDescent="0.3">
      <c r="A79" s="404">
        <v>73</v>
      </c>
      <c r="B79" s="404" t="s">
        <v>2421</v>
      </c>
      <c r="C79" s="407">
        <v>63000</v>
      </c>
      <c r="D79" s="407">
        <v>5126022</v>
      </c>
      <c r="F79" s="407">
        <v>0</v>
      </c>
      <c r="G79" s="407">
        <v>0</v>
      </c>
    </row>
    <row r="80" spans="1:9" x14ac:dyDescent="0.3">
      <c r="A80" s="404">
        <v>74</v>
      </c>
      <c r="B80" s="409" t="s">
        <v>279</v>
      </c>
      <c r="C80" s="407">
        <v>1027928.41</v>
      </c>
      <c r="D80" s="407">
        <v>6000000</v>
      </c>
      <c r="E80" s="410" t="s">
        <v>24</v>
      </c>
      <c r="F80" s="407">
        <v>0</v>
      </c>
      <c r="G80" s="407">
        <v>0</v>
      </c>
    </row>
    <row r="81" spans="1:7" x14ac:dyDescent="0.3">
      <c r="A81" s="404">
        <v>75</v>
      </c>
      <c r="B81" s="404" t="s">
        <v>280</v>
      </c>
      <c r="C81" s="407">
        <v>64500</v>
      </c>
      <c r="D81" s="407">
        <v>2715767</v>
      </c>
      <c r="E81" s="410" t="s">
        <v>10</v>
      </c>
      <c r="F81" s="407">
        <v>586069</v>
      </c>
      <c r="G81" s="407">
        <v>586069</v>
      </c>
    </row>
    <row r="82" spans="1:7" x14ac:dyDescent="0.3">
      <c r="A82" s="404">
        <v>76</v>
      </c>
      <c r="B82" s="409" t="s">
        <v>369</v>
      </c>
      <c r="C82" s="407">
        <v>30300</v>
      </c>
      <c r="D82" s="407">
        <v>13397203</v>
      </c>
      <c r="E82" s="410" t="s">
        <v>10</v>
      </c>
      <c r="F82" s="407">
        <v>0</v>
      </c>
      <c r="G82" s="407">
        <v>0</v>
      </c>
    </row>
    <row r="83" spans="1:7" x14ac:dyDescent="0.3">
      <c r="A83" s="404">
        <v>77</v>
      </c>
      <c r="B83" s="404" t="s">
        <v>370</v>
      </c>
      <c r="C83" s="407">
        <v>1100000</v>
      </c>
      <c r="D83" s="407">
        <v>24187613</v>
      </c>
      <c r="E83" s="410" t="s">
        <v>10</v>
      </c>
      <c r="F83" s="407">
        <v>0</v>
      </c>
      <c r="G83" s="407">
        <v>0</v>
      </c>
    </row>
    <row r="84" spans="1:7" x14ac:dyDescent="0.3">
      <c r="A84" s="404">
        <v>78</v>
      </c>
      <c r="B84" s="409" t="s">
        <v>281</v>
      </c>
      <c r="C84" s="407">
        <v>65000</v>
      </c>
      <c r="D84" s="407">
        <v>6861900</v>
      </c>
      <c r="E84" s="410" t="s">
        <v>10</v>
      </c>
      <c r="F84" s="407">
        <v>0</v>
      </c>
      <c r="G84" s="407">
        <v>200000</v>
      </c>
    </row>
    <row r="85" spans="1:7" x14ac:dyDescent="0.3">
      <c r="A85" s="404">
        <v>79</v>
      </c>
      <c r="B85" s="404" t="s">
        <v>282</v>
      </c>
      <c r="C85" s="407">
        <v>4116115</v>
      </c>
      <c r="D85" s="407">
        <v>4208002</v>
      </c>
      <c r="E85" s="410" t="s">
        <v>24</v>
      </c>
      <c r="F85" s="407">
        <v>0</v>
      </c>
      <c r="G85" s="407">
        <v>0</v>
      </c>
    </row>
    <row r="86" spans="1:7" x14ac:dyDescent="0.3">
      <c r="A86" s="404">
        <v>80</v>
      </c>
      <c r="B86" s="409" t="s">
        <v>283</v>
      </c>
      <c r="C86" s="407">
        <v>1100000</v>
      </c>
      <c r="D86" s="407">
        <v>16960925</v>
      </c>
      <c r="E86" s="410" t="s">
        <v>10</v>
      </c>
      <c r="F86" s="407">
        <v>0</v>
      </c>
      <c r="G86" s="407">
        <v>0</v>
      </c>
    </row>
    <row r="87" spans="1:7" x14ac:dyDescent="0.3">
      <c r="A87" s="404">
        <v>81</v>
      </c>
      <c r="B87" s="404" t="s">
        <v>284</v>
      </c>
      <c r="C87" s="407">
        <v>45000</v>
      </c>
      <c r="D87" s="407">
        <v>7492795</v>
      </c>
      <c r="E87" s="410" t="s">
        <v>10</v>
      </c>
      <c r="F87" s="407">
        <v>0</v>
      </c>
      <c r="G87" s="407">
        <v>0</v>
      </c>
    </row>
    <row r="88" spans="1:7" x14ac:dyDescent="0.3">
      <c r="A88" s="404">
        <v>82</v>
      </c>
      <c r="B88" s="409" t="s">
        <v>285</v>
      </c>
      <c r="C88" s="407">
        <v>21694</v>
      </c>
      <c r="D88" s="407">
        <v>3133646</v>
      </c>
      <c r="E88" s="410" t="s">
        <v>10</v>
      </c>
      <c r="F88" s="407">
        <v>0</v>
      </c>
      <c r="G88" s="407">
        <v>0</v>
      </c>
    </row>
    <row r="89" spans="1:7" x14ac:dyDescent="0.3">
      <c r="A89" s="404">
        <v>83</v>
      </c>
      <c r="B89" s="404" t="s">
        <v>286</v>
      </c>
      <c r="C89" s="407">
        <v>48500000</v>
      </c>
      <c r="D89" s="407">
        <v>31725000</v>
      </c>
      <c r="E89" s="410" t="s">
        <v>24</v>
      </c>
      <c r="F89" s="407">
        <v>0</v>
      </c>
      <c r="G89" s="407">
        <v>48500000</v>
      </c>
    </row>
    <row r="90" spans="1:7" x14ac:dyDescent="0.3">
      <c r="A90" s="404">
        <v>84</v>
      </c>
      <c r="B90" s="409" t="s">
        <v>287</v>
      </c>
      <c r="C90" s="407">
        <v>310684.78999999998</v>
      </c>
      <c r="D90" s="407">
        <v>27000000</v>
      </c>
      <c r="E90" s="410" t="s">
        <v>10</v>
      </c>
      <c r="F90" s="407">
        <v>0</v>
      </c>
      <c r="G90" s="407">
        <v>0</v>
      </c>
    </row>
    <row r="91" spans="1:7" x14ac:dyDescent="0.3">
      <c r="A91" s="404">
        <v>84</v>
      </c>
      <c r="B91" s="409" t="s">
        <v>1989</v>
      </c>
      <c r="C91" s="407">
        <v>885386.32</v>
      </c>
      <c r="D91" s="407">
        <v>0</v>
      </c>
      <c r="F91" s="407">
        <v>0</v>
      </c>
      <c r="G91" s="407">
        <v>381452.4</v>
      </c>
    </row>
    <row r="92" spans="1:7" x14ac:dyDescent="0.3">
      <c r="A92" s="404">
        <v>85</v>
      </c>
      <c r="B92" s="404" t="s">
        <v>288</v>
      </c>
      <c r="C92" s="407">
        <v>800000</v>
      </c>
      <c r="D92" s="407">
        <v>13082268</v>
      </c>
      <c r="E92" s="410" t="s">
        <v>10</v>
      </c>
      <c r="F92" s="407">
        <v>200000</v>
      </c>
      <c r="G92" s="407">
        <v>1060000</v>
      </c>
    </row>
    <row r="93" spans="1:7" x14ac:dyDescent="0.3">
      <c r="A93" s="404">
        <v>86</v>
      </c>
      <c r="B93" s="404" t="s">
        <v>289</v>
      </c>
      <c r="C93" s="407">
        <v>461655</v>
      </c>
      <c r="D93" s="407">
        <v>10295661</v>
      </c>
      <c r="F93" s="407">
        <v>367795</v>
      </c>
      <c r="G93" s="407">
        <v>461655</v>
      </c>
    </row>
    <row r="94" spans="1:7" x14ac:dyDescent="0.3">
      <c r="A94" s="404">
        <v>87</v>
      </c>
      <c r="B94" s="409" t="s">
        <v>290</v>
      </c>
      <c r="C94" s="407">
        <v>1986.08</v>
      </c>
      <c r="D94" s="407">
        <v>1589095</v>
      </c>
      <c r="E94" s="410" t="s">
        <v>10</v>
      </c>
      <c r="F94" s="407">
        <v>0</v>
      </c>
      <c r="G94" s="407">
        <v>0</v>
      </c>
    </row>
    <row r="95" spans="1:7" x14ac:dyDescent="0.3">
      <c r="A95" s="404">
        <v>88</v>
      </c>
      <c r="B95" s="404" t="s">
        <v>291</v>
      </c>
      <c r="C95" s="407">
        <v>220000</v>
      </c>
      <c r="D95" s="407">
        <v>11585274</v>
      </c>
      <c r="E95" s="410" t="s">
        <v>24</v>
      </c>
      <c r="F95" s="407">
        <v>0</v>
      </c>
      <c r="G95" s="407">
        <v>0</v>
      </c>
    </row>
    <row r="96" spans="1:7" x14ac:dyDescent="0.3">
      <c r="A96" s="404">
        <v>89</v>
      </c>
      <c r="B96" s="404" t="s">
        <v>292</v>
      </c>
      <c r="C96" s="407">
        <v>20000000</v>
      </c>
      <c r="D96" s="407">
        <v>22800000</v>
      </c>
      <c r="E96" s="410" t="s">
        <v>10</v>
      </c>
      <c r="F96" s="407">
        <v>0</v>
      </c>
      <c r="G96" s="407">
        <v>0</v>
      </c>
    </row>
    <row r="97" spans="1:7" x14ac:dyDescent="0.3">
      <c r="A97" s="404">
        <v>90</v>
      </c>
      <c r="B97" s="404" t="s">
        <v>293</v>
      </c>
      <c r="C97" s="407">
        <v>1381354</v>
      </c>
      <c r="D97" s="407">
        <v>28069597</v>
      </c>
      <c r="E97" s="410" t="s">
        <v>24</v>
      </c>
      <c r="F97" s="407">
        <v>0</v>
      </c>
      <c r="G97" s="407">
        <v>1484561</v>
      </c>
    </row>
    <row r="98" spans="1:7" x14ac:dyDescent="0.3">
      <c r="A98" s="404">
        <v>91</v>
      </c>
      <c r="B98" s="404" t="s">
        <v>371</v>
      </c>
      <c r="C98" s="407">
        <v>225000</v>
      </c>
      <c r="D98" s="407">
        <v>9856858</v>
      </c>
      <c r="E98" s="410" t="s">
        <v>10</v>
      </c>
      <c r="F98" s="407">
        <v>0</v>
      </c>
      <c r="G98" s="407">
        <v>0</v>
      </c>
    </row>
    <row r="99" spans="1:7" x14ac:dyDescent="0.3">
      <c r="A99" s="404">
        <v>92</v>
      </c>
      <c r="B99" s="404" t="s">
        <v>372</v>
      </c>
      <c r="C99" s="407">
        <v>110000</v>
      </c>
      <c r="D99" s="407">
        <v>3000000</v>
      </c>
      <c r="E99" s="410" t="s">
        <v>10</v>
      </c>
      <c r="F99" s="407">
        <v>0</v>
      </c>
      <c r="G99" s="407">
        <v>0</v>
      </c>
    </row>
    <row r="100" spans="1:7" x14ac:dyDescent="0.3">
      <c r="A100" s="404">
        <v>93</v>
      </c>
      <c r="B100" s="404" t="s">
        <v>373</v>
      </c>
      <c r="C100" s="407">
        <v>14000000</v>
      </c>
      <c r="D100" s="407">
        <v>15759887</v>
      </c>
      <c r="E100" s="410" t="s">
        <v>543</v>
      </c>
      <c r="F100" s="407">
        <v>6700000</v>
      </c>
      <c r="G100" s="407">
        <v>15200000</v>
      </c>
    </row>
    <row r="101" spans="1:7" x14ac:dyDescent="0.3">
      <c r="A101" s="404">
        <v>94</v>
      </c>
      <c r="B101" s="404" t="s">
        <v>376</v>
      </c>
      <c r="C101" s="407">
        <v>426000</v>
      </c>
      <c r="D101" s="407">
        <v>19258000</v>
      </c>
      <c r="E101" s="410" t="s">
        <v>10</v>
      </c>
      <c r="F101" s="407">
        <v>0</v>
      </c>
      <c r="G101" s="407">
        <v>0</v>
      </c>
    </row>
    <row r="102" spans="1:7" x14ac:dyDescent="0.3">
      <c r="A102" s="404">
        <v>95</v>
      </c>
      <c r="B102" s="404" t="s">
        <v>374</v>
      </c>
      <c r="C102" s="407">
        <v>750000</v>
      </c>
      <c r="D102" s="407">
        <v>15000000</v>
      </c>
      <c r="E102" s="410" t="s">
        <v>10</v>
      </c>
      <c r="F102" s="407">
        <v>0</v>
      </c>
      <c r="G102" s="407">
        <v>0</v>
      </c>
    </row>
    <row r="103" spans="1:7" x14ac:dyDescent="0.3">
      <c r="A103" s="404">
        <v>96</v>
      </c>
      <c r="B103" s="404" t="s">
        <v>375</v>
      </c>
      <c r="C103" s="407">
        <v>20000000</v>
      </c>
      <c r="D103" s="407">
        <v>20005594</v>
      </c>
      <c r="E103" s="410" t="s">
        <v>24</v>
      </c>
      <c r="F103" s="407">
        <v>0</v>
      </c>
      <c r="G103" s="407">
        <v>0</v>
      </c>
    </row>
    <row r="104" spans="1:7" x14ac:dyDescent="0.3">
      <c r="A104" s="404">
        <v>97</v>
      </c>
      <c r="B104" s="404" t="s">
        <v>377</v>
      </c>
      <c r="C104" s="407">
        <v>505000</v>
      </c>
      <c r="D104" s="407">
        <v>15652000</v>
      </c>
      <c r="E104" s="410" t="s">
        <v>10</v>
      </c>
      <c r="F104" s="407">
        <v>0</v>
      </c>
      <c r="G104" s="407">
        <v>0</v>
      </c>
    </row>
    <row r="105" spans="1:7" x14ac:dyDescent="0.3">
      <c r="A105" s="404">
        <v>98</v>
      </c>
      <c r="B105" s="404" t="s">
        <v>378</v>
      </c>
      <c r="C105" s="407">
        <v>67277</v>
      </c>
      <c r="F105" s="407">
        <v>0</v>
      </c>
      <c r="G105" s="407">
        <v>0</v>
      </c>
    </row>
    <row r="106" spans="1:7" x14ac:dyDescent="0.3">
      <c r="A106" s="404">
        <v>99</v>
      </c>
      <c r="B106" s="404" t="s">
        <v>379</v>
      </c>
      <c r="C106" s="407">
        <v>67600.570000000007</v>
      </c>
      <c r="D106" s="407">
        <v>8538018</v>
      </c>
      <c r="E106" s="410" t="s">
        <v>10</v>
      </c>
      <c r="F106" s="407">
        <v>0</v>
      </c>
      <c r="G106" s="407">
        <v>0</v>
      </c>
    </row>
    <row r="107" spans="1:7" x14ac:dyDescent="0.3">
      <c r="A107" s="404">
        <v>100</v>
      </c>
      <c r="B107" s="404" t="s">
        <v>380</v>
      </c>
      <c r="C107" s="407">
        <v>7193857</v>
      </c>
      <c r="D107" s="407">
        <v>2658201</v>
      </c>
      <c r="E107" s="410" t="s">
        <v>10</v>
      </c>
      <c r="F107" s="407">
        <v>0</v>
      </c>
      <c r="G107" s="407">
        <v>0</v>
      </c>
    </row>
    <row r="108" spans="1:7" x14ac:dyDescent="0.3">
      <c r="A108" s="404">
        <v>101</v>
      </c>
      <c r="B108" s="404" t="s">
        <v>381</v>
      </c>
      <c r="C108" s="407">
        <v>27000000</v>
      </c>
      <c r="D108" s="407">
        <v>8069400</v>
      </c>
      <c r="E108" s="410" t="s">
        <v>24</v>
      </c>
      <c r="F108" s="407">
        <v>0</v>
      </c>
      <c r="G108" s="407">
        <v>0</v>
      </c>
    </row>
    <row r="109" spans="1:7" x14ac:dyDescent="0.3">
      <c r="A109" s="404">
        <v>102</v>
      </c>
      <c r="B109" s="404" t="s">
        <v>382</v>
      </c>
      <c r="C109" s="407">
        <v>225000</v>
      </c>
      <c r="D109" s="407">
        <v>3128059</v>
      </c>
      <c r="E109" s="410" t="s">
        <v>10</v>
      </c>
      <c r="F109" s="407">
        <v>0</v>
      </c>
      <c r="G109" s="407">
        <v>0</v>
      </c>
    </row>
    <row r="110" spans="1:7" x14ac:dyDescent="0.3">
      <c r="A110" s="404">
        <v>103</v>
      </c>
      <c r="B110" s="404" t="s">
        <v>383</v>
      </c>
      <c r="C110" s="407">
        <v>1259946</v>
      </c>
      <c r="D110" s="407">
        <v>69730000</v>
      </c>
      <c r="E110" s="410" t="s">
        <v>10</v>
      </c>
      <c r="F110" s="407">
        <v>6000000</v>
      </c>
      <c r="G110" s="407">
        <v>7888803</v>
      </c>
    </row>
    <row r="111" spans="1:7" x14ac:dyDescent="0.3">
      <c r="A111" s="404">
        <v>104</v>
      </c>
      <c r="B111" s="404" t="s">
        <v>384</v>
      </c>
      <c r="C111" s="407">
        <v>650000</v>
      </c>
      <c r="D111" s="407">
        <v>13722000</v>
      </c>
      <c r="E111" s="410" t="s">
        <v>10</v>
      </c>
      <c r="F111" s="407">
        <v>100000</v>
      </c>
      <c r="G111" s="407">
        <v>600000</v>
      </c>
    </row>
    <row r="112" spans="1:7" x14ac:dyDescent="0.3">
      <c r="A112" s="404">
        <v>105</v>
      </c>
      <c r="B112" s="404" t="s">
        <v>385</v>
      </c>
      <c r="C112" s="407">
        <v>500000</v>
      </c>
      <c r="D112" s="407">
        <v>11309944</v>
      </c>
      <c r="F112" s="407">
        <v>0</v>
      </c>
      <c r="G112" s="407">
        <v>0</v>
      </c>
    </row>
    <row r="113" spans="1:7" x14ac:dyDescent="0.3">
      <c r="A113" s="404">
        <v>106</v>
      </c>
      <c r="B113" s="404" t="s">
        <v>386</v>
      </c>
      <c r="C113" s="407">
        <v>108000</v>
      </c>
      <c r="D113" s="407">
        <v>6971610</v>
      </c>
      <c r="E113" s="410" t="s">
        <v>10</v>
      </c>
      <c r="F113" s="407">
        <v>0</v>
      </c>
      <c r="G113" s="407">
        <v>0</v>
      </c>
    </row>
    <row r="114" spans="1:7" x14ac:dyDescent="0.3">
      <c r="A114" s="404">
        <v>107</v>
      </c>
      <c r="B114" s="404" t="s">
        <v>387</v>
      </c>
      <c r="C114" s="407">
        <v>700000</v>
      </c>
      <c r="D114" s="407">
        <v>13268751</v>
      </c>
      <c r="E114" s="410" t="s">
        <v>10</v>
      </c>
      <c r="F114" s="407">
        <v>0</v>
      </c>
      <c r="G114" s="407">
        <v>1000000</v>
      </c>
    </row>
    <row r="115" spans="1:7" x14ac:dyDescent="0.3">
      <c r="A115" s="404">
        <v>108</v>
      </c>
      <c r="B115" s="404" t="s">
        <v>388</v>
      </c>
      <c r="C115" s="407">
        <v>750000</v>
      </c>
      <c r="D115" s="407">
        <v>6486695</v>
      </c>
      <c r="E115" s="410" t="s">
        <v>10</v>
      </c>
      <c r="F115" s="407">
        <v>0</v>
      </c>
      <c r="G115" s="407">
        <v>0</v>
      </c>
    </row>
    <row r="116" spans="1:7" x14ac:dyDescent="0.3">
      <c r="A116" s="404">
        <v>109</v>
      </c>
      <c r="B116" s="404" t="s">
        <v>297</v>
      </c>
      <c r="C116" s="407">
        <v>1000000</v>
      </c>
      <c r="D116" s="407">
        <v>8300000</v>
      </c>
      <c r="E116" s="410" t="s">
        <v>24</v>
      </c>
      <c r="F116" s="407">
        <v>0</v>
      </c>
      <c r="G116" s="407">
        <v>1000000</v>
      </c>
    </row>
    <row r="117" spans="1:7" x14ac:dyDescent="0.3">
      <c r="A117" s="404">
        <v>110</v>
      </c>
      <c r="B117" s="404" t="s">
        <v>298</v>
      </c>
      <c r="C117" s="407">
        <v>98148</v>
      </c>
      <c r="D117" s="407">
        <v>9750710</v>
      </c>
      <c r="E117" s="410" t="s">
        <v>10</v>
      </c>
      <c r="F117" s="407">
        <v>0</v>
      </c>
      <c r="G117" s="407">
        <v>0</v>
      </c>
    </row>
    <row r="118" spans="1:7" x14ac:dyDescent="0.3">
      <c r="A118" s="404">
        <v>111</v>
      </c>
      <c r="B118" s="409" t="s">
        <v>299</v>
      </c>
      <c r="C118" s="407">
        <v>1700000</v>
      </c>
      <c r="D118" s="407">
        <v>2898442</v>
      </c>
      <c r="E118" s="410" t="s">
        <v>10</v>
      </c>
      <c r="F118" s="407">
        <v>0</v>
      </c>
      <c r="G118" s="407">
        <v>0</v>
      </c>
    </row>
    <row r="119" spans="1:7" x14ac:dyDescent="0.3">
      <c r="A119" s="404">
        <v>112</v>
      </c>
      <c r="B119" s="404" t="s">
        <v>389</v>
      </c>
      <c r="C119" s="407">
        <v>8317</v>
      </c>
      <c r="D119" s="407">
        <v>1715100</v>
      </c>
      <c r="E119" s="410" t="s">
        <v>24</v>
      </c>
      <c r="F119" s="407">
        <v>0</v>
      </c>
      <c r="G119" s="407">
        <v>0</v>
      </c>
    </row>
    <row r="120" spans="1:7" x14ac:dyDescent="0.3">
      <c r="A120" s="404">
        <v>113</v>
      </c>
      <c r="B120" s="409" t="s">
        <v>390</v>
      </c>
      <c r="C120" s="407">
        <v>140000</v>
      </c>
      <c r="D120" s="407">
        <v>6646502</v>
      </c>
      <c r="E120" s="410" t="s">
        <v>24</v>
      </c>
      <c r="F120" s="407">
        <v>615000</v>
      </c>
      <c r="G120" s="407">
        <v>915000</v>
      </c>
    </row>
    <row r="121" spans="1:7" x14ac:dyDescent="0.3">
      <c r="A121" s="404">
        <v>114</v>
      </c>
      <c r="B121" s="404" t="s">
        <v>301</v>
      </c>
      <c r="C121" s="407">
        <v>22000</v>
      </c>
      <c r="D121" s="407">
        <v>2668813</v>
      </c>
      <c r="E121" s="410" t="s">
        <v>24</v>
      </c>
      <c r="F121" s="407">
        <v>0</v>
      </c>
      <c r="G121" s="407">
        <v>0</v>
      </c>
    </row>
    <row r="122" spans="1:7" x14ac:dyDescent="0.3">
      <c r="A122" s="404">
        <v>115</v>
      </c>
      <c r="B122" s="409" t="s">
        <v>302</v>
      </c>
      <c r="C122" s="407">
        <v>0</v>
      </c>
      <c r="D122" s="407">
        <v>2751966</v>
      </c>
      <c r="E122" s="410" t="s">
        <v>10</v>
      </c>
      <c r="F122" s="407">
        <v>0</v>
      </c>
      <c r="G122" s="407">
        <v>0</v>
      </c>
    </row>
    <row r="123" spans="1:7" x14ac:dyDescent="0.3">
      <c r="A123" s="404">
        <v>116</v>
      </c>
      <c r="B123" s="404" t="s">
        <v>303</v>
      </c>
      <c r="C123" s="407">
        <v>10000</v>
      </c>
      <c r="D123" s="407">
        <v>5200000</v>
      </c>
      <c r="E123" s="410" t="s">
        <v>24</v>
      </c>
      <c r="F123" s="407">
        <v>0</v>
      </c>
      <c r="G123" s="407">
        <v>0</v>
      </c>
    </row>
    <row r="124" spans="1:7" x14ac:dyDescent="0.3">
      <c r="A124" s="404">
        <v>117</v>
      </c>
      <c r="B124" s="409" t="s">
        <v>304</v>
      </c>
      <c r="C124" s="407">
        <v>600000</v>
      </c>
      <c r="D124" s="407">
        <v>9396307</v>
      </c>
      <c r="E124" s="410" t="s">
        <v>24</v>
      </c>
      <c r="F124" s="407">
        <v>0</v>
      </c>
      <c r="G124" s="407">
        <v>600000</v>
      </c>
    </row>
    <row r="125" spans="1:7" x14ac:dyDescent="0.3">
      <c r="A125" s="404">
        <v>118</v>
      </c>
      <c r="B125" s="404" t="s">
        <v>305</v>
      </c>
      <c r="C125" s="407">
        <v>5175000</v>
      </c>
      <c r="D125" s="407">
        <v>15350654</v>
      </c>
      <c r="E125" s="410" t="s">
        <v>10</v>
      </c>
      <c r="F125" s="407">
        <v>0</v>
      </c>
      <c r="G125" s="407">
        <v>0</v>
      </c>
    </row>
    <row r="126" spans="1:7" x14ac:dyDescent="0.3">
      <c r="A126" s="404">
        <v>119</v>
      </c>
      <c r="B126" s="409" t="s">
        <v>306</v>
      </c>
      <c r="C126" s="407">
        <v>1502975</v>
      </c>
      <c r="D126" s="407">
        <v>5786109</v>
      </c>
      <c r="E126" s="410" t="s">
        <v>24</v>
      </c>
      <c r="F126" s="407">
        <v>0</v>
      </c>
      <c r="G126" s="407">
        <v>0</v>
      </c>
    </row>
    <row r="127" spans="1:7" x14ac:dyDescent="0.3">
      <c r="A127" s="404">
        <v>119</v>
      </c>
      <c r="B127" s="409" t="s">
        <v>1992</v>
      </c>
      <c r="C127" s="407">
        <v>80000</v>
      </c>
      <c r="D127" s="407">
        <v>0</v>
      </c>
      <c r="E127" s="410" t="s">
        <v>10</v>
      </c>
      <c r="F127" s="407">
        <v>0</v>
      </c>
      <c r="G127" s="407">
        <v>0</v>
      </c>
    </row>
    <row r="128" spans="1:7" x14ac:dyDescent="0.3">
      <c r="A128" s="404">
        <v>120</v>
      </c>
      <c r="B128" s="404" t="s">
        <v>307</v>
      </c>
      <c r="C128" s="407">
        <v>512000</v>
      </c>
      <c r="D128" s="407">
        <v>3189000</v>
      </c>
      <c r="E128" s="410" t="s">
        <v>24</v>
      </c>
      <c r="F128" s="407">
        <v>0</v>
      </c>
      <c r="G128" s="407">
        <v>0</v>
      </c>
    </row>
    <row r="129" spans="1:7" x14ac:dyDescent="0.3">
      <c r="A129" s="404">
        <v>121</v>
      </c>
      <c r="B129" s="409" t="s">
        <v>308</v>
      </c>
      <c r="C129" s="407">
        <v>79380</v>
      </c>
      <c r="D129" s="407">
        <v>3050000</v>
      </c>
      <c r="F129" s="407">
        <v>1400000</v>
      </c>
      <c r="G129" s="407">
        <v>861165</v>
      </c>
    </row>
    <row r="130" spans="1:7" x14ac:dyDescent="0.3">
      <c r="A130" s="404">
        <v>122</v>
      </c>
      <c r="B130" s="404" t="s">
        <v>309</v>
      </c>
      <c r="C130" s="407">
        <v>58500</v>
      </c>
      <c r="D130" s="407">
        <v>10244894</v>
      </c>
      <c r="E130" s="410" t="s">
        <v>10</v>
      </c>
      <c r="F130" s="407">
        <v>0</v>
      </c>
      <c r="G130" s="407">
        <v>0</v>
      </c>
    </row>
    <row r="131" spans="1:7" x14ac:dyDescent="0.3">
      <c r="A131" s="404">
        <v>123</v>
      </c>
      <c r="B131" s="409" t="s">
        <v>310</v>
      </c>
      <c r="C131" s="407">
        <v>3500</v>
      </c>
      <c r="D131" s="407">
        <v>645906</v>
      </c>
      <c r="E131" s="410" t="s">
        <v>10</v>
      </c>
      <c r="F131" s="407">
        <v>227000</v>
      </c>
      <c r="G131" s="407">
        <v>253000</v>
      </c>
    </row>
    <row r="132" spans="1:7" x14ac:dyDescent="0.3">
      <c r="A132" s="404">
        <v>124</v>
      </c>
      <c r="B132" s="404" t="s">
        <v>311</v>
      </c>
      <c r="C132" s="407">
        <v>198891.66</v>
      </c>
      <c r="D132" s="407">
        <v>2598909</v>
      </c>
      <c r="E132" s="410" t="s">
        <v>10</v>
      </c>
      <c r="F132" s="407">
        <v>173975</v>
      </c>
      <c r="G132" s="407">
        <v>521925</v>
      </c>
    </row>
    <row r="133" spans="1:7" x14ac:dyDescent="0.3">
      <c r="A133" s="404">
        <v>125</v>
      </c>
      <c r="B133" s="409" t="s">
        <v>312</v>
      </c>
      <c r="C133" s="407">
        <v>0</v>
      </c>
      <c r="D133" s="407">
        <v>2500000</v>
      </c>
      <c r="E133" s="410" t="s">
        <v>10</v>
      </c>
      <c r="F133" s="407">
        <v>0</v>
      </c>
      <c r="G133" s="407">
        <v>0</v>
      </c>
    </row>
    <row r="134" spans="1:7" x14ac:dyDescent="0.3">
      <c r="A134" s="404">
        <v>126</v>
      </c>
      <c r="B134" s="404" t="s">
        <v>313</v>
      </c>
      <c r="C134" s="407">
        <v>215238</v>
      </c>
      <c r="D134" s="407">
        <v>84068</v>
      </c>
      <c r="E134" s="410" t="s">
        <v>24</v>
      </c>
      <c r="F134" s="407">
        <v>0</v>
      </c>
      <c r="G134" s="407">
        <v>0</v>
      </c>
    </row>
    <row r="135" spans="1:7" x14ac:dyDescent="0.3">
      <c r="A135" s="404">
        <v>127</v>
      </c>
      <c r="B135" s="409" t="s">
        <v>314</v>
      </c>
      <c r="C135" s="407">
        <v>57208.2</v>
      </c>
      <c r="D135" s="407">
        <v>2952008</v>
      </c>
      <c r="E135" s="410" t="s">
        <v>10</v>
      </c>
      <c r="F135" s="407">
        <v>0</v>
      </c>
      <c r="G135" s="407">
        <v>0</v>
      </c>
    </row>
    <row r="136" spans="1:7" x14ac:dyDescent="0.3">
      <c r="A136" s="404">
        <v>128</v>
      </c>
      <c r="B136" s="404" t="s">
        <v>315</v>
      </c>
      <c r="C136" s="407">
        <v>500000</v>
      </c>
      <c r="D136" s="407">
        <v>16460519</v>
      </c>
      <c r="E136" s="410" t="s">
        <v>10</v>
      </c>
      <c r="F136" s="407">
        <v>0</v>
      </c>
      <c r="G136" s="407">
        <v>200000</v>
      </c>
    </row>
    <row r="137" spans="1:7" x14ac:dyDescent="0.3">
      <c r="A137" s="404">
        <v>129</v>
      </c>
      <c r="B137" s="409" t="s">
        <v>316</v>
      </c>
      <c r="C137" s="407">
        <v>4740188</v>
      </c>
      <c r="D137" s="407">
        <v>7060613</v>
      </c>
      <c r="E137" s="410" t="s">
        <v>10</v>
      </c>
      <c r="F137" s="407">
        <v>0</v>
      </c>
      <c r="G137" s="407">
        <v>0</v>
      </c>
    </row>
    <row r="138" spans="1:7" x14ac:dyDescent="0.3">
      <c r="A138" s="404">
        <v>130</v>
      </c>
      <c r="B138" s="404" t="s">
        <v>391</v>
      </c>
      <c r="C138" s="407">
        <v>1000000</v>
      </c>
      <c r="D138" s="407">
        <v>26383742</v>
      </c>
      <c r="E138" s="410" t="s">
        <v>24</v>
      </c>
      <c r="F138" s="407">
        <v>0</v>
      </c>
      <c r="G138" s="407">
        <v>0</v>
      </c>
    </row>
    <row r="139" spans="1:7" x14ac:dyDescent="0.3">
      <c r="A139" s="404">
        <v>131</v>
      </c>
      <c r="B139" s="409" t="s">
        <v>318</v>
      </c>
      <c r="C139" s="407">
        <v>400000</v>
      </c>
      <c r="D139" s="407">
        <v>25300000</v>
      </c>
      <c r="E139" s="410" t="s">
        <v>10</v>
      </c>
      <c r="F139" s="407">
        <v>0</v>
      </c>
      <c r="G139" s="407">
        <v>0</v>
      </c>
    </row>
    <row r="140" spans="1:7" x14ac:dyDescent="0.3">
      <c r="A140" s="404">
        <v>132</v>
      </c>
      <c r="B140" s="404" t="s">
        <v>317</v>
      </c>
      <c r="C140" s="407">
        <v>1215643.57</v>
      </c>
      <c r="D140" s="407">
        <v>20084160</v>
      </c>
      <c r="E140" s="410" t="s">
        <v>10</v>
      </c>
      <c r="F140" s="407">
        <v>0</v>
      </c>
      <c r="G140" s="407">
        <v>0</v>
      </c>
    </row>
    <row r="141" spans="1:7" x14ac:dyDescent="0.3">
      <c r="A141" s="404">
        <v>133</v>
      </c>
      <c r="B141" s="409" t="s">
        <v>319</v>
      </c>
      <c r="C141" s="407">
        <v>33000</v>
      </c>
      <c r="D141" s="407">
        <v>-819291</v>
      </c>
      <c r="E141" s="410" t="s">
        <v>24</v>
      </c>
      <c r="F141" s="407">
        <v>481080</v>
      </c>
      <c r="G141" s="407">
        <v>481080</v>
      </c>
    </row>
    <row r="142" spans="1:7" x14ac:dyDescent="0.3">
      <c r="A142" s="404">
        <v>134</v>
      </c>
      <c r="B142" s="404" t="s">
        <v>320</v>
      </c>
      <c r="C142" s="407">
        <v>57336</v>
      </c>
      <c r="D142" s="407">
        <v>5298668</v>
      </c>
      <c r="E142" s="410" t="s">
        <v>10</v>
      </c>
      <c r="F142" s="407">
        <v>0</v>
      </c>
      <c r="G142" s="407">
        <v>0</v>
      </c>
    </row>
    <row r="143" spans="1:7" x14ac:dyDescent="0.3">
      <c r="A143" s="404">
        <v>135</v>
      </c>
      <c r="B143" s="409" t="s">
        <v>321</v>
      </c>
      <c r="C143" s="407">
        <v>50000</v>
      </c>
      <c r="D143" s="407">
        <v>25000000</v>
      </c>
      <c r="E143" s="410" t="s">
        <v>24</v>
      </c>
      <c r="F143" s="407">
        <v>0</v>
      </c>
      <c r="G143" s="407">
        <v>50000000</v>
      </c>
    </row>
    <row r="144" spans="1:7" x14ac:dyDescent="0.3">
      <c r="A144" s="404">
        <v>136</v>
      </c>
      <c r="B144" s="409" t="s">
        <v>322</v>
      </c>
      <c r="C144" s="407">
        <v>78000</v>
      </c>
      <c r="D144" s="407">
        <v>2288913</v>
      </c>
      <c r="E144" s="410" t="s">
        <v>10</v>
      </c>
      <c r="F144" s="407">
        <v>0</v>
      </c>
      <c r="G144" s="407">
        <v>0</v>
      </c>
    </row>
    <row r="145" spans="1:7" x14ac:dyDescent="0.3">
      <c r="A145" s="404">
        <v>137</v>
      </c>
      <c r="B145" s="409" t="s">
        <v>323</v>
      </c>
      <c r="C145" s="407">
        <v>157631</v>
      </c>
      <c r="D145" s="407">
        <v>16533677</v>
      </c>
      <c r="E145" s="410" t="s">
        <v>10</v>
      </c>
      <c r="F145" s="407">
        <v>2282000</v>
      </c>
      <c r="G145" s="407">
        <v>2440000</v>
      </c>
    </row>
    <row r="146" spans="1:7" x14ac:dyDescent="0.3">
      <c r="A146" s="404">
        <v>138</v>
      </c>
      <c r="B146" s="409" t="s">
        <v>392</v>
      </c>
      <c r="C146" s="407">
        <v>3234425</v>
      </c>
      <c r="D146" s="407">
        <v>5245818</v>
      </c>
      <c r="E146" s="410" t="s">
        <v>24</v>
      </c>
      <c r="F146" s="407">
        <v>0</v>
      </c>
      <c r="G146" s="407">
        <v>3034425</v>
      </c>
    </row>
    <row r="147" spans="1:7" x14ac:dyDescent="0.3">
      <c r="A147" s="404">
        <v>138</v>
      </c>
      <c r="B147" s="409" t="s">
        <v>1993</v>
      </c>
      <c r="C147" s="407">
        <v>1438903</v>
      </c>
      <c r="D147" s="407">
        <v>0</v>
      </c>
      <c r="F147" s="407">
        <v>0</v>
      </c>
      <c r="G147" s="407">
        <v>0</v>
      </c>
    </row>
    <row r="148" spans="1:7" x14ac:dyDescent="0.3">
      <c r="A148" s="404">
        <v>139</v>
      </c>
      <c r="B148" s="409" t="s">
        <v>324</v>
      </c>
      <c r="C148" s="407">
        <v>285800</v>
      </c>
      <c r="D148" s="407">
        <v>7701353</v>
      </c>
      <c r="E148" s="410" t="s">
        <v>10</v>
      </c>
      <c r="F148" s="407">
        <v>150000</v>
      </c>
      <c r="G148" s="407">
        <v>658750</v>
      </c>
    </row>
    <row r="149" spans="1:7" x14ac:dyDescent="0.3">
      <c r="A149" s="404">
        <v>140</v>
      </c>
      <c r="B149" s="409" t="s">
        <v>325</v>
      </c>
      <c r="C149" s="407">
        <v>35700</v>
      </c>
      <c r="D149" s="407">
        <v>4340492</v>
      </c>
      <c r="E149" s="410" t="s">
        <v>10</v>
      </c>
      <c r="F149" s="407">
        <v>0</v>
      </c>
      <c r="G149" s="407">
        <v>55592.9</v>
      </c>
    </row>
    <row r="150" spans="1:7" x14ac:dyDescent="0.3">
      <c r="A150" s="404">
        <v>141</v>
      </c>
      <c r="B150" s="409" t="s">
        <v>326</v>
      </c>
      <c r="C150" s="407">
        <v>100000</v>
      </c>
      <c r="D150" s="407">
        <v>2389599</v>
      </c>
      <c r="E150" s="410" t="s">
        <v>10</v>
      </c>
      <c r="F150" s="407">
        <v>33157</v>
      </c>
      <c r="G150" s="407">
        <v>33157</v>
      </c>
    </row>
    <row r="151" spans="1:7" x14ac:dyDescent="0.3">
      <c r="A151" s="404">
        <v>142</v>
      </c>
      <c r="B151" s="409" t="s">
        <v>393</v>
      </c>
      <c r="C151" s="407">
        <v>0</v>
      </c>
      <c r="D151" s="407">
        <v>8150176</v>
      </c>
      <c r="E151" s="410" t="s">
        <v>24</v>
      </c>
      <c r="F151" s="407">
        <v>0</v>
      </c>
      <c r="G151" s="407">
        <v>0</v>
      </c>
    </row>
    <row r="152" spans="1:7" x14ac:dyDescent="0.3">
      <c r="A152" s="404">
        <v>143</v>
      </c>
      <c r="B152" s="409" t="s">
        <v>328</v>
      </c>
      <c r="C152" s="407">
        <v>345000</v>
      </c>
      <c r="D152" s="407">
        <v>15906863</v>
      </c>
      <c r="E152" s="410" t="s">
        <v>10</v>
      </c>
      <c r="F152" s="407">
        <v>0</v>
      </c>
      <c r="G152" s="407">
        <v>0</v>
      </c>
    </row>
    <row r="153" spans="1:7" x14ac:dyDescent="0.3">
      <c r="A153" s="404">
        <v>144</v>
      </c>
      <c r="B153" s="409" t="s">
        <v>329</v>
      </c>
      <c r="C153" s="407">
        <v>36126127</v>
      </c>
      <c r="D153" s="407">
        <v>23574009</v>
      </c>
      <c r="E153" s="410" t="s">
        <v>10</v>
      </c>
      <c r="F153" s="407">
        <v>0</v>
      </c>
      <c r="G153" s="407">
        <v>0</v>
      </c>
    </row>
    <row r="154" spans="1:7" x14ac:dyDescent="0.3">
      <c r="A154" s="404">
        <v>145</v>
      </c>
      <c r="B154" s="409" t="s">
        <v>330</v>
      </c>
      <c r="C154" s="407">
        <v>0</v>
      </c>
      <c r="D154" s="407">
        <v>526773</v>
      </c>
      <c r="E154" s="410" t="s">
        <v>10</v>
      </c>
      <c r="F154" s="407">
        <v>0</v>
      </c>
      <c r="G154" s="407">
        <v>0</v>
      </c>
    </row>
    <row r="155" spans="1:7" x14ac:dyDescent="0.3">
      <c r="A155" s="404">
        <v>146</v>
      </c>
      <c r="B155" s="409" t="s">
        <v>331</v>
      </c>
      <c r="C155" s="407">
        <v>130673.27</v>
      </c>
      <c r="D155" s="407">
        <v>19200000</v>
      </c>
      <c r="E155" s="410" t="s">
        <v>10</v>
      </c>
      <c r="F155" s="407">
        <v>0</v>
      </c>
      <c r="G155" s="407">
        <v>0</v>
      </c>
    </row>
    <row r="156" spans="1:7" x14ac:dyDescent="0.3">
      <c r="A156" s="404">
        <v>147</v>
      </c>
      <c r="B156" s="409" t="s">
        <v>332</v>
      </c>
      <c r="C156" s="407">
        <v>22200</v>
      </c>
      <c r="D156" s="407">
        <v>1486513</v>
      </c>
      <c r="E156" s="410" t="s">
        <v>10</v>
      </c>
      <c r="F156" s="407">
        <v>0</v>
      </c>
      <c r="G156" s="407">
        <v>128656.8</v>
      </c>
    </row>
    <row r="157" spans="1:7" x14ac:dyDescent="0.3">
      <c r="A157" s="404">
        <v>148</v>
      </c>
      <c r="B157" s="409" t="s">
        <v>333</v>
      </c>
      <c r="C157" s="407">
        <v>352499</v>
      </c>
      <c r="D157" s="407">
        <v>16785000</v>
      </c>
      <c r="E157" s="410" t="s">
        <v>10</v>
      </c>
      <c r="F157" s="407">
        <v>0</v>
      </c>
      <c r="G157" s="407">
        <v>0</v>
      </c>
    </row>
    <row r="158" spans="1:7" x14ac:dyDescent="0.3">
      <c r="A158" s="404">
        <v>149</v>
      </c>
      <c r="B158" s="409" t="s">
        <v>334</v>
      </c>
      <c r="C158" s="407">
        <v>544665.69999999995</v>
      </c>
      <c r="D158" s="407">
        <v>2392761</v>
      </c>
      <c r="E158" s="410" t="s">
        <v>10</v>
      </c>
      <c r="F158" s="407">
        <v>0</v>
      </c>
      <c r="G158" s="407">
        <v>0</v>
      </c>
    </row>
    <row r="159" spans="1:7" x14ac:dyDescent="0.3">
      <c r="A159" s="404">
        <v>150</v>
      </c>
      <c r="B159" s="409" t="s">
        <v>394</v>
      </c>
      <c r="C159" s="407">
        <v>308000</v>
      </c>
      <c r="D159" s="407">
        <v>6084892</v>
      </c>
      <c r="E159" s="410" t="s">
        <v>24</v>
      </c>
      <c r="F159" s="407">
        <v>0</v>
      </c>
      <c r="G159" s="407">
        <v>37000</v>
      </c>
    </row>
    <row r="160" spans="1:7" x14ac:dyDescent="0.3">
      <c r="A160" s="404">
        <v>151</v>
      </c>
      <c r="B160" s="409" t="s">
        <v>335</v>
      </c>
      <c r="C160" s="407">
        <v>2830000</v>
      </c>
      <c r="D160" s="407">
        <v>20583597.32</v>
      </c>
      <c r="E160" s="410" t="s">
        <v>10</v>
      </c>
      <c r="F160" s="407">
        <v>0</v>
      </c>
      <c r="G160" s="407">
        <v>1800000</v>
      </c>
    </row>
    <row r="161" spans="1:7" x14ac:dyDescent="0.3">
      <c r="A161" s="404">
        <v>151</v>
      </c>
      <c r="B161" s="409" t="s">
        <v>1999</v>
      </c>
      <c r="C161" s="407">
        <v>2308783.2400000002</v>
      </c>
      <c r="D161" s="407">
        <v>1225000</v>
      </c>
      <c r="E161" s="410" t="s">
        <v>10</v>
      </c>
      <c r="F161" s="407">
        <v>0</v>
      </c>
      <c r="G161" s="407">
        <v>1100000</v>
      </c>
    </row>
    <row r="162" spans="1:7" x14ac:dyDescent="0.3">
      <c r="A162" s="404">
        <v>152</v>
      </c>
      <c r="B162" s="409" t="s">
        <v>336</v>
      </c>
      <c r="C162" s="407">
        <v>0</v>
      </c>
      <c r="D162" s="407">
        <v>17300000</v>
      </c>
      <c r="E162" s="410" t="s">
        <v>10</v>
      </c>
      <c r="F162" s="407">
        <v>0</v>
      </c>
      <c r="G162" s="407">
        <v>0</v>
      </c>
    </row>
    <row r="163" spans="1:7" x14ac:dyDescent="0.3">
      <c r="A163" s="404">
        <v>153</v>
      </c>
      <c r="B163" s="409" t="s">
        <v>337</v>
      </c>
      <c r="C163" s="407">
        <v>52948</v>
      </c>
      <c r="D163" s="407">
        <v>6798000</v>
      </c>
      <c r="E163" s="410" t="s">
        <v>10</v>
      </c>
      <c r="F163" s="407">
        <v>0</v>
      </c>
      <c r="G163" s="407">
        <v>0</v>
      </c>
    </row>
    <row r="164" spans="1:7" x14ac:dyDescent="0.3">
      <c r="A164" s="404">
        <v>154</v>
      </c>
      <c r="B164" s="409" t="s">
        <v>340</v>
      </c>
      <c r="C164" s="407">
        <v>24050</v>
      </c>
      <c r="D164" s="407">
        <v>5190345</v>
      </c>
      <c r="E164" s="410" t="s">
        <v>10</v>
      </c>
      <c r="F164" s="407">
        <v>0</v>
      </c>
      <c r="G164" s="407">
        <v>0</v>
      </c>
    </row>
    <row r="165" spans="1:7" x14ac:dyDescent="0.3">
      <c r="A165" s="404">
        <v>155</v>
      </c>
      <c r="B165" s="409" t="s">
        <v>338</v>
      </c>
      <c r="C165" s="407">
        <v>2750000</v>
      </c>
      <c r="D165" s="407">
        <v>26373671</v>
      </c>
      <c r="E165" s="410" t="s">
        <v>10</v>
      </c>
      <c r="F165" s="407">
        <v>0</v>
      </c>
      <c r="G165" s="407">
        <v>0</v>
      </c>
    </row>
    <row r="166" spans="1:7" x14ac:dyDescent="0.3">
      <c r="A166" s="404">
        <v>156</v>
      </c>
      <c r="B166" s="409" t="s">
        <v>339</v>
      </c>
      <c r="C166" s="407">
        <v>459000</v>
      </c>
      <c r="D166" s="407">
        <v>1358000</v>
      </c>
      <c r="E166" s="410" t="s">
        <v>24</v>
      </c>
      <c r="F166" s="407">
        <v>0</v>
      </c>
      <c r="G166" s="407">
        <v>0</v>
      </c>
    </row>
    <row r="167" spans="1:7" x14ac:dyDescent="0.3">
      <c r="A167" s="404">
        <v>157</v>
      </c>
      <c r="B167" s="409" t="s">
        <v>341</v>
      </c>
      <c r="C167" s="407">
        <v>15000000</v>
      </c>
      <c r="D167" s="407">
        <v>14552669</v>
      </c>
      <c r="E167" s="410" t="s">
        <v>10</v>
      </c>
      <c r="F167" s="407">
        <v>0</v>
      </c>
      <c r="G167" s="407">
        <v>0</v>
      </c>
    </row>
    <row r="168" spans="1:7" x14ac:dyDescent="0.3">
      <c r="A168" s="404">
        <v>158</v>
      </c>
      <c r="B168" s="409" t="s">
        <v>342</v>
      </c>
      <c r="C168" s="407">
        <v>1500000</v>
      </c>
      <c r="D168" s="407">
        <v>30156000</v>
      </c>
      <c r="E168" s="410" t="s">
        <v>10</v>
      </c>
      <c r="F168" s="407">
        <v>0</v>
      </c>
      <c r="G168" s="407">
        <v>0</v>
      </c>
    </row>
    <row r="169" spans="1:7" x14ac:dyDescent="0.3">
      <c r="A169" s="404">
        <v>159</v>
      </c>
      <c r="B169" s="409" t="s">
        <v>343</v>
      </c>
      <c r="C169" s="407">
        <v>285000</v>
      </c>
      <c r="D169" s="407">
        <v>13072824</v>
      </c>
      <c r="E169" s="410" t="s">
        <v>10</v>
      </c>
      <c r="F169" s="407">
        <v>0</v>
      </c>
      <c r="G169" s="407">
        <v>0</v>
      </c>
    </row>
    <row r="170" spans="1:7" x14ac:dyDescent="0.3">
      <c r="A170" s="404">
        <v>160</v>
      </c>
      <c r="B170" s="409" t="s">
        <v>344</v>
      </c>
      <c r="C170" s="407">
        <v>0</v>
      </c>
      <c r="D170" s="407">
        <v>3921689</v>
      </c>
      <c r="E170" s="410" t="s">
        <v>10</v>
      </c>
      <c r="F170" s="407">
        <v>0</v>
      </c>
      <c r="G170" s="407">
        <v>0</v>
      </c>
    </row>
    <row r="171" spans="1:7" x14ac:dyDescent="0.3">
      <c r="A171" s="404">
        <v>161</v>
      </c>
      <c r="B171" s="409" t="s">
        <v>345</v>
      </c>
      <c r="C171" s="407">
        <v>150000</v>
      </c>
      <c r="D171" s="407">
        <v>24928847</v>
      </c>
      <c r="E171" s="410" t="s">
        <v>24</v>
      </c>
      <c r="F171" s="407">
        <v>0</v>
      </c>
      <c r="G171" s="407">
        <v>0</v>
      </c>
    </row>
    <row r="172" spans="1:7" x14ac:dyDescent="0.3">
      <c r="A172" s="404">
        <v>162</v>
      </c>
      <c r="B172" s="409" t="s">
        <v>346</v>
      </c>
      <c r="C172" s="407">
        <v>74818.539999999994</v>
      </c>
      <c r="D172" s="407">
        <v>6964634</v>
      </c>
      <c r="E172" s="410" t="s">
        <v>10</v>
      </c>
      <c r="F172" s="407">
        <v>0</v>
      </c>
      <c r="G172" s="407">
        <v>0</v>
      </c>
    </row>
    <row r="173" spans="1:7" x14ac:dyDescent="0.3">
      <c r="A173" s="404">
        <v>163</v>
      </c>
      <c r="B173" s="409" t="s">
        <v>347</v>
      </c>
      <c r="C173" s="407">
        <v>90000</v>
      </c>
      <c r="D173" s="407">
        <v>7100000</v>
      </c>
      <c r="E173" s="410" t="s">
        <v>10</v>
      </c>
      <c r="F173" s="407">
        <v>0</v>
      </c>
      <c r="G173" s="407">
        <v>0</v>
      </c>
    </row>
    <row r="174" spans="1:7" x14ac:dyDescent="0.3">
      <c r="A174" s="404">
        <v>164</v>
      </c>
      <c r="B174" s="409" t="s">
        <v>348</v>
      </c>
      <c r="C174" s="407">
        <v>600000</v>
      </c>
      <c r="D174" s="407">
        <v>25900614</v>
      </c>
      <c r="E174" s="410" t="s">
        <v>24</v>
      </c>
      <c r="F174" s="407">
        <v>0</v>
      </c>
      <c r="G174" s="407">
        <v>0</v>
      </c>
    </row>
    <row r="175" spans="1:7" x14ac:dyDescent="0.3">
      <c r="A175" s="404">
        <v>165</v>
      </c>
      <c r="B175" s="409" t="s">
        <v>349</v>
      </c>
      <c r="C175" s="407">
        <v>19080394.260000002</v>
      </c>
      <c r="D175" s="407">
        <v>12292343</v>
      </c>
      <c r="E175" s="410" t="s">
        <v>24</v>
      </c>
      <c r="F175" s="407">
        <v>0</v>
      </c>
      <c r="G175" s="407">
        <v>0</v>
      </c>
    </row>
    <row r="176" spans="1:7" x14ac:dyDescent="0.3">
      <c r="A176" s="404">
        <v>166</v>
      </c>
      <c r="B176" s="409" t="s">
        <v>350</v>
      </c>
      <c r="C176" s="407">
        <v>2484774.17</v>
      </c>
      <c r="D176" s="407">
        <v>5440285</v>
      </c>
      <c r="F176" s="407">
        <v>0</v>
      </c>
      <c r="G176" s="407">
        <v>2500000</v>
      </c>
    </row>
    <row r="177" spans="1:9" x14ac:dyDescent="0.3">
      <c r="A177" s="404">
        <v>167</v>
      </c>
      <c r="B177" s="409" t="s">
        <v>351</v>
      </c>
      <c r="C177" s="407">
        <v>5000</v>
      </c>
      <c r="D177" s="407">
        <v>6566843</v>
      </c>
      <c r="E177" s="410" t="s">
        <v>10</v>
      </c>
      <c r="F177" s="407">
        <v>0</v>
      </c>
      <c r="G177" s="407">
        <v>0</v>
      </c>
    </row>
    <row r="178" spans="1:9" x14ac:dyDescent="0.3">
      <c r="A178" s="404">
        <v>168</v>
      </c>
      <c r="B178" s="409" t="s">
        <v>352</v>
      </c>
      <c r="C178" s="407">
        <v>40000</v>
      </c>
      <c r="D178" s="407">
        <v>4971123</v>
      </c>
      <c r="E178" s="410" t="s">
        <v>10</v>
      </c>
      <c r="F178" s="407">
        <v>0</v>
      </c>
      <c r="G178" s="407">
        <v>0</v>
      </c>
    </row>
    <row r="179" spans="1:9" x14ac:dyDescent="0.3">
      <c r="A179" s="404">
        <v>169</v>
      </c>
      <c r="B179" s="409" t="s">
        <v>353</v>
      </c>
      <c r="C179" s="407">
        <v>4200000</v>
      </c>
      <c r="D179" s="407">
        <v>3938632</v>
      </c>
      <c r="E179" s="410" t="s">
        <v>24</v>
      </c>
      <c r="F179" s="407">
        <v>0</v>
      </c>
      <c r="G179" s="407">
        <v>4200000</v>
      </c>
    </row>
    <row r="180" spans="1:9" s="416" customFormat="1" x14ac:dyDescent="0.3">
      <c r="A180" s="413"/>
      <c r="B180" s="414" t="s">
        <v>1546</v>
      </c>
      <c r="C180" s="415">
        <f>SUM(C2:C179)</f>
        <v>408741896.08000004</v>
      </c>
      <c r="D180" s="415">
        <f>SUM(D2:D179)</f>
        <v>1722763749.8199999</v>
      </c>
      <c r="E180" s="413"/>
      <c r="F180" s="415">
        <f>SUM(F2:F179)</f>
        <v>37852450.789999999</v>
      </c>
      <c r="G180" s="415">
        <f>SUM(G2:G179)</f>
        <v>166653630.70000002</v>
      </c>
      <c r="H180" s="592"/>
      <c r="I180" s="592"/>
    </row>
  </sheetData>
  <printOptions horizontalCentered="1" gridLines="1"/>
  <pageMargins left="0.7" right="0.7" top="0.75" bottom="0.75" header="0.3" footer="0.3"/>
  <pageSetup scale="94" fitToHeight="0" orientation="landscape" r:id="rId1"/>
  <headerFooter>
    <oddHeader>&amp;F</oddHeader>
    <oddFooter>&amp;L&amp;"-,Bold"OPM - IGPP&amp;C&amp;D&amp;RPage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E991-B069-495D-A9EA-C77847E9FCFD}">
  <dimension ref="A1:H33"/>
  <sheetViews>
    <sheetView topLeftCell="A22" workbookViewId="0">
      <selection activeCell="E11" sqref="E11:J11"/>
    </sheetView>
  </sheetViews>
  <sheetFormatPr defaultColWidth="9.109375" defaultRowHeight="15.6" x14ac:dyDescent="0.3"/>
  <cols>
    <col min="1" max="1" width="54.109375" style="77" customWidth="1"/>
    <col min="2" max="2" width="20.44140625" style="77" customWidth="1"/>
    <col min="3" max="3" width="34.44140625" style="77" customWidth="1"/>
    <col min="4" max="4" width="25.33203125" style="77" customWidth="1"/>
    <col min="5" max="5" width="30.6640625" style="77" customWidth="1"/>
    <col min="6" max="6" width="32.109375" style="79" customWidth="1"/>
    <col min="7" max="7" width="21.33203125" style="77" customWidth="1"/>
    <col min="8" max="8" width="20.6640625" style="77" customWidth="1"/>
    <col min="9" max="16384" width="9.109375" style="77"/>
  </cols>
  <sheetData>
    <row r="1" spans="1:8" s="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95" t="s">
        <v>209</v>
      </c>
      <c r="B2" s="37">
        <v>-295732.29499999818</v>
      </c>
      <c r="C2" s="395" t="s">
        <v>210</v>
      </c>
      <c r="D2" s="39">
        <v>6806725</v>
      </c>
      <c r="E2" s="395" t="s">
        <v>24</v>
      </c>
      <c r="F2" s="76" t="s">
        <v>211</v>
      </c>
      <c r="G2" s="39">
        <v>0</v>
      </c>
      <c r="H2" s="39" t="s">
        <v>212</v>
      </c>
    </row>
    <row r="4" spans="1:8" x14ac:dyDescent="0.3">
      <c r="A4" s="78" t="s">
        <v>11</v>
      </c>
    </row>
    <row r="6" spans="1:8" ht="16.2" thickBot="1" x14ac:dyDescent="0.35">
      <c r="A6" s="80" t="s">
        <v>12</v>
      </c>
      <c r="B6" s="81" t="s">
        <v>9</v>
      </c>
    </row>
    <row r="7" spans="1:8" ht="16.2" thickBot="1" x14ac:dyDescent="0.35">
      <c r="A7" s="82" t="s">
        <v>51</v>
      </c>
      <c r="B7" s="45">
        <v>-346636</v>
      </c>
      <c r="C7" s="77" t="s">
        <v>213</v>
      </c>
    </row>
    <row r="8" spans="1:8" ht="16.2" thickBot="1" x14ac:dyDescent="0.35">
      <c r="A8" s="82" t="s">
        <v>53</v>
      </c>
      <c r="B8" s="45">
        <v>-12710762.157818826</v>
      </c>
      <c r="C8" s="77" t="s">
        <v>214</v>
      </c>
      <c r="D8" s="83"/>
      <c r="E8" s="84"/>
      <c r="F8" s="85"/>
      <c r="G8" s="84"/>
    </row>
    <row r="9" spans="1:8" ht="16.2" thickBot="1" x14ac:dyDescent="0.35">
      <c r="A9" s="82" t="s">
        <v>55</v>
      </c>
      <c r="B9" s="45">
        <v>0</v>
      </c>
      <c r="C9" s="77" t="s">
        <v>215</v>
      </c>
    </row>
    <row r="10" spans="1:8" ht="16.2" thickBot="1" x14ac:dyDescent="0.35">
      <c r="A10" s="82" t="s">
        <v>57</v>
      </c>
      <c r="B10" s="45">
        <v>0</v>
      </c>
      <c r="C10" s="77" t="s">
        <v>215</v>
      </c>
    </row>
    <row r="11" spans="1:8" ht="16.2" thickBot="1" x14ac:dyDescent="0.35">
      <c r="A11" s="82"/>
      <c r="B11" s="45">
        <v>0</v>
      </c>
    </row>
    <row r="12" spans="1:8" ht="16.2" thickBot="1" x14ac:dyDescent="0.35">
      <c r="A12" s="82"/>
      <c r="B12" s="81"/>
      <c r="C12" s="45">
        <v>-13057398.157818826</v>
      </c>
    </row>
    <row r="13" spans="1:8" x14ac:dyDescent="0.3">
      <c r="A13" s="86"/>
      <c r="C13" s="81" t="s">
        <v>9</v>
      </c>
    </row>
    <row r="15" spans="1:8" ht="31.2" x14ac:dyDescent="0.3">
      <c r="A15" s="384" t="s">
        <v>17</v>
      </c>
      <c r="B15" s="385" t="s">
        <v>18</v>
      </c>
      <c r="C15" s="384" t="s">
        <v>19</v>
      </c>
      <c r="D15" s="384" t="s">
        <v>20</v>
      </c>
      <c r="E15" s="384" t="s">
        <v>21</v>
      </c>
      <c r="F15" s="384" t="s">
        <v>22</v>
      </c>
    </row>
    <row r="16" spans="1:8" ht="16.2" thickBot="1" x14ac:dyDescent="0.35">
      <c r="A16" s="41" t="s">
        <v>23</v>
      </c>
      <c r="B16" s="42">
        <v>2738.62</v>
      </c>
      <c r="C16" s="42">
        <v>5022.5200000000004</v>
      </c>
      <c r="D16" s="43" t="s">
        <v>24</v>
      </c>
      <c r="E16" s="43" t="s">
        <v>79</v>
      </c>
      <c r="F16" s="44" t="s">
        <v>216</v>
      </c>
    </row>
    <row r="17" spans="1:6" ht="78.599999999999994" thickBot="1" x14ac:dyDescent="0.35">
      <c r="A17" s="41" t="s">
        <v>25</v>
      </c>
      <c r="B17" s="42">
        <v>14200.970000000001</v>
      </c>
      <c r="C17" s="42">
        <v>88680.319999999992</v>
      </c>
      <c r="D17" s="46" t="s">
        <v>24</v>
      </c>
      <c r="E17" s="46" t="s">
        <v>79</v>
      </c>
      <c r="F17" s="47" t="s">
        <v>2035</v>
      </c>
    </row>
    <row r="18" spans="1:6" ht="31.8" thickBot="1" x14ac:dyDescent="0.35">
      <c r="A18" s="41" t="s">
        <v>26</v>
      </c>
      <c r="B18" s="42">
        <v>372</v>
      </c>
      <c r="C18" s="42">
        <v>744</v>
      </c>
      <c r="D18" s="46" t="s">
        <v>24</v>
      </c>
      <c r="E18" s="46"/>
      <c r="F18" s="340" t="s">
        <v>217</v>
      </c>
    </row>
    <row r="19" spans="1:6" ht="16.2" thickBot="1" x14ac:dyDescent="0.35">
      <c r="A19" s="41" t="s">
        <v>27</v>
      </c>
      <c r="B19" s="42">
        <v>0</v>
      </c>
      <c r="C19" s="42">
        <v>0</v>
      </c>
      <c r="D19" s="46"/>
      <c r="E19" s="46"/>
      <c r="F19" s="47"/>
    </row>
    <row r="20" spans="1:6" ht="16.2" thickBot="1" x14ac:dyDescent="0.35">
      <c r="A20" s="41" t="s">
        <v>28</v>
      </c>
      <c r="B20" s="42">
        <v>0</v>
      </c>
      <c r="C20" s="42">
        <v>0</v>
      </c>
      <c r="D20" s="46"/>
      <c r="E20" s="46"/>
      <c r="F20" s="47"/>
    </row>
    <row r="21" spans="1:6" ht="31.8" thickBot="1" x14ac:dyDescent="0.35">
      <c r="A21" s="41" t="s">
        <v>29</v>
      </c>
      <c r="B21" s="42">
        <v>8920.61</v>
      </c>
      <c r="C21" s="42">
        <v>21555.83</v>
      </c>
      <c r="D21" s="46" t="s">
        <v>24</v>
      </c>
      <c r="E21" s="46" t="s">
        <v>79</v>
      </c>
      <c r="F21" s="47" t="s">
        <v>218</v>
      </c>
    </row>
    <row r="22" spans="1:6" ht="31.8" thickBot="1" x14ac:dyDescent="0.35">
      <c r="A22" s="41" t="s">
        <v>30</v>
      </c>
      <c r="B22" s="42">
        <v>8382.7900000000009</v>
      </c>
      <c r="C22" s="42">
        <v>15000</v>
      </c>
      <c r="D22" s="46" t="s">
        <v>24</v>
      </c>
      <c r="E22" s="46" t="s">
        <v>79</v>
      </c>
      <c r="F22" s="47" t="s">
        <v>219</v>
      </c>
    </row>
    <row r="23" spans="1:6" ht="16.2" thickBot="1" x14ac:dyDescent="0.35">
      <c r="A23" s="87" t="s">
        <v>220</v>
      </c>
      <c r="B23" s="42">
        <v>5559</v>
      </c>
      <c r="C23" s="42">
        <v>10000</v>
      </c>
      <c r="D23" s="46" t="s">
        <v>24</v>
      </c>
      <c r="E23" s="46"/>
      <c r="F23" s="47"/>
    </row>
    <row r="24" spans="1:6" ht="31.8" thickBot="1" x14ac:dyDescent="0.35">
      <c r="A24" s="41" t="s">
        <v>221</v>
      </c>
      <c r="B24" s="42">
        <v>786.26</v>
      </c>
      <c r="C24" s="42">
        <v>786.26</v>
      </c>
      <c r="D24" s="46" t="s">
        <v>24</v>
      </c>
      <c r="E24" s="46"/>
      <c r="F24" s="47" t="s">
        <v>222</v>
      </c>
    </row>
    <row r="25" spans="1:6" ht="16.2" thickBot="1" x14ac:dyDescent="0.35">
      <c r="A25" s="41"/>
      <c r="B25" s="42">
        <v>0</v>
      </c>
      <c r="C25" s="42">
        <v>0</v>
      </c>
      <c r="D25" s="46" t="s">
        <v>24</v>
      </c>
      <c r="E25" s="46"/>
      <c r="F25" s="47"/>
    </row>
    <row r="26" spans="1:6" ht="16.2" thickBot="1" x14ac:dyDescent="0.35">
      <c r="A26" s="82"/>
      <c r="B26" s="42">
        <v>0</v>
      </c>
      <c r="C26" s="42">
        <v>0</v>
      </c>
      <c r="D26" s="46"/>
      <c r="E26" s="46"/>
      <c r="F26" s="47"/>
    </row>
    <row r="27" spans="1:6" ht="16.2" thickBot="1" x14ac:dyDescent="0.35">
      <c r="A27" s="82"/>
      <c r="B27" s="42">
        <v>0</v>
      </c>
      <c r="C27" s="42">
        <v>0</v>
      </c>
      <c r="D27" s="46"/>
      <c r="E27" s="46"/>
      <c r="F27" s="47"/>
    </row>
    <row r="28" spans="1:6" ht="16.2" thickBot="1" x14ac:dyDescent="0.35">
      <c r="A28" s="88"/>
      <c r="B28" s="42">
        <v>0</v>
      </c>
      <c r="C28" s="42">
        <v>0</v>
      </c>
      <c r="D28" s="46"/>
      <c r="E28" s="46"/>
      <c r="F28" s="47"/>
    </row>
    <row r="29" spans="1:6" ht="16.2" thickBot="1" x14ac:dyDescent="0.35">
      <c r="A29" s="86" t="s">
        <v>32</v>
      </c>
      <c r="B29" s="89">
        <v>40960.250000000007</v>
      </c>
      <c r="C29" s="89">
        <v>141788.93</v>
      </c>
      <c r="D29" s="90"/>
      <c r="E29" s="90"/>
      <c r="F29" s="91"/>
    </row>
    <row r="31" spans="1:6" x14ac:dyDescent="0.3">
      <c r="B31" s="77" t="s">
        <v>2506</v>
      </c>
      <c r="C31" s="77">
        <v>-65120</v>
      </c>
    </row>
    <row r="32" spans="1:6" x14ac:dyDescent="0.3">
      <c r="B32" s="77" t="s">
        <v>2507</v>
      </c>
      <c r="C32" s="77">
        <v>-4800</v>
      </c>
    </row>
    <row r="33" spans="3:3" x14ac:dyDescent="0.3">
      <c r="C33" s="670">
        <f>SUM(C29:C32)</f>
        <v>71868.929999999993</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B7C8-8314-4563-BC79-FB176E8EBDB7}">
  <dimension ref="A1:H32"/>
  <sheetViews>
    <sheetView workbookViewId="0">
      <selection activeCell="C37" sqref="C37"/>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31.6640625" style="372" bestFit="1"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2185</v>
      </c>
      <c r="B2" s="390" t="s">
        <v>1402</v>
      </c>
      <c r="C2" s="389" t="s">
        <v>420</v>
      </c>
      <c r="D2" s="391">
        <v>1825733</v>
      </c>
      <c r="E2" s="389" t="s">
        <v>657</v>
      </c>
      <c r="F2" s="392" t="s">
        <v>657</v>
      </c>
      <c r="G2" s="391" t="s">
        <v>657</v>
      </c>
      <c r="H2" s="391" t="s">
        <v>657</v>
      </c>
    </row>
    <row r="4" spans="1:8" x14ac:dyDescent="0.3">
      <c r="A4" s="386" t="s">
        <v>11</v>
      </c>
    </row>
    <row r="6" spans="1:8" ht="16.2" thickBot="1" x14ac:dyDescent="0.35">
      <c r="A6" s="758" t="s">
        <v>12</v>
      </c>
      <c r="B6" s="760" t="s">
        <v>9</v>
      </c>
    </row>
    <row r="7" spans="1:8" ht="16.2" thickBot="1" x14ac:dyDescent="0.35">
      <c r="A7" s="757" t="s">
        <v>13</v>
      </c>
      <c r="B7" s="374" t="s">
        <v>212</v>
      </c>
    </row>
    <row r="8" spans="1:8" ht="16.2" thickBot="1" x14ac:dyDescent="0.35">
      <c r="A8" s="757" t="s">
        <v>14</v>
      </c>
      <c r="B8" s="374" t="s">
        <v>420</v>
      </c>
    </row>
    <row r="9" spans="1:8" ht="16.2" thickBot="1" x14ac:dyDescent="0.35">
      <c r="A9" s="757"/>
      <c r="B9" s="374" t="s">
        <v>420</v>
      </c>
    </row>
    <row r="10" spans="1:8" ht="16.2" thickBot="1" x14ac:dyDescent="0.35">
      <c r="A10" s="757"/>
      <c r="B10" s="374" t="s">
        <v>420</v>
      </c>
    </row>
    <row r="11" spans="1:8" ht="16.2" thickBot="1" x14ac:dyDescent="0.35">
      <c r="A11" s="757"/>
      <c r="B11" s="760"/>
      <c r="C11" s="374" t="s">
        <v>420</v>
      </c>
    </row>
    <row r="12" spans="1:8" x14ac:dyDescent="0.3">
      <c r="A12" s="756"/>
      <c r="C12" s="760" t="s">
        <v>9</v>
      </c>
    </row>
    <row r="14" spans="1:8" ht="31.2" x14ac:dyDescent="0.3">
      <c r="A14" s="384" t="s">
        <v>17</v>
      </c>
      <c r="B14" s="385" t="s">
        <v>18</v>
      </c>
      <c r="C14" s="384" t="s">
        <v>19</v>
      </c>
      <c r="D14" s="384" t="s">
        <v>20</v>
      </c>
      <c r="E14" s="384" t="s">
        <v>21</v>
      </c>
      <c r="F14" s="384" t="s">
        <v>22</v>
      </c>
    </row>
    <row r="15" spans="1:8" ht="16.2" thickBot="1" x14ac:dyDescent="0.35">
      <c r="A15" s="755" t="s">
        <v>23</v>
      </c>
      <c r="B15" s="382">
        <v>1211.52</v>
      </c>
      <c r="C15" s="382"/>
      <c r="D15" s="397" t="s">
        <v>24</v>
      </c>
      <c r="E15" s="359"/>
      <c r="F15" s="383" t="s">
        <v>2587</v>
      </c>
    </row>
    <row r="16" spans="1:8" ht="16.2" thickBot="1" x14ac:dyDescent="0.35">
      <c r="A16" s="755" t="s">
        <v>25</v>
      </c>
      <c r="B16" s="382">
        <v>782.16</v>
      </c>
      <c r="C16" s="374"/>
      <c r="D16" s="397" t="s">
        <v>24</v>
      </c>
      <c r="E16" s="387"/>
      <c r="F16" s="377" t="s">
        <v>2588</v>
      </c>
    </row>
    <row r="17" spans="1:6" ht="16.2" thickBot="1" x14ac:dyDescent="0.35">
      <c r="A17" s="755" t="s">
        <v>26</v>
      </c>
      <c r="B17" s="382">
        <v>250</v>
      </c>
      <c r="C17" s="374" t="s">
        <v>9</v>
      </c>
      <c r="D17" s="397" t="s">
        <v>24</v>
      </c>
      <c r="E17" s="387"/>
      <c r="F17" s="377" t="s">
        <v>2589</v>
      </c>
    </row>
    <row r="18" spans="1:6" ht="16.2" thickBot="1" x14ac:dyDescent="0.35">
      <c r="A18" s="755" t="s">
        <v>27</v>
      </c>
      <c r="B18" s="382"/>
      <c r="C18" s="374"/>
      <c r="D18" s="394"/>
      <c r="E18" s="387"/>
      <c r="F18" s="377"/>
    </row>
    <row r="19" spans="1:6" ht="16.2" thickBot="1" x14ac:dyDescent="0.35">
      <c r="A19" s="755" t="s">
        <v>28</v>
      </c>
      <c r="B19" s="382"/>
      <c r="C19" s="374"/>
      <c r="D19" s="394"/>
      <c r="E19" s="387"/>
      <c r="F19" s="377"/>
    </row>
    <row r="20" spans="1:6" ht="16.2" thickBot="1" x14ac:dyDescent="0.35">
      <c r="A20" s="755" t="s">
        <v>29</v>
      </c>
      <c r="B20" s="382"/>
      <c r="C20" s="374"/>
      <c r="D20" s="394"/>
      <c r="E20" s="387"/>
      <c r="F20" s="377"/>
    </row>
    <row r="21" spans="1:6" ht="16.2" thickBot="1" x14ac:dyDescent="0.35">
      <c r="A21" s="755" t="s">
        <v>30</v>
      </c>
      <c r="B21" s="382">
        <v>1441.93</v>
      </c>
      <c r="C21" s="374"/>
      <c r="D21" s="394" t="s">
        <v>24</v>
      </c>
      <c r="E21" s="387"/>
      <c r="F21" s="377" t="s">
        <v>2590</v>
      </c>
    </row>
    <row r="22" spans="1:6" ht="16.2" thickBot="1" x14ac:dyDescent="0.35">
      <c r="A22" s="757"/>
      <c r="B22" s="374"/>
      <c r="C22" s="374">
        <v>0</v>
      </c>
      <c r="D22" s="394"/>
      <c r="E22" s="387"/>
      <c r="F22" s="377"/>
    </row>
    <row r="23" spans="1:6" ht="16.2" thickBot="1" x14ac:dyDescent="0.35">
      <c r="A23" s="757"/>
      <c r="B23" s="374"/>
      <c r="C23" s="374">
        <v>0</v>
      </c>
      <c r="D23" s="394"/>
      <c r="E23" s="387"/>
      <c r="F23" s="377"/>
    </row>
    <row r="24" spans="1:6" ht="16.2" thickBot="1" x14ac:dyDescent="0.35">
      <c r="A24" s="757"/>
      <c r="B24" s="374"/>
      <c r="C24" s="374">
        <v>0</v>
      </c>
      <c r="D24" s="394"/>
      <c r="E24" s="387"/>
      <c r="F24" s="377"/>
    </row>
    <row r="25" spans="1:6" ht="16.2" thickBot="1" x14ac:dyDescent="0.35">
      <c r="A25" s="757"/>
      <c r="B25" s="374"/>
      <c r="C25" s="374">
        <v>0</v>
      </c>
      <c r="D25" s="394"/>
      <c r="E25" s="387"/>
      <c r="F25" s="377"/>
    </row>
    <row r="26" spans="1:6" ht="16.2" thickBot="1" x14ac:dyDescent="0.35">
      <c r="A26" s="757"/>
      <c r="B26" s="374"/>
      <c r="C26" s="374">
        <v>0</v>
      </c>
      <c r="D26" s="394"/>
      <c r="E26" s="387"/>
      <c r="F26" s="377"/>
    </row>
    <row r="27" spans="1:6" ht="16.2" thickBot="1" x14ac:dyDescent="0.35">
      <c r="A27" s="378"/>
      <c r="B27" s="374"/>
      <c r="C27" s="374">
        <v>0</v>
      </c>
      <c r="D27" s="394"/>
      <c r="E27" s="387"/>
      <c r="F27" s="377"/>
    </row>
    <row r="28" spans="1:6" ht="16.2" thickBot="1" x14ac:dyDescent="0.35">
      <c r="A28" s="756" t="s">
        <v>32</v>
      </c>
      <c r="B28" s="379">
        <f>SUM(B15:B27)</f>
        <v>3685.6099999999997</v>
      </c>
      <c r="C28" s="379">
        <f>SUM(C15:C27)</f>
        <v>0</v>
      </c>
      <c r="D28" s="34"/>
      <c r="E28" s="388"/>
      <c r="F28" s="380"/>
    </row>
    <row r="31" spans="1:6" x14ac:dyDescent="0.3">
      <c r="A31" s="758" t="s">
        <v>2591</v>
      </c>
    </row>
    <row r="32" spans="1:6" x14ac:dyDescent="0.3">
      <c r="A32" s="758" t="s">
        <v>2592</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357C-8E09-418C-9443-B44A99C7C9C6}">
  <dimension ref="A1:I41"/>
  <sheetViews>
    <sheetView topLeftCell="A19"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9" s="2" customFormat="1" ht="60.75" customHeight="1" thickBot="1" x14ac:dyDescent="0.35">
      <c r="A1" s="1" t="s">
        <v>0</v>
      </c>
      <c r="B1" s="1" t="s">
        <v>1</v>
      </c>
      <c r="C1" s="1" t="s">
        <v>2</v>
      </c>
      <c r="D1" s="1" t="s">
        <v>3</v>
      </c>
      <c r="E1" s="1" t="s">
        <v>4</v>
      </c>
      <c r="F1" s="1" t="s">
        <v>5</v>
      </c>
      <c r="G1" s="1" t="s">
        <v>395</v>
      </c>
      <c r="H1" s="1" t="s">
        <v>396</v>
      </c>
    </row>
    <row r="2" spans="1:9" ht="56.25" customHeight="1" thickBot="1" x14ac:dyDescent="0.35">
      <c r="A2" s="3" t="s">
        <v>397</v>
      </c>
      <c r="B2" s="4">
        <v>511000</v>
      </c>
      <c r="C2" s="3" t="s">
        <v>398</v>
      </c>
      <c r="D2" s="5">
        <v>11596474</v>
      </c>
      <c r="E2" s="3" t="s">
        <v>10</v>
      </c>
      <c r="F2" s="6"/>
      <c r="G2" s="5">
        <v>1200000</v>
      </c>
      <c r="H2" s="5">
        <v>1760000</v>
      </c>
      <c r="I2" s="94" t="s">
        <v>399</v>
      </c>
    </row>
    <row r="4" spans="1:9" x14ac:dyDescent="0.3">
      <c r="A4" s="8" t="s">
        <v>11</v>
      </c>
    </row>
    <row r="6" spans="1:9" ht="16.2" thickBot="1" x14ac:dyDescent="0.35">
      <c r="A6" s="9" t="s">
        <v>12</v>
      </c>
      <c r="B6" s="10" t="s">
        <v>9</v>
      </c>
    </row>
    <row r="7" spans="1:9" ht="16.2" thickBot="1" x14ac:dyDescent="0.35">
      <c r="A7" s="11" t="s">
        <v>13</v>
      </c>
      <c r="B7" s="12">
        <v>0</v>
      </c>
      <c r="C7" s="94" t="s">
        <v>400</v>
      </c>
    </row>
    <row r="8" spans="1:9" ht="16.2" thickBot="1" x14ac:dyDescent="0.35">
      <c r="A8" s="11" t="s">
        <v>401</v>
      </c>
      <c r="B8" s="12">
        <v>25000</v>
      </c>
    </row>
    <row r="9" spans="1:9" ht="16.2" thickBot="1" x14ac:dyDescent="0.35">
      <c r="A9" s="15" t="s">
        <v>402</v>
      </c>
      <c r="B9" s="12">
        <v>144000</v>
      </c>
    </row>
    <row r="10" spans="1:9" ht="16.2" thickBot="1" x14ac:dyDescent="0.35">
      <c r="A10" s="15" t="s">
        <v>403</v>
      </c>
      <c r="B10" s="12">
        <v>6500</v>
      </c>
    </row>
    <row r="11" spans="1:9" ht="16.2" thickBot="1" x14ac:dyDescent="0.35">
      <c r="A11" s="15" t="s">
        <v>404</v>
      </c>
      <c r="B11" s="12">
        <v>9500</v>
      </c>
    </row>
    <row r="12" spans="1:9" ht="16.2" thickBot="1" x14ac:dyDescent="0.35">
      <c r="A12" s="15" t="s">
        <v>405</v>
      </c>
      <c r="B12" s="12">
        <v>1000</v>
      </c>
    </row>
    <row r="13" spans="1:9" ht="16.2" thickBot="1" x14ac:dyDescent="0.35">
      <c r="A13" s="15" t="s">
        <v>406</v>
      </c>
      <c r="B13" s="12">
        <v>40000</v>
      </c>
    </row>
    <row r="14" spans="1:9" ht="16.2" thickBot="1" x14ac:dyDescent="0.35">
      <c r="A14" s="15" t="s">
        <v>407</v>
      </c>
      <c r="B14" s="12">
        <v>35000</v>
      </c>
    </row>
    <row r="15" spans="1:9" ht="16.2" thickBot="1" x14ac:dyDescent="0.35">
      <c r="A15" s="15" t="s">
        <v>408</v>
      </c>
      <c r="B15" s="12">
        <v>250000</v>
      </c>
      <c r="C15" s="94" t="s">
        <v>409</v>
      </c>
    </row>
    <row r="16" spans="1:9" ht="16.2" thickBot="1" x14ac:dyDescent="0.35">
      <c r="A16" s="11" t="s">
        <v>410</v>
      </c>
      <c r="B16" s="12">
        <v>0</v>
      </c>
    </row>
    <row r="17" spans="1:6" ht="16.2" thickBot="1" x14ac:dyDescent="0.35">
      <c r="A17" s="11"/>
      <c r="B17" s="10"/>
      <c r="C17" s="12">
        <v>511000</v>
      </c>
    </row>
    <row r="18" spans="1:6" x14ac:dyDescent="0.3">
      <c r="A18" s="13"/>
      <c r="C18" s="10" t="s">
        <v>9</v>
      </c>
    </row>
    <row r="20" spans="1:6" ht="31.2" x14ac:dyDescent="0.3">
      <c r="A20" s="1" t="s">
        <v>17</v>
      </c>
      <c r="B20" s="14" t="s">
        <v>18</v>
      </c>
      <c r="C20" s="1" t="s">
        <v>19</v>
      </c>
      <c r="D20" s="1" t="s">
        <v>20</v>
      </c>
      <c r="E20" s="1" t="s">
        <v>21</v>
      </c>
      <c r="F20" s="1" t="s">
        <v>22</v>
      </c>
    </row>
    <row r="21" spans="1:6" ht="16.2" thickBot="1" x14ac:dyDescent="0.35">
      <c r="A21" s="15" t="s">
        <v>23</v>
      </c>
      <c r="B21" s="16">
        <v>12000</v>
      </c>
      <c r="C21" s="16">
        <v>31500</v>
      </c>
      <c r="D21" s="29" t="s">
        <v>24</v>
      </c>
      <c r="E21" s="29" t="s">
        <v>24</v>
      </c>
      <c r="F21" s="18"/>
    </row>
    <row r="22" spans="1:6" ht="16.2" thickBot="1" x14ac:dyDescent="0.35">
      <c r="A22" s="15" t="s">
        <v>25</v>
      </c>
      <c r="B22" s="12">
        <v>22700</v>
      </c>
      <c r="C22" s="12">
        <v>50200</v>
      </c>
      <c r="D22" s="29" t="s">
        <v>24</v>
      </c>
      <c r="E22" s="29" t="s">
        <v>24</v>
      </c>
      <c r="F22" s="20"/>
    </row>
    <row r="23" spans="1:6" ht="16.2" thickBot="1" x14ac:dyDescent="0.35">
      <c r="A23" s="15" t="s">
        <v>26</v>
      </c>
      <c r="B23" s="12">
        <v>210000</v>
      </c>
      <c r="C23" s="12">
        <v>405000</v>
      </c>
      <c r="D23" s="29" t="s">
        <v>24</v>
      </c>
      <c r="E23" s="29" t="s">
        <v>24</v>
      </c>
      <c r="F23" s="20"/>
    </row>
    <row r="24" spans="1:6" ht="16.2" thickBot="1" x14ac:dyDescent="0.35">
      <c r="A24" s="15" t="s">
        <v>27</v>
      </c>
      <c r="B24" s="12">
        <v>5500</v>
      </c>
      <c r="C24" s="12">
        <v>11000</v>
      </c>
      <c r="D24" s="29" t="s">
        <v>24</v>
      </c>
      <c r="E24" s="29" t="s">
        <v>411</v>
      </c>
      <c r="F24" s="20"/>
    </row>
    <row r="25" spans="1:6" ht="16.2" thickBot="1" x14ac:dyDescent="0.35">
      <c r="A25" s="15" t="s">
        <v>28</v>
      </c>
      <c r="B25" s="12">
        <v>0</v>
      </c>
      <c r="C25" s="12">
        <v>0</v>
      </c>
      <c r="D25" s="29"/>
      <c r="E25" s="29"/>
      <c r="F25" s="20"/>
    </row>
    <row r="26" spans="1:6" ht="16.2" thickBot="1" x14ac:dyDescent="0.35">
      <c r="A26" s="15" t="s">
        <v>29</v>
      </c>
      <c r="B26" s="12">
        <v>33900</v>
      </c>
      <c r="C26" s="12">
        <v>82800</v>
      </c>
      <c r="D26" s="29" t="s">
        <v>24</v>
      </c>
      <c r="E26" s="29" t="s">
        <v>24</v>
      </c>
      <c r="F26" s="20"/>
    </row>
    <row r="27" spans="1:6" ht="16.2" thickBot="1" x14ac:dyDescent="0.35">
      <c r="A27" s="15" t="s">
        <v>30</v>
      </c>
      <c r="B27" s="12">
        <v>20550</v>
      </c>
      <c r="C27" s="12">
        <v>56050</v>
      </c>
      <c r="D27" s="29" t="s">
        <v>24</v>
      </c>
      <c r="E27" s="29" t="s">
        <v>24</v>
      </c>
      <c r="F27" s="20"/>
    </row>
    <row r="28" spans="1:6" ht="16.2" thickBot="1" x14ac:dyDescent="0.35">
      <c r="A28" s="15" t="s">
        <v>412</v>
      </c>
      <c r="B28" s="12">
        <v>1000</v>
      </c>
      <c r="C28" s="12">
        <v>1000</v>
      </c>
      <c r="D28" s="29" t="s">
        <v>24</v>
      </c>
      <c r="E28" s="29" t="s">
        <v>24</v>
      </c>
      <c r="F28" s="20"/>
    </row>
    <row r="29" spans="1:6" ht="16.2" thickBot="1" x14ac:dyDescent="0.35">
      <c r="A29" s="15" t="s">
        <v>413</v>
      </c>
      <c r="B29" s="12">
        <v>4200</v>
      </c>
      <c r="C29" s="12">
        <v>17800</v>
      </c>
      <c r="D29" s="29" t="s">
        <v>24</v>
      </c>
      <c r="E29" s="29" t="s">
        <v>24</v>
      </c>
      <c r="F29" s="20"/>
    </row>
    <row r="30" spans="1:6" ht="16.2" thickBot="1" x14ac:dyDescent="0.35">
      <c r="A30" s="21"/>
      <c r="B30" s="12">
        <v>0</v>
      </c>
      <c r="C30" s="12">
        <v>0</v>
      </c>
      <c r="D30" s="19"/>
      <c r="E30" s="19"/>
      <c r="F30" s="20"/>
    </row>
    <row r="31" spans="1:6" ht="16.2" thickBot="1" x14ac:dyDescent="0.35">
      <c r="A31" s="13" t="s">
        <v>32</v>
      </c>
      <c r="B31" s="22">
        <v>309850</v>
      </c>
      <c r="C31" s="22">
        <v>655350</v>
      </c>
      <c r="D31" s="23"/>
      <c r="E31" s="23"/>
      <c r="F31" s="24"/>
    </row>
    <row r="35" spans="1:1" x14ac:dyDescent="0.3">
      <c r="A35" s="95" t="s">
        <v>414</v>
      </c>
    </row>
    <row r="37" spans="1:1" x14ac:dyDescent="0.3">
      <c r="A37" s="95" t="s">
        <v>415</v>
      </c>
    </row>
    <row r="39" spans="1:1" x14ac:dyDescent="0.3">
      <c r="A39" s="95" t="s">
        <v>416</v>
      </c>
    </row>
    <row r="41" spans="1:1" x14ac:dyDescent="0.3">
      <c r="A41" s="95" t="s">
        <v>417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CDB7-2F4B-4E14-89A2-643EDE37E985}">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418</v>
      </c>
      <c r="B2" s="390">
        <f>+C12</f>
        <v>1411040</v>
      </c>
      <c r="C2" s="389" t="s">
        <v>419</v>
      </c>
      <c r="D2" s="391">
        <v>2657629</v>
      </c>
      <c r="E2" s="389" t="s">
        <v>108</v>
      </c>
      <c r="F2" s="392" t="s">
        <v>420</v>
      </c>
      <c r="G2" s="391">
        <v>0</v>
      </c>
      <c r="H2" s="391">
        <v>0</v>
      </c>
    </row>
    <row r="4" spans="1:8" x14ac:dyDescent="0.3">
      <c r="A4" s="386" t="s">
        <v>11</v>
      </c>
    </row>
    <row r="6" spans="1:8" ht="16.2" thickBot="1" x14ac:dyDescent="0.35">
      <c r="A6" s="669" t="s">
        <v>12</v>
      </c>
      <c r="B6" s="10" t="s">
        <v>9</v>
      </c>
    </row>
    <row r="7" spans="1:8" ht="16.2" thickBot="1" x14ac:dyDescent="0.35">
      <c r="A7" s="668" t="s">
        <v>51</v>
      </c>
      <c r="B7" s="374">
        <v>5000</v>
      </c>
      <c r="C7" s="372" t="s">
        <v>421</v>
      </c>
    </row>
    <row r="8" spans="1:8" ht="16.2" thickBot="1" x14ac:dyDescent="0.35">
      <c r="A8" s="668" t="s">
        <v>53</v>
      </c>
      <c r="B8" s="374">
        <v>1370325</v>
      </c>
      <c r="C8" s="372" t="s">
        <v>422</v>
      </c>
    </row>
    <row r="9" spans="1:8" ht="16.2" thickBot="1" x14ac:dyDescent="0.35">
      <c r="A9" s="668" t="s">
        <v>55</v>
      </c>
      <c r="B9" s="374">
        <v>0</v>
      </c>
    </row>
    <row r="10" spans="1:8" ht="16.2" thickBot="1" x14ac:dyDescent="0.35">
      <c r="A10" s="668" t="s">
        <v>57</v>
      </c>
      <c r="B10" s="374">
        <v>0</v>
      </c>
    </row>
    <row r="11" spans="1:8" ht="16.2" thickBot="1" x14ac:dyDescent="0.35">
      <c r="A11" s="668" t="s">
        <v>2509</v>
      </c>
      <c r="B11" s="374">
        <v>35715</v>
      </c>
      <c r="C11" s="372" t="s">
        <v>2510</v>
      </c>
    </row>
    <row r="12" spans="1:8" ht="16.2" thickBot="1" x14ac:dyDescent="0.35">
      <c r="A12" s="668"/>
      <c r="B12" s="10"/>
      <c r="C12" s="374">
        <f>SUM(B7:B11)</f>
        <v>1411040</v>
      </c>
    </row>
    <row r="13" spans="1:8" x14ac:dyDescent="0.3">
      <c r="A13" s="667"/>
      <c r="C13" s="10" t="s">
        <v>9</v>
      </c>
    </row>
    <row r="15" spans="1:8" ht="31.2" x14ac:dyDescent="0.3">
      <c r="A15" s="384" t="s">
        <v>17</v>
      </c>
      <c r="B15" s="385" t="s">
        <v>18</v>
      </c>
      <c r="C15" s="384" t="s">
        <v>19</v>
      </c>
      <c r="D15" s="384" t="s">
        <v>20</v>
      </c>
      <c r="E15" s="384" t="s">
        <v>21</v>
      </c>
      <c r="F15" s="384" t="s">
        <v>22</v>
      </c>
    </row>
    <row r="16" spans="1:8" ht="16.2" thickBot="1" x14ac:dyDescent="0.35">
      <c r="A16" s="666" t="s">
        <v>23</v>
      </c>
      <c r="B16" s="382">
        <v>600</v>
      </c>
      <c r="C16" s="382">
        <v>4000</v>
      </c>
      <c r="D16" s="359" t="s">
        <v>423</v>
      </c>
      <c r="E16" s="359" t="s">
        <v>424</v>
      </c>
      <c r="F16" s="383" t="s">
        <v>425</v>
      </c>
    </row>
    <row r="17" spans="1:6" ht="16.2" thickBot="1" x14ac:dyDescent="0.35">
      <c r="A17" s="666" t="s">
        <v>25</v>
      </c>
      <c r="B17" s="374">
        <v>6732</v>
      </c>
      <c r="C17" s="374">
        <v>15000</v>
      </c>
      <c r="D17" s="387" t="s">
        <v>423</v>
      </c>
      <c r="E17" s="359" t="s">
        <v>424</v>
      </c>
      <c r="F17" s="377" t="s">
        <v>2511</v>
      </c>
    </row>
    <row r="18" spans="1:6" ht="16.2" thickBot="1" x14ac:dyDescent="0.35">
      <c r="A18" s="666" t="s">
        <v>26</v>
      </c>
      <c r="B18" s="374">
        <v>1300</v>
      </c>
      <c r="C18" s="374">
        <v>3000</v>
      </c>
      <c r="D18" s="387" t="s">
        <v>423</v>
      </c>
      <c r="E18" s="359" t="s">
        <v>424</v>
      </c>
      <c r="F18" s="377" t="s">
        <v>426</v>
      </c>
    </row>
    <row r="19" spans="1:6" ht="16.2" thickBot="1" x14ac:dyDescent="0.35">
      <c r="A19" s="666" t="s">
        <v>27</v>
      </c>
      <c r="B19" s="374">
        <v>0</v>
      </c>
      <c r="C19" s="374" t="s">
        <v>212</v>
      </c>
      <c r="D19" s="387" t="s">
        <v>423</v>
      </c>
      <c r="E19" s="359" t="s">
        <v>424</v>
      </c>
      <c r="F19" s="374" t="s">
        <v>212</v>
      </c>
    </row>
    <row r="20" spans="1:6" ht="16.2" thickBot="1" x14ac:dyDescent="0.35">
      <c r="A20" s="666" t="s">
        <v>28</v>
      </c>
      <c r="B20" s="374">
        <v>0</v>
      </c>
      <c r="C20" s="374" t="s">
        <v>212</v>
      </c>
      <c r="D20" s="387" t="s">
        <v>423</v>
      </c>
      <c r="E20" s="359" t="s">
        <v>424</v>
      </c>
      <c r="F20" s="374" t="s">
        <v>212</v>
      </c>
    </row>
    <row r="21" spans="1:6" ht="16.2" thickBot="1" x14ac:dyDescent="0.35">
      <c r="A21" s="666" t="s">
        <v>29</v>
      </c>
      <c r="B21" s="374">
        <v>3000</v>
      </c>
      <c r="C21" s="374">
        <v>14000</v>
      </c>
      <c r="D21" s="387" t="s">
        <v>423</v>
      </c>
      <c r="E21" s="359" t="s">
        <v>424</v>
      </c>
      <c r="F21" s="377" t="s">
        <v>427</v>
      </c>
    </row>
    <row r="22" spans="1:6" ht="16.2" thickBot="1" x14ac:dyDescent="0.35">
      <c r="A22" s="666" t="s">
        <v>30</v>
      </c>
      <c r="B22" s="374">
        <v>2350</v>
      </c>
      <c r="C22" s="374">
        <v>8000</v>
      </c>
      <c r="D22" s="387" t="s">
        <v>423</v>
      </c>
      <c r="E22" s="359" t="s">
        <v>424</v>
      </c>
      <c r="F22" s="377" t="s">
        <v>2512</v>
      </c>
    </row>
    <row r="23" spans="1:6" ht="16.2" thickBot="1" x14ac:dyDescent="0.35">
      <c r="A23" s="668"/>
      <c r="B23" s="374">
        <v>0</v>
      </c>
      <c r="C23" s="374">
        <v>0</v>
      </c>
      <c r="D23" s="387"/>
      <c r="E23" s="387"/>
      <c r="F23" s="377"/>
    </row>
    <row r="24" spans="1:6" ht="16.2" thickBot="1" x14ac:dyDescent="0.35">
      <c r="A24" s="668"/>
      <c r="B24" s="374">
        <v>0</v>
      </c>
      <c r="C24" s="374">
        <v>0</v>
      </c>
      <c r="D24" s="387"/>
      <c r="E24" s="387"/>
      <c r="F24" s="377"/>
    </row>
    <row r="25" spans="1:6" ht="16.2" thickBot="1" x14ac:dyDescent="0.35">
      <c r="A25" s="668"/>
      <c r="B25" s="374">
        <v>0</v>
      </c>
      <c r="C25" s="374">
        <v>0</v>
      </c>
      <c r="D25" s="387"/>
      <c r="E25" s="387"/>
      <c r="F25" s="377"/>
    </row>
    <row r="26" spans="1:6" ht="16.2" thickBot="1" x14ac:dyDescent="0.35">
      <c r="A26" s="668"/>
      <c r="B26" s="374">
        <v>0</v>
      </c>
      <c r="C26" s="374">
        <v>0</v>
      </c>
      <c r="D26" s="387"/>
      <c r="E26" s="387"/>
      <c r="F26" s="377"/>
    </row>
    <row r="27" spans="1:6" ht="16.2" thickBot="1" x14ac:dyDescent="0.35">
      <c r="A27" s="668"/>
      <c r="B27" s="374">
        <v>0</v>
      </c>
      <c r="C27" s="374">
        <v>0</v>
      </c>
      <c r="D27" s="387"/>
      <c r="E27" s="387"/>
      <c r="F27" s="377"/>
    </row>
    <row r="28" spans="1:6" ht="16.2" thickBot="1" x14ac:dyDescent="0.35">
      <c r="A28" s="378"/>
      <c r="B28" s="374">
        <v>0</v>
      </c>
      <c r="C28" s="374">
        <v>0</v>
      </c>
      <c r="D28" s="387"/>
      <c r="E28" s="387"/>
      <c r="F28" s="377"/>
    </row>
    <row r="29" spans="1:6" ht="16.2" thickBot="1" x14ac:dyDescent="0.35">
      <c r="A29" s="667" t="s">
        <v>32</v>
      </c>
      <c r="B29" s="379">
        <f>SUM(B16:B28)</f>
        <v>13982</v>
      </c>
      <c r="C29" s="379">
        <f>SUM(C16:C28)</f>
        <v>44000</v>
      </c>
      <c r="D29" s="388"/>
      <c r="E29" s="388"/>
      <c r="F29" s="380"/>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FB68-6955-4B6A-9D03-D11BE8CE0B48}">
  <dimension ref="A1:H36"/>
  <sheetViews>
    <sheetView topLeftCell="A16"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428</v>
      </c>
      <c r="B2" s="27">
        <v>319000</v>
      </c>
      <c r="C2" s="3" t="s">
        <v>429</v>
      </c>
      <c r="D2" s="28">
        <v>9962574</v>
      </c>
      <c r="E2" s="3" t="s">
        <v>24</v>
      </c>
      <c r="F2" s="6" t="s">
        <v>430</v>
      </c>
      <c r="G2" s="5">
        <v>0</v>
      </c>
      <c r="H2" s="5">
        <v>0</v>
      </c>
    </row>
    <row r="4" spans="1:8" x14ac:dyDescent="0.3">
      <c r="A4" s="8" t="s">
        <v>11</v>
      </c>
    </row>
    <row r="6" spans="1:8" ht="16.2" thickBot="1" x14ac:dyDescent="0.35">
      <c r="A6" s="9" t="s">
        <v>12</v>
      </c>
      <c r="B6" s="10" t="s">
        <v>9</v>
      </c>
    </row>
    <row r="7" spans="1:8" ht="16.2" thickBot="1" x14ac:dyDescent="0.35">
      <c r="A7" s="15" t="s">
        <v>51</v>
      </c>
      <c r="B7" s="12" t="s">
        <v>420</v>
      </c>
    </row>
    <row r="8" spans="1:8" ht="16.2" thickBot="1" x14ac:dyDescent="0.35">
      <c r="A8" s="15" t="s">
        <v>53</v>
      </c>
      <c r="B8" s="96" t="s">
        <v>420</v>
      </c>
    </row>
    <row r="9" spans="1:8" ht="16.2" thickBot="1" x14ac:dyDescent="0.35">
      <c r="A9" s="15" t="s">
        <v>55</v>
      </c>
      <c r="B9" s="96">
        <v>20000</v>
      </c>
      <c r="C9" s="97"/>
    </row>
    <row r="10" spans="1:8" ht="16.2" thickBot="1" x14ac:dyDescent="0.35">
      <c r="A10" s="15" t="s">
        <v>57</v>
      </c>
      <c r="B10" s="98">
        <v>20000</v>
      </c>
    </row>
    <row r="11" spans="1:8" ht="16.2" thickBot="1" x14ac:dyDescent="0.35">
      <c r="A11" s="15" t="s">
        <v>431</v>
      </c>
      <c r="B11" s="98">
        <v>55000</v>
      </c>
    </row>
    <row r="12" spans="1:8" ht="16.2" thickBot="1" x14ac:dyDescent="0.35">
      <c r="A12" s="15" t="s">
        <v>432</v>
      </c>
      <c r="B12" s="98">
        <v>150000</v>
      </c>
    </row>
    <row r="13" spans="1:8" ht="16.2" thickBot="1" x14ac:dyDescent="0.35">
      <c r="A13" s="15" t="s">
        <v>433</v>
      </c>
      <c r="B13" s="98">
        <v>16000</v>
      </c>
    </row>
    <row r="14" spans="1:8" ht="16.2" thickBot="1" x14ac:dyDescent="0.35">
      <c r="A14" s="15" t="s">
        <v>434</v>
      </c>
      <c r="B14" s="98">
        <v>25000</v>
      </c>
    </row>
    <row r="15" spans="1:8" ht="16.2" thickBot="1" x14ac:dyDescent="0.35">
      <c r="A15" s="15" t="s">
        <v>435</v>
      </c>
      <c r="B15" s="96">
        <v>9000</v>
      </c>
      <c r="C15" s="97"/>
    </row>
    <row r="16" spans="1:8" ht="16.2" thickBot="1" x14ac:dyDescent="0.35">
      <c r="A16" s="15" t="s">
        <v>436</v>
      </c>
      <c r="B16" s="96">
        <v>5000</v>
      </c>
      <c r="C16" s="97"/>
    </row>
    <row r="17" spans="1:6" ht="16.2" thickBot="1" x14ac:dyDescent="0.35">
      <c r="A17" s="15" t="s">
        <v>437</v>
      </c>
      <c r="B17" s="96">
        <v>19000</v>
      </c>
      <c r="C17" s="97"/>
    </row>
    <row r="18" spans="1:6" ht="16.2" thickBot="1" x14ac:dyDescent="0.35">
      <c r="A18" s="11"/>
      <c r="B18" s="96">
        <v>0</v>
      </c>
      <c r="C18" s="97"/>
    </row>
    <row r="19" spans="1:6" ht="16.2" thickBot="1" x14ac:dyDescent="0.35">
      <c r="A19" s="11"/>
      <c r="B19" s="99"/>
      <c r="C19" s="96">
        <v>319000</v>
      </c>
    </row>
    <row r="20" spans="1:6" x14ac:dyDescent="0.3">
      <c r="A20" s="13"/>
      <c r="B20" s="97"/>
      <c r="C20" s="99" t="s">
        <v>9</v>
      </c>
    </row>
    <row r="22" spans="1:6" ht="31.2" x14ac:dyDescent="0.3">
      <c r="A22" s="1" t="s">
        <v>17</v>
      </c>
      <c r="B22" s="14" t="s">
        <v>18</v>
      </c>
      <c r="C22" s="1" t="s">
        <v>19</v>
      </c>
      <c r="D22" s="1" t="s">
        <v>20</v>
      </c>
      <c r="E22" s="1" t="s">
        <v>21</v>
      </c>
      <c r="F22" s="1" t="s">
        <v>22</v>
      </c>
    </row>
    <row r="23" spans="1:6" ht="16.2" thickBot="1" x14ac:dyDescent="0.35">
      <c r="A23" s="15" t="s">
        <v>23</v>
      </c>
      <c r="B23" s="100">
        <v>44178</v>
      </c>
      <c r="C23" s="100">
        <v>47288</v>
      </c>
      <c r="D23" s="101" t="s">
        <v>24</v>
      </c>
      <c r="E23" s="100"/>
      <c r="F23" s="100"/>
    </row>
    <row r="24" spans="1:6" ht="16.2" thickBot="1" x14ac:dyDescent="0.35">
      <c r="A24" s="15" t="s">
        <v>25</v>
      </c>
      <c r="B24" s="96">
        <v>3686</v>
      </c>
      <c r="C24" s="96">
        <v>3724</v>
      </c>
      <c r="D24" s="102" t="s">
        <v>24</v>
      </c>
      <c r="E24" s="96"/>
      <c r="F24" s="96"/>
    </row>
    <row r="25" spans="1:6" ht="16.2" thickBot="1" x14ac:dyDescent="0.35">
      <c r="A25" s="15" t="s">
        <v>26</v>
      </c>
      <c r="B25" s="96">
        <v>0</v>
      </c>
      <c r="C25" s="96">
        <v>0</v>
      </c>
      <c r="D25" s="102"/>
      <c r="E25" s="96"/>
      <c r="F25" s="96"/>
    </row>
    <row r="26" spans="1:6" ht="16.2" thickBot="1" x14ac:dyDescent="0.35">
      <c r="A26" s="15" t="s">
        <v>27</v>
      </c>
      <c r="B26" s="96">
        <v>0</v>
      </c>
      <c r="C26" s="96">
        <v>0</v>
      </c>
      <c r="D26" s="102"/>
      <c r="E26" s="96"/>
      <c r="F26" s="96"/>
    </row>
    <row r="27" spans="1:6" ht="16.2" thickBot="1" x14ac:dyDescent="0.35">
      <c r="A27" s="15" t="s">
        <v>28</v>
      </c>
      <c r="B27" s="96">
        <v>0</v>
      </c>
      <c r="C27" s="96">
        <v>0</v>
      </c>
      <c r="D27" s="102"/>
      <c r="E27" s="96"/>
      <c r="F27" s="96"/>
    </row>
    <row r="28" spans="1:6" ht="16.2" thickBot="1" x14ac:dyDescent="0.35">
      <c r="A28" s="15" t="s">
        <v>29</v>
      </c>
      <c r="B28" s="96">
        <v>3916</v>
      </c>
      <c r="C28" s="96">
        <v>3916</v>
      </c>
      <c r="D28" s="102" t="s">
        <v>24</v>
      </c>
      <c r="E28" s="96"/>
      <c r="F28" s="96"/>
    </row>
    <row r="29" spans="1:6" ht="16.2" thickBot="1" x14ac:dyDescent="0.35">
      <c r="A29" s="15" t="s">
        <v>30</v>
      </c>
      <c r="B29" s="96">
        <v>798</v>
      </c>
      <c r="C29" s="96">
        <v>10282</v>
      </c>
      <c r="D29" s="102" t="s">
        <v>24</v>
      </c>
      <c r="E29" s="96"/>
      <c r="F29" s="96"/>
    </row>
    <row r="30" spans="1:6" ht="16.2" thickBot="1" x14ac:dyDescent="0.35">
      <c r="A30" s="11"/>
      <c r="B30" s="96">
        <v>0</v>
      </c>
      <c r="C30" s="96">
        <v>0</v>
      </c>
      <c r="D30" s="102"/>
      <c r="E30" s="96"/>
      <c r="F30" s="96"/>
    </row>
    <row r="31" spans="1:6" ht="16.2" thickBot="1" x14ac:dyDescent="0.35">
      <c r="A31" s="11"/>
      <c r="B31" s="96">
        <v>0</v>
      </c>
      <c r="C31" s="96">
        <v>0</v>
      </c>
      <c r="D31" s="102"/>
      <c r="E31" s="96"/>
      <c r="F31" s="96"/>
    </row>
    <row r="32" spans="1:6" ht="16.2" thickBot="1" x14ac:dyDescent="0.35">
      <c r="A32" s="11"/>
      <c r="B32" s="96">
        <v>0</v>
      </c>
      <c r="C32" s="96">
        <v>0</v>
      </c>
      <c r="D32" s="102"/>
      <c r="E32" s="96"/>
      <c r="F32" s="96"/>
    </row>
    <row r="33" spans="1:6" ht="16.2" thickBot="1" x14ac:dyDescent="0.35">
      <c r="A33" s="11"/>
      <c r="B33" s="96">
        <v>0</v>
      </c>
      <c r="C33" s="96">
        <v>0</v>
      </c>
      <c r="D33" s="102"/>
      <c r="E33" s="96"/>
      <c r="F33" s="96"/>
    </row>
    <row r="34" spans="1:6" ht="16.2" thickBot="1" x14ac:dyDescent="0.35">
      <c r="A34" s="11"/>
      <c r="B34" s="96">
        <v>0</v>
      </c>
      <c r="C34" s="96">
        <v>0</v>
      </c>
      <c r="D34" s="102"/>
      <c r="E34" s="96"/>
      <c r="F34" s="96"/>
    </row>
    <row r="35" spans="1:6" ht="16.2" thickBot="1" x14ac:dyDescent="0.35">
      <c r="A35" s="21"/>
      <c r="B35" s="96">
        <v>0</v>
      </c>
      <c r="C35" s="96">
        <v>0</v>
      </c>
      <c r="D35" s="102"/>
      <c r="E35" s="96"/>
      <c r="F35" s="96"/>
    </row>
    <row r="36" spans="1:6" ht="16.2" thickBot="1" x14ac:dyDescent="0.35">
      <c r="A36" s="13" t="s">
        <v>32</v>
      </c>
      <c r="B36" s="103">
        <v>52578</v>
      </c>
      <c r="C36" s="103">
        <v>65210</v>
      </c>
      <c r="D36" s="103"/>
      <c r="E36" s="103"/>
      <c r="F36" s="103"/>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C1E9-12BF-4119-883B-4518F4C6479A}">
  <dimension ref="A1:H29"/>
  <sheetViews>
    <sheetView topLeftCell="A22"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104" t="s">
        <v>438</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31.8" thickBot="1" x14ac:dyDescent="0.35">
      <c r="A16" s="15" t="s">
        <v>23</v>
      </c>
      <c r="B16" s="16">
        <v>0</v>
      </c>
      <c r="C16" s="16">
        <v>4657</v>
      </c>
      <c r="D16" s="17" t="s">
        <v>24</v>
      </c>
      <c r="E16" s="17"/>
      <c r="F16" s="32" t="s">
        <v>439</v>
      </c>
    </row>
    <row r="17" spans="1:6" ht="47.4" thickBot="1" x14ac:dyDescent="0.35">
      <c r="A17" s="15" t="s">
        <v>25</v>
      </c>
      <c r="B17" s="12">
        <v>2709</v>
      </c>
      <c r="C17" s="12">
        <v>2709</v>
      </c>
      <c r="D17" s="19" t="s">
        <v>24</v>
      </c>
      <c r="E17" s="19"/>
      <c r="F17" s="33" t="s">
        <v>440</v>
      </c>
    </row>
    <row r="18" spans="1:6" ht="78.599999999999994" thickBot="1" x14ac:dyDescent="0.35">
      <c r="A18" s="15" t="s">
        <v>26</v>
      </c>
      <c r="B18" s="12">
        <v>25571.1</v>
      </c>
      <c r="C18" s="12">
        <v>54154.03</v>
      </c>
      <c r="D18" s="19" t="s">
        <v>441</v>
      </c>
      <c r="E18" s="19"/>
      <c r="F18" s="33" t="s">
        <v>442</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0</v>
      </c>
      <c r="C22" s="12">
        <v>0</v>
      </c>
      <c r="D22" s="19"/>
      <c r="E22" s="19"/>
      <c r="F22" s="20"/>
    </row>
    <row r="23" spans="1:6" ht="47.4" thickBot="1" x14ac:dyDescent="0.35">
      <c r="A23" s="15" t="s">
        <v>443</v>
      </c>
      <c r="B23" s="12">
        <v>9239</v>
      </c>
      <c r="C23" s="12">
        <v>9239</v>
      </c>
      <c r="D23" s="19" t="s">
        <v>24</v>
      </c>
      <c r="E23" s="19"/>
      <c r="F23" s="33" t="s">
        <v>444</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37519.1</v>
      </c>
      <c r="C29" s="22">
        <v>70759.03</v>
      </c>
      <c r="D29" s="23"/>
      <c r="E29" s="23"/>
      <c r="F29" s="24"/>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A3EB-FC87-4980-8036-3473C0B49FC8}">
  <dimension ref="A1:H35"/>
  <sheetViews>
    <sheetView topLeftCell="A19" workbookViewId="0">
      <selection activeCell="E11" sqref="E11:J11"/>
    </sheetView>
  </sheetViews>
  <sheetFormatPr defaultColWidth="9.109375" defaultRowHeight="15.6" x14ac:dyDescent="0.3"/>
  <cols>
    <col min="1" max="1" width="42.6640625" style="372"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240</v>
      </c>
      <c r="B2" s="390">
        <f>C17</f>
        <v>415029</v>
      </c>
      <c r="C2" s="389" t="s">
        <v>2251</v>
      </c>
      <c r="D2" s="391">
        <v>7815186</v>
      </c>
      <c r="E2" s="389" t="s">
        <v>10</v>
      </c>
      <c r="F2" s="392"/>
      <c r="G2" s="391">
        <v>0</v>
      </c>
      <c r="H2" s="391">
        <v>0</v>
      </c>
    </row>
    <row r="4" spans="1:8" x14ac:dyDescent="0.3">
      <c r="A4" s="386" t="s">
        <v>11</v>
      </c>
    </row>
    <row r="6" spans="1:8" ht="16.2" thickBot="1" x14ac:dyDescent="0.35">
      <c r="A6" s="549" t="s">
        <v>12</v>
      </c>
      <c r="B6" s="10" t="s">
        <v>9</v>
      </c>
    </row>
    <row r="7" spans="1:8" ht="16.2" thickBot="1" x14ac:dyDescent="0.35">
      <c r="A7" s="548" t="s">
        <v>13</v>
      </c>
      <c r="B7" s="374">
        <v>11500</v>
      </c>
      <c r="C7" s="372" t="s">
        <v>2252</v>
      </c>
    </row>
    <row r="8" spans="1:8" ht="16.2" thickBot="1" x14ac:dyDescent="0.35">
      <c r="A8" s="548" t="s">
        <v>2253</v>
      </c>
      <c r="B8" s="374">
        <v>8000</v>
      </c>
      <c r="C8" s="372" t="s">
        <v>2254</v>
      </c>
    </row>
    <row r="9" spans="1:8" ht="16.2" thickBot="1" x14ac:dyDescent="0.35">
      <c r="A9" s="548" t="s">
        <v>2255</v>
      </c>
      <c r="B9" s="374">
        <v>2800</v>
      </c>
    </row>
    <row r="10" spans="1:8" ht="16.2" thickBot="1" x14ac:dyDescent="0.35">
      <c r="A10" s="548" t="s">
        <v>2256</v>
      </c>
      <c r="B10" s="374">
        <v>121941</v>
      </c>
      <c r="C10" s="372" t="s">
        <v>2257</v>
      </c>
    </row>
    <row r="11" spans="1:8" ht="16.2" thickBot="1" x14ac:dyDescent="0.35">
      <c r="A11" s="548" t="s">
        <v>2258</v>
      </c>
      <c r="B11" s="374">
        <v>63225</v>
      </c>
      <c r="C11" s="372" t="s">
        <v>2257</v>
      </c>
    </row>
    <row r="12" spans="1:8" ht="16.2" thickBot="1" x14ac:dyDescent="0.35">
      <c r="A12" s="548" t="s">
        <v>2259</v>
      </c>
      <c r="B12" s="374">
        <v>27279</v>
      </c>
      <c r="C12" s="372" t="s">
        <v>2257</v>
      </c>
    </row>
    <row r="13" spans="1:8" ht="16.2" thickBot="1" x14ac:dyDescent="0.35">
      <c r="A13" s="548" t="s">
        <v>2260</v>
      </c>
      <c r="B13" s="374">
        <v>17675</v>
      </c>
      <c r="C13" s="372" t="s">
        <v>2261</v>
      </c>
    </row>
    <row r="14" spans="1:8" ht="16.2" thickBot="1" x14ac:dyDescent="0.35">
      <c r="A14" s="548" t="s">
        <v>2262</v>
      </c>
      <c r="B14" s="374">
        <v>4000</v>
      </c>
      <c r="C14" s="372" t="s">
        <v>2263</v>
      </c>
    </row>
    <row r="15" spans="1:8" ht="16.2" thickBot="1" x14ac:dyDescent="0.35">
      <c r="A15" s="548" t="s">
        <v>2264</v>
      </c>
      <c r="B15" s="374">
        <v>111786</v>
      </c>
      <c r="C15" s="372" t="s">
        <v>2265</v>
      </c>
    </row>
    <row r="16" spans="1:8" ht="16.2" thickBot="1" x14ac:dyDescent="0.35">
      <c r="A16" s="548" t="s">
        <v>2266</v>
      </c>
      <c r="B16" s="374">
        <v>46823</v>
      </c>
      <c r="C16" s="372" t="s">
        <v>2265</v>
      </c>
    </row>
    <row r="17" spans="1:6" ht="16.2" thickBot="1" x14ac:dyDescent="0.35">
      <c r="A17" s="548"/>
      <c r="B17" s="10"/>
      <c r="C17" s="374">
        <f>SUM(B7:B16)</f>
        <v>415029</v>
      </c>
    </row>
    <row r="18" spans="1:6" x14ac:dyDescent="0.3">
      <c r="A18" s="547"/>
      <c r="C18" s="10" t="s">
        <v>9</v>
      </c>
    </row>
    <row r="20" spans="1:6" ht="31.2" x14ac:dyDescent="0.3">
      <c r="A20" s="384" t="s">
        <v>17</v>
      </c>
      <c r="B20" s="385" t="s">
        <v>18</v>
      </c>
      <c r="C20" s="384" t="s">
        <v>19</v>
      </c>
      <c r="D20" s="384" t="s">
        <v>20</v>
      </c>
      <c r="E20" s="384" t="s">
        <v>21</v>
      </c>
      <c r="F20" s="384" t="s">
        <v>22</v>
      </c>
    </row>
    <row r="21" spans="1:6" ht="16.2" thickBot="1" x14ac:dyDescent="0.35">
      <c r="A21" s="546" t="s">
        <v>23</v>
      </c>
      <c r="B21" s="382">
        <v>8979.8799999999992</v>
      </c>
      <c r="C21" s="382">
        <v>16814.04</v>
      </c>
      <c r="D21" s="359" t="s">
        <v>24</v>
      </c>
      <c r="E21" s="359"/>
      <c r="F21" s="383"/>
    </row>
    <row r="22" spans="1:6" ht="16.2" thickBot="1" x14ac:dyDescent="0.35">
      <c r="A22" s="546" t="s">
        <v>25</v>
      </c>
      <c r="B22" s="374">
        <v>27628.44</v>
      </c>
      <c r="C22" s="374">
        <v>35348.239999999998</v>
      </c>
      <c r="D22" s="359" t="s">
        <v>24</v>
      </c>
      <c r="E22" s="387"/>
      <c r="F22" s="377"/>
    </row>
    <row r="23" spans="1:6" ht="16.2" thickBot="1" x14ac:dyDescent="0.35">
      <c r="A23" s="546" t="s">
        <v>26</v>
      </c>
      <c r="B23" s="374">
        <v>12961.16</v>
      </c>
      <c r="C23" s="374">
        <v>18282.599999999999</v>
      </c>
      <c r="D23" s="359" t="s">
        <v>24</v>
      </c>
      <c r="E23" s="387"/>
      <c r="F23" s="377"/>
    </row>
    <row r="24" spans="1:6" ht="16.2" thickBot="1" x14ac:dyDescent="0.35">
      <c r="A24" s="546" t="s">
        <v>27</v>
      </c>
      <c r="B24" s="374">
        <v>0</v>
      </c>
      <c r="C24" s="374">
        <v>0</v>
      </c>
      <c r="D24" s="387"/>
      <c r="E24" s="387"/>
      <c r="F24" s="377"/>
    </row>
    <row r="25" spans="1:6" ht="16.2" thickBot="1" x14ac:dyDescent="0.35">
      <c r="A25" s="546" t="s">
        <v>28</v>
      </c>
      <c r="B25" s="374">
        <v>0</v>
      </c>
      <c r="C25" s="374">
        <v>0</v>
      </c>
      <c r="D25" s="387"/>
      <c r="E25" s="387"/>
      <c r="F25" s="377"/>
    </row>
    <row r="26" spans="1:6" ht="16.2" thickBot="1" x14ac:dyDescent="0.35">
      <c r="A26" s="546" t="s">
        <v>29</v>
      </c>
      <c r="B26" s="374">
        <v>16936.189999999999</v>
      </c>
      <c r="C26" s="374">
        <v>39445.19</v>
      </c>
      <c r="D26" s="359" t="s">
        <v>24</v>
      </c>
      <c r="E26" s="387"/>
      <c r="F26" s="377"/>
    </row>
    <row r="27" spans="1:6" ht="16.2" thickBot="1" x14ac:dyDescent="0.35">
      <c r="A27" s="546" t="s">
        <v>30</v>
      </c>
      <c r="B27" s="374">
        <v>16008.86</v>
      </c>
      <c r="C27" s="374">
        <v>21561.49</v>
      </c>
      <c r="D27" s="359" t="s">
        <v>24</v>
      </c>
      <c r="E27" s="387"/>
      <c r="F27" s="377"/>
    </row>
    <row r="28" spans="1:6" ht="16.2" thickBot="1" x14ac:dyDescent="0.35">
      <c r="A28" s="372" t="s">
        <v>2267</v>
      </c>
      <c r="B28" s="374">
        <v>5530</v>
      </c>
      <c r="C28" s="374">
        <v>5530</v>
      </c>
      <c r="D28" s="359" t="s">
        <v>24</v>
      </c>
      <c r="E28" s="387"/>
      <c r="F28" s="377"/>
    </row>
    <row r="29" spans="1:6" ht="16.2" thickBot="1" x14ac:dyDescent="0.35">
      <c r="A29" s="372" t="s">
        <v>2268</v>
      </c>
      <c r="B29" s="374">
        <v>780.12</v>
      </c>
      <c r="C29" s="374">
        <v>1271.8800000000001</v>
      </c>
      <c r="D29" s="359" t="s">
        <v>24</v>
      </c>
      <c r="E29" s="387"/>
      <c r="F29" s="377"/>
    </row>
    <row r="30" spans="1:6" ht="16.2" thickBot="1" x14ac:dyDescent="0.35">
      <c r="A30" s="372" t="s">
        <v>2269</v>
      </c>
      <c r="B30" s="374">
        <v>0</v>
      </c>
      <c r="C30" s="374">
        <v>2000</v>
      </c>
      <c r="D30" s="359" t="s">
        <v>24</v>
      </c>
      <c r="E30" s="387"/>
      <c r="F30" s="377"/>
    </row>
    <row r="31" spans="1:6" ht="16.2" thickBot="1" x14ac:dyDescent="0.35">
      <c r="A31" s="372" t="s">
        <v>2270</v>
      </c>
      <c r="B31" s="374">
        <v>6386.25</v>
      </c>
      <c r="C31" s="374">
        <v>19406.25</v>
      </c>
      <c r="D31" s="359" t="s">
        <v>24</v>
      </c>
      <c r="E31" s="387"/>
      <c r="F31" s="377"/>
    </row>
    <row r="32" spans="1:6" ht="16.2" thickBot="1" x14ac:dyDescent="0.35">
      <c r="A32" s="372" t="s">
        <v>2271</v>
      </c>
      <c r="B32" s="374">
        <v>0</v>
      </c>
      <c r="C32" s="374">
        <v>469.99</v>
      </c>
      <c r="D32" s="359" t="s">
        <v>24</v>
      </c>
      <c r="E32" s="387"/>
      <c r="F32" s="377"/>
    </row>
    <row r="33" spans="1:6" ht="16.2" thickBot="1" x14ac:dyDescent="0.35">
      <c r="A33" s="372" t="s">
        <v>2272</v>
      </c>
      <c r="B33" s="374">
        <v>0</v>
      </c>
      <c r="C33" s="374">
        <v>3642.88</v>
      </c>
      <c r="D33" s="359" t="s">
        <v>24</v>
      </c>
      <c r="E33" s="387"/>
      <c r="F33" s="377"/>
    </row>
    <row r="34" spans="1:6" ht="16.2" thickBot="1" x14ac:dyDescent="0.35">
      <c r="A34" s="195" t="s">
        <v>2273</v>
      </c>
      <c r="B34" s="374">
        <v>2320</v>
      </c>
      <c r="C34" s="374">
        <v>2320</v>
      </c>
      <c r="D34" s="359" t="s">
        <v>24</v>
      </c>
      <c r="E34" s="387"/>
      <c r="F34" s="377"/>
    </row>
    <row r="35" spans="1:6" ht="16.2" thickBot="1" x14ac:dyDescent="0.35">
      <c r="A35" s="547" t="s">
        <v>32</v>
      </c>
      <c r="B35" s="379">
        <f>SUM(B21:B34)</f>
        <v>97530.9</v>
      </c>
      <c r="C35" s="379">
        <f>SUM(C21:C34)</f>
        <v>166092.56</v>
      </c>
      <c r="D35" s="388"/>
      <c r="E35" s="388"/>
      <c r="F35" s="380"/>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F4DD-5921-4B7C-9B27-6C90C9194ED2}">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445</v>
      </c>
      <c r="H1" s="1" t="s">
        <v>7</v>
      </c>
    </row>
    <row r="2" spans="1:8" ht="31.8" thickBot="1" x14ac:dyDescent="0.35">
      <c r="A2" s="36" t="s">
        <v>446</v>
      </c>
      <c r="B2" s="37" t="s">
        <v>447</v>
      </c>
      <c r="C2" s="36" t="s">
        <v>63</v>
      </c>
      <c r="D2" s="105">
        <v>2392871</v>
      </c>
      <c r="E2" s="36" t="s">
        <v>10</v>
      </c>
      <c r="F2" s="76" t="s">
        <v>448</v>
      </c>
      <c r="G2" s="105">
        <v>0</v>
      </c>
      <c r="H2" s="105">
        <v>0</v>
      </c>
    </row>
    <row r="4" spans="1:8" x14ac:dyDescent="0.3">
      <c r="A4" s="8" t="s">
        <v>11</v>
      </c>
      <c r="C4" s="765" t="s">
        <v>449</v>
      </c>
      <c r="D4" s="765"/>
      <c r="E4" s="765"/>
      <c r="F4" s="765"/>
    </row>
    <row r="5" spans="1:8" x14ac:dyDescent="0.3">
      <c r="C5" s="766" t="s">
        <v>450</v>
      </c>
      <c r="D5" s="765"/>
      <c r="E5" s="765"/>
      <c r="F5" s="765"/>
    </row>
    <row r="6" spans="1:8" ht="16.2" thickBot="1" x14ac:dyDescent="0.35">
      <c r="A6" s="9" t="s">
        <v>12</v>
      </c>
      <c r="B6" s="10" t="s">
        <v>9</v>
      </c>
    </row>
    <row r="7" spans="1:8" ht="16.2" thickBot="1" x14ac:dyDescent="0.35">
      <c r="A7" s="11" t="s">
        <v>13</v>
      </c>
      <c r="B7" s="106" t="s">
        <v>447</v>
      </c>
    </row>
    <row r="8" spans="1:8" ht="16.2" thickBot="1" x14ac:dyDescent="0.35">
      <c r="A8" s="11" t="s">
        <v>14</v>
      </c>
      <c r="B8" s="106" t="s">
        <v>447</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0</v>
      </c>
      <c r="D15" s="43"/>
      <c r="E15" s="17"/>
      <c r="F15" s="18"/>
    </row>
    <row r="16" spans="1:8" ht="16.2" thickBot="1" x14ac:dyDescent="0.35">
      <c r="A16" s="15" t="s">
        <v>25</v>
      </c>
      <c r="B16" s="12">
        <v>1405</v>
      </c>
      <c r="C16" s="12">
        <v>1405</v>
      </c>
      <c r="D16" s="46" t="s">
        <v>24</v>
      </c>
      <c r="E16" s="19" t="s">
        <v>79</v>
      </c>
      <c r="F16" s="20" t="s">
        <v>451</v>
      </c>
    </row>
    <row r="17" spans="1:6" ht="16.2" thickBot="1" x14ac:dyDescent="0.35">
      <c r="A17" s="15" t="s">
        <v>26</v>
      </c>
      <c r="B17" s="12">
        <v>0</v>
      </c>
      <c r="C17" s="12">
        <v>0</v>
      </c>
      <c r="D17" s="46"/>
      <c r="E17" s="19"/>
      <c r="F17" s="20"/>
    </row>
    <row r="18" spans="1:6" ht="16.2" thickBot="1" x14ac:dyDescent="0.35">
      <c r="A18" s="15" t="s">
        <v>27</v>
      </c>
      <c r="B18" s="12">
        <v>0</v>
      </c>
      <c r="C18" s="12">
        <v>0</v>
      </c>
      <c r="D18" s="46"/>
      <c r="E18" s="19"/>
      <c r="F18" s="20"/>
    </row>
    <row r="19" spans="1:6" ht="16.2" thickBot="1" x14ac:dyDescent="0.35">
      <c r="A19" s="15" t="s">
        <v>28</v>
      </c>
      <c r="B19" s="12">
        <v>0</v>
      </c>
      <c r="C19" s="12">
        <v>0</v>
      </c>
      <c r="D19" s="46"/>
      <c r="E19" s="19"/>
      <c r="F19" s="20"/>
    </row>
    <row r="20" spans="1:6" ht="16.2" thickBot="1" x14ac:dyDescent="0.35">
      <c r="A20" s="15" t="s">
        <v>29</v>
      </c>
      <c r="B20" s="12">
        <v>0</v>
      </c>
      <c r="C20" s="12">
        <v>0</v>
      </c>
      <c r="D20" s="46"/>
      <c r="E20" s="19"/>
      <c r="F20" s="20"/>
    </row>
    <row r="21" spans="1:6" ht="16.2" thickBot="1" x14ac:dyDescent="0.35">
      <c r="A21" s="15" t="s">
        <v>30</v>
      </c>
      <c r="B21" s="12">
        <v>0</v>
      </c>
      <c r="C21" s="12">
        <v>7900</v>
      </c>
      <c r="D21" s="46" t="s">
        <v>24</v>
      </c>
      <c r="E21" s="19"/>
      <c r="F21" s="20"/>
    </row>
    <row r="22" spans="1:6" ht="16.2" thickBot="1" x14ac:dyDescent="0.35">
      <c r="A22" s="15" t="s">
        <v>452</v>
      </c>
      <c r="B22" s="12">
        <v>14000</v>
      </c>
      <c r="C22" s="12">
        <v>14000</v>
      </c>
      <c r="D22" s="46" t="s">
        <v>24</v>
      </c>
      <c r="E22" s="19" t="s">
        <v>79</v>
      </c>
      <c r="F22" s="20" t="s">
        <v>453</v>
      </c>
    </row>
    <row r="23" spans="1:6" ht="16.2" thickBot="1" x14ac:dyDescent="0.35">
      <c r="A23" s="15" t="s">
        <v>454</v>
      </c>
      <c r="B23" s="12">
        <v>1000</v>
      </c>
      <c r="C23" s="12">
        <v>1000</v>
      </c>
      <c r="D23" s="46" t="s">
        <v>24</v>
      </c>
      <c r="E23" s="19"/>
      <c r="F23" s="20"/>
    </row>
    <row r="24" spans="1:6" ht="16.2" thickBot="1" x14ac:dyDescent="0.35">
      <c r="A24" s="11"/>
      <c r="B24" s="12">
        <v>0</v>
      </c>
      <c r="C24" s="12">
        <v>0</v>
      </c>
      <c r="D24" s="46"/>
      <c r="E24" s="19"/>
      <c r="F24" s="20"/>
    </row>
    <row r="25" spans="1:6" ht="16.2" thickBot="1" x14ac:dyDescent="0.35">
      <c r="A25" s="11"/>
      <c r="B25" s="12">
        <v>0</v>
      </c>
      <c r="C25" s="12">
        <v>0</v>
      </c>
      <c r="D25" s="46"/>
      <c r="E25" s="19"/>
      <c r="F25" s="20"/>
    </row>
    <row r="26" spans="1:6" ht="16.2" thickBot="1" x14ac:dyDescent="0.35">
      <c r="A26" s="11"/>
      <c r="B26" s="12">
        <v>0</v>
      </c>
      <c r="C26" s="12">
        <v>0</v>
      </c>
      <c r="D26" s="46"/>
      <c r="E26" s="19"/>
      <c r="F26" s="20"/>
    </row>
    <row r="27" spans="1:6" ht="16.2" thickBot="1" x14ac:dyDescent="0.35">
      <c r="A27" s="21"/>
      <c r="B27" s="12">
        <v>0</v>
      </c>
      <c r="C27" s="12">
        <v>0</v>
      </c>
      <c r="D27" s="46"/>
      <c r="E27" s="19"/>
      <c r="F27" s="20"/>
    </row>
    <row r="28" spans="1:6" ht="16.2" thickBot="1" x14ac:dyDescent="0.35">
      <c r="A28" s="13" t="s">
        <v>32</v>
      </c>
      <c r="B28" s="22">
        <v>16405</v>
      </c>
      <c r="C28" s="22">
        <v>24305</v>
      </c>
      <c r="D28" s="23"/>
      <c r="E28" s="23"/>
      <c r="F28" s="24"/>
    </row>
  </sheetData>
  <mergeCells count="2">
    <mergeCell ref="C4:F4"/>
    <mergeCell ref="C5:F5"/>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B008-80C2-455E-A2D6-098FDB19E58B}">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6" t="s">
        <v>455</v>
      </c>
      <c r="B2" s="4">
        <v>70000</v>
      </c>
      <c r="C2" s="4" t="s">
        <v>456</v>
      </c>
      <c r="D2" s="4">
        <v>3504509</v>
      </c>
      <c r="E2" s="4" t="s">
        <v>108</v>
      </c>
      <c r="F2" s="4" t="s">
        <v>457</v>
      </c>
      <c r="G2" s="4" t="s">
        <v>420</v>
      </c>
      <c r="H2" s="4" t="s">
        <v>420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9000</v>
      </c>
      <c r="C8" s="7" t="s">
        <v>458</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9000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3599.16</v>
      </c>
      <c r="C16" s="16">
        <v>8125</v>
      </c>
      <c r="D16" s="29" t="s">
        <v>24</v>
      </c>
      <c r="E16" s="17" t="s">
        <v>459</v>
      </c>
      <c r="F16" s="17" t="s">
        <v>459</v>
      </c>
    </row>
    <row r="17" spans="1:6" ht="16.2" thickBot="1" x14ac:dyDescent="0.35">
      <c r="A17" s="15" t="s">
        <v>25</v>
      </c>
      <c r="B17" s="16">
        <v>8739.25</v>
      </c>
      <c r="C17" s="16">
        <v>8740</v>
      </c>
      <c r="D17" s="29" t="s">
        <v>24</v>
      </c>
      <c r="E17" s="19"/>
      <c r="F17" s="20"/>
    </row>
    <row r="18" spans="1:6" ht="16.2" thickBot="1" x14ac:dyDescent="0.35">
      <c r="A18" s="15" t="s">
        <v>26</v>
      </c>
      <c r="B18" s="16">
        <v>0</v>
      </c>
      <c r="C18" s="16">
        <v>0</v>
      </c>
      <c r="D18" s="30"/>
      <c r="E18" s="19"/>
      <c r="F18" s="20"/>
    </row>
    <row r="19" spans="1:6" ht="16.2" thickBot="1" x14ac:dyDescent="0.35">
      <c r="A19" s="15" t="s">
        <v>27</v>
      </c>
      <c r="B19" s="16">
        <v>0</v>
      </c>
      <c r="C19" s="16">
        <v>0</v>
      </c>
      <c r="D19" s="30"/>
      <c r="E19" s="19"/>
      <c r="F19" s="20"/>
    </row>
    <row r="20" spans="1:6" ht="16.2" thickBot="1" x14ac:dyDescent="0.35">
      <c r="A20" s="15" t="s">
        <v>28</v>
      </c>
      <c r="B20" s="16">
        <v>0</v>
      </c>
      <c r="C20" s="16">
        <v>0</v>
      </c>
      <c r="D20" s="30"/>
      <c r="E20" s="19"/>
      <c r="F20" s="20"/>
    </row>
    <row r="21" spans="1:6" ht="16.2" thickBot="1" x14ac:dyDescent="0.35">
      <c r="A21" s="15" t="s">
        <v>29</v>
      </c>
      <c r="B21" s="16">
        <v>6719.66</v>
      </c>
      <c r="C21" s="16">
        <v>6720</v>
      </c>
      <c r="D21" s="29" t="s">
        <v>24</v>
      </c>
      <c r="E21" s="17" t="s">
        <v>459</v>
      </c>
      <c r="F21" s="17" t="s">
        <v>459</v>
      </c>
    </row>
    <row r="22" spans="1:6" ht="16.2" thickBot="1" x14ac:dyDescent="0.35">
      <c r="A22" s="15" t="s">
        <v>30</v>
      </c>
      <c r="B22" s="16">
        <v>4140.2300000000005</v>
      </c>
      <c r="C22" s="16">
        <v>11725</v>
      </c>
      <c r="D22" s="29" t="s">
        <v>24</v>
      </c>
      <c r="E22" s="17" t="s">
        <v>459</v>
      </c>
      <c r="F22" s="17" t="s">
        <v>459</v>
      </c>
    </row>
    <row r="23" spans="1:6" ht="16.2" thickBot="1" x14ac:dyDescent="0.35">
      <c r="A23" s="15" t="s">
        <v>460</v>
      </c>
      <c r="B23" s="16">
        <v>1379.1999999999998</v>
      </c>
      <c r="C23" s="16">
        <v>1380</v>
      </c>
      <c r="D23" s="29" t="s">
        <v>24</v>
      </c>
      <c r="E23" s="17" t="s">
        <v>459</v>
      </c>
      <c r="F23" s="17" t="s">
        <v>459</v>
      </c>
    </row>
    <row r="24" spans="1:6" ht="16.2" thickBot="1" x14ac:dyDescent="0.35">
      <c r="A24" s="15" t="s">
        <v>461</v>
      </c>
      <c r="B24" s="16">
        <v>569.41999999999996</v>
      </c>
      <c r="C24" s="16">
        <v>1000</v>
      </c>
      <c r="D24" s="29" t="s">
        <v>24</v>
      </c>
      <c r="E24" s="17" t="s">
        <v>459</v>
      </c>
      <c r="F24" s="17" t="s">
        <v>459</v>
      </c>
    </row>
    <row r="25" spans="1:6" ht="16.2" thickBot="1" x14ac:dyDescent="0.35">
      <c r="A25" s="11"/>
      <c r="B25" s="16">
        <v>0</v>
      </c>
      <c r="C25" s="16">
        <v>0</v>
      </c>
      <c r="D25" s="30"/>
      <c r="E25" s="19"/>
      <c r="F25" s="20"/>
    </row>
    <row r="26" spans="1:6" ht="16.2" thickBot="1" x14ac:dyDescent="0.35">
      <c r="A26" s="11"/>
      <c r="B26" s="16">
        <v>0</v>
      </c>
      <c r="C26" s="16">
        <v>0</v>
      </c>
      <c r="D26" s="30"/>
      <c r="E26" s="19"/>
      <c r="F26" s="20"/>
    </row>
    <row r="27" spans="1:6" ht="16.2" thickBot="1" x14ac:dyDescent="0.35">
      <c r="A27" s="11"/>
      <c r="B27" s="16">
        <v>0</v>
      </c>
      <c r="C27" s="16">
        <v>0</v>
      </c>
      <c r="D27" s="30"/>
      <c r="E27" s="19"/>
      <c r="F27" s="20"/>
    </row>
    <row r="28" spans="1:6" ht="16.2" thickBot="1" x14ac:dyDescent="0.35">
      <c r="A28" s="21"/>
      <c r="B28" s="16">
        <v>0</v>
      </c>
      <c r="C28" s="16">
        <v>0</v>
      </c>
      <c r="D28" s="30"/>
      <c r="E28" s="19"/>
      <c r="F28" s="20"/>
    </row>
    <row r="29" spans="1:6" ht="16.2" thickBot="1" x14ac:dyDescent="0.35">
      <c r="A29" s="13" t="s">
        <v>32</v>
      </c>
      <c r="B29" s="22">
        <v>25146.92</v>
      </c>
      <c r="C29" s="22">
        <v>37690</v>
      </c>
      <c r="D29" s="34"/>
      <c r="E29" s="23"/>
      <c r="F29" s="24"/>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8A9A-9D9F-41F8-A9CC-1D4AD973348B}">
  <dimension ref="A1:H28"/>
  <sheetViews>
    <sheetView topLeftCell="A10" workbookViewId="0">
      <selection activeCell="E11" sqref="E11:J11"/>
    </sheetView>
  </sheetViews>
  <sheetFormatPr defaultColWidth="9.109375" defaultRowHeight="15.6" x14ac:dyDescent="0.3"/>
  <cols>
    <col min="1" max="1" width="41.44140625" style="7" customWidth="1"/>
    <col min="2" max="2" width="15.33203125" style="7" customWidth="1"/>
    <col min="3" max="3" width="19.6640625" style="7" customWidth="1"/>
    <col min="4" max="4" width="14.44140625" style="7" customWidth="1"/>
    <col min="5" max="5" width="10.33203125" style="7" customWidth="1"/>
    <col min="6" max="6" width="9.44140625" style="7" customWidth="1"/>
    <col min="7" max="7" width="11.5546875" style="7" customWidth="1"/>
    <col min="8" max="8" width="10" style="7" customWidth="1"/>
    <col min="9" max="16384" width="9.109375" style="7"/>
  </cols>
  <sheetData>
    <row r="1" spans="1:8" s="2" customFormat="1" ht="63" thickBot="1" x14ac:dyDescent="0.35">
      <c r="A1" s="1" t="s">
        <v>0</v>
      </c>
      <c r="B1" s="1" t="s">
        <v>1</v>
      </c>
      <c r="C1" s="1" t="s">
        <v>2</v>
      </c>
      <c r="D1" s="1" t="s">
        <v>3</v>
      </c>
      <c r="E1" s="107" t="s">
        <v>4</v>
      </c>
      <c r="F1" s="107" t="s">
        <v>5</v>
      </c>
      <c r="G1" s="1" t="s">
        <v>6</v>
      </c>
      <c r="H1" s="1" t="s">
        <v>7</v>
      </c>
    </row>
    <row r="2" spans="1:8" ht="83.4" thickBot="1" x14ac:dyDescent="0.35">
      <c r="A2" s="3" t="s">
        <v>462</v>
      </c>
      <c r="B2" s="4">
        <v>60953.688000000002</v>
      </c>
      <c r="C2" s="51" t="s">
        <v>463</v>
      </c>
      <c r="D2" s="64">
        <v>2071851</v>
      </c>
      <c r="E2" s="3" t="s">
        <v>10</v>
      </c>
      <c r="F2" s="6"/>
      <c r="G2" s="5">
        <v>0</v>
      </c>
      <c r="H2" s="5">
        <v>0</v>
      </c>
    </row>
    <row r="4" spans="1:8" x14ac:dyDescent="0.3">
      <c r="A4" s="8" t="s">
        <v>11</v>
      </c>
    </row>
    <row r="6" spans="1:8" ht="16.2" thickBot="1" x14ac:dyDescent="0.35">
      <c r="A6" s="108" t="s">
        <v>12</v>
      </c>
      <c r="B6" s="10" t="s">
        <v>9</v>
      </c>
    </row>
    <row r="7" spans="1:8" ht="16.2" thickBot="1" x14ac:dyDescent="0.35">
      <c r="A7" s="15" t="s">
        <v>51</v>
      </c>
      <c r="B7" s="12">
        <v>0</v>
      </c>
    </row>
    <row r="8" spans="1:8" ht="16.2" thickBot="1" x14ac:dyDescent="0.35">
      <c r="A8" s="15" t="s">
        <v>53</v>
      </c>
      <c r="B8" s="12">
        <v>22533.688000000002</v>
      </c>
    </row>
    <row r="9" spans="1:8" ht="16.2" thickBot="1" x14ac:dyDescent="0.35">
      <c r="A9" s="15" t="s">
        <v>55</v>
      </c>
      <c r="B9" s="12">
        <v>0</v>
      </c>
    </row>
    <row r="10" spans="1:8" ht="16.2" thickBot="1" x14ac:dyDescent="0.35">
      <c r="A10" s="15" t="s">
        <v>57</v>
      </c>
      <c r="B10" s="12">
        <v>0</v>
      </c>
    </row>
    <row r="11" spans="1:8" ht="16.2" thickBot="1" x14ac:dyDescent="0.35">
      <c r="A11" s="11"/>
      <c r="B11" s="12">
        <v>0</v>
      </c>
    </row>
    <row r="12" spans="1:8" ht="16.2" thickBot="1" x14ac:dyDescent="0.35">
      <c r="A12" s="11"/>
      <c r="B12" s="10"/>
      <c r="C12" s="12">
        <v>22533.688000000002</v>
      </c>
    </row>
    <row r="14" spans="1:8" ht="46.8" x14ac:dyDescent="0.3">
      <c r="A14" s="1" t="s">
        <v>17</v>
      </c>
      <c r="B14" s="14" t="s">
        <v>18</v>
      </c>
      <c r="C14" s="1" t="s">
        <v>19</v>
      </c>
      <c r="D14" s="1" t="s">
        <v>20</v>
      </c>
      <c r="E14" s="1" t="s">
        <v>21</v>
      </c>
      <c r="F14" s="1" t="s">
        <v>22</v>
      </c>
    </row>
    <row r="15" spans="1:8" ht="16.2" thickBot="1" x14ac:dyDescent="0.35">
      <c r="A15" s="15" t="s">
        <v>23</v>
      </c>
      <c r="B15" s="16">
        <v>1200</v>
      </c>
      <c r="C15" s="16">
        <v>2000</v>
      </c>
      <c r="D15" s="29" t="s">
        <v>24</v>
      </c>
      <c r="E15" s="29" t="s">
        <v>79</v>
      </c>
      <c r="F15" s="18"/>
    </row>
    <row r="16" spans="1:8" ht="16.2" thickBot="1" x14ac:dyDescent="0.35">
      <c r="A16" s="15" t="s">
        <v>25</v>
      </c>
      <c r="B16" s="12">
        <v>1210.93</v>
      </c>
      <c r="C16" s="12">
        <v>2000</v>
      </c>
      <c r="D16" s="30" t="s">
        <v>24</v>
      </c>
      <c r="E16" s="30" t="s">
        <v>79</v>
      </c>
      <c r="F16" s="20"/>
    </row>
    <row r="17" spans="1:6" ht="16.2" thickBot="1" x14ac:dyDescent="0.35">
      <c r="A17" s="15" t="s">
        <v>26</v>
      </c>
      <c r="B17" s="12">
        <v>0</v>
      </c>
      <c r="C17" s="12">
        <v>0</v>
      </c>
      <c r="D17" s="30"/>
      <c r="E17" s="30"/>
      <c r="F17" s="20"/>
    </row>
    <row r="18" spans="1:6" ht="16.2" thickBot="1" x14ac:dyDescent="0.35">
      <c r="A18" s="15" t="s">
        <v>27</v>
      </c>
      <c r="B18" s="12">
        <v>0</v>
      </c>
      <c r="C18" s="12">
        <v>0</v>
      </c>
      <c r="D18" s="30"/>
      <c r="E18" s="30"/>
      <c r="F18" s="20"/>
    </row>
    <row r="19" spans="1:6" ht="16.2" thickBot="1" x14ac:dyDescent="0.35">
      <c r="A19" s="15" t="s">
        <v>28</v>
      </c>
      <c r="B19" s="12">
        <v>0</v>
      </c>
      <c r="C19" s="12">
        <v>0</v>
      </c>
      <c r="D19" s="30"/>
      <c r="E19" s="30"/>
      <c r="F19" s="20"/>
    </row>
    <row r="20" spans="1:6" ht="16.2" thickBot="1" x14ac:dyDescent="0.35">
      <c r="A20" s="15" t="s">
        <v>29</v>
      </c>
      <c r="B20" s="12">
        <v>0</v>
      </c>
      <c r="C20" s="12">
        <v>0</v>
      </c>
      <c r="D20" s="30"/>
      <c r="E20" s="30"/>
      <c r="F20" s="20"/>
    </row>
    <row r="21" spans="1:6" ht="16.2" thickBot="1" x14ac:dyDescent="0.35">
      <c r="A21" s="15" t="s">
        <v>30</v>
      </c>
      <c r="B21" s="12">
        <v>150</v>
      </c>
      <c r="C21" s="12">
        <v>2500</v>
      </c>
      <c r="D21" s="30" t="s">
        <v>24</v>
      </c>
      <c r="E21" s="30" t="s">
        <v>79</v>
      </c>
      <c r="F21" s="20"/>
    </row>
    <row r="22" spans="1:6" ht="16.2" hidden="1" thickBot="1" x14ac:dyDescent="0.35">
      <c r="A22" s="11"/>
      <c r="B22" s="12">
        <v>0</v>
      </c>
      <c r="C22" s="12">
        <v>0</v>
      </c>
      <c r="D22" s="19"/>
      <c r="E22" s="19"/>
      <c r="F22" s="20"/>
    </row>
    <row r="23" spans="1:6" ht="16.2" hidden="1" thickBot="1" x14ac:dyDescent="0.35">
      <c r="A23" s="11"/>
      <c r="B23" s="12">
        <v>0</v>
      </c>
      <c r="C23" s="12">
        <v>0</v>
      </c>
      <c r="D23" s="19"/>
      <c r="E23" s="19"/>
      <c r="F23" s="20"/>
    </row>
    <row r="24" spans="1:6" ht="16.2" hidden="1" thickBot="1" x14ac:dyDescent="0.35">
      <c r="A24" s="11"/>
      <c r="B24" s="12">
        <v>0</v>
      </c>
      <c r="C24" s="12">
        <v>0</v>
      </c>
      <c r="D24" s="19"/>
      <c r="E24" s="19"/>
      <c r="F24" s="20"/>
    </row>
    <row r="25" spans="1:6" ht="16.2" hidden="1" thickBot="1" x14ac:dyDescent="0.35">
      <c r="A25" s="11"/>
      <c r="B25" s="12">
        <v>0</v>
      </c>
      <c r="C25" s="12">
        <v>0</v>
      </c>
      <c r="D25" s="19"/>
      <c r="E25" s="19"/>
      <c r="F25" s="20"/>
    </row>
    <row r="26" spans="1:6" ht="16.2" hidden="1" thickBot="1" x14ac:dyDescent="0.35">
      <c r="A26" s="11"/>
      <c r="B26" s="12">
        <v>0</v>
      </c>
      <c r="C26" s="12">
        <v>0</v>
      </c>
      <c r="D26" s="19"/>
      <c r="E26" s="19"/>
      <c r="F26" s="20"/>
    </row>
    <row r="27" spans="1:6" ht="16.2" thickBot="1" x14ac:dyDescent="0.35">
      <c r="A27" s="21" t="s">
        <v>464</v>
      </c>
      <c r="B27" s="12">
        <v>6500</v>
      </c>
      <c r="C27" s="12">
        <v>8000</v>
      </c>
      <c r="D27" s="30" t="s">
        <v>24</v>
      </c>
      <c r="E27" s="30" t="s">
        <v>79</v>
      </c>
      <c r="F27" s="20"/>
    </row>
    <row r="28" spans="1:6" ht="16.2" thickBot="1" x14ac:dyDescent="0.35">
      <c r="A28" s="13" t="s">
        <v>32</v>
      </c>
      <c r="B28" s="22">
        <v>9060.93</v>
      </c>
      <c r="C28" s="22">
        <v>14500</v>
      </c>
      <c r="D28" s="23"/>
      <c r="E28" s="23"/>
      <c r="F28" s="2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5BF2-0ECB-479C-B47E-73D5CF16F233}">
  <sheetPr>
    <pageSetUpPr fitToPage="1"/>
  </sheetPr>
  <dimension ref="A1:E198"/>
  <sheetViews>
    <sheetView workbookViewId="0">
      <pane ySplit="1" topLeftCell="A125" activePane="bottomLeft" state="frozen"/>
      <selection activeCell="E11" sqref="E11:J11"/>
      <selection pane="bottomLeft" activeCell="E27" sqref="E27"/>
    </sheetView>
  </sheetViews>
  <sheetFormatPr defaultColWidth="17.6640625" defaultRowHeight="15.6" x14ac:dyDescent="0.3"/>
  <cols>
    <col min="1" max="1" width="7.88671875" style="410" bestFit="1" customWidth="1"/>
    <col min="2" max="2" width="35.5546875" style="417" bestFit="1" customWidth="1"/>
    <col min="3" max="3" width="17" style="407" bestFit="1" customWidth="1"/>
    <col min="4" max="4" width="17.33203125" style="407" bestFit="1" customWidth="1"/>
    <col min="5" max="5" width="15.88671875" style="408" bestFit="1" customWidth="1"/>
    <col min="6" max="16384" width="17.6640625" style="408"/>
  </cols>
  <sheetData>
    <row r="1" spans="1:5" s="403" customFormat="1" ht="78" x14ac:dyDescent="0.3">
      <c r="A1" s="384" t="s">
        <v>354</v>
      </c>
      <c r="B1" s="418" t="s">
        <v>2485</v>
      </c>
      <c r="C1" s="385" t="s">
        <v>1545</v>
      </c>
      <c r="D1" s="385" t="s">
        <v>1544</v>
      </c>
      <c r="E1" s="384" t="s">
        <v>2006</v>
      </c>
    </row>
    <row r="2" spans="1:5" x14ac:dyDescent="0.3">
      <c r="A2" s="404">
        <v>1</v>
      </c>
      <c r="B2" s="404" t="s">
        <v>355</v>
      </c>
      <c r="C2" s="407">
        <v>5835</v>
      </c>
      <c r="D2" s="407">
        <v>6974</v>
      </c>
    </row>
    <row r="3" spans="1:5" x14ac:dyDescent="0.3">
      <c r="A3" s="404">
        <v>2</v>
      </c>
      <c r="B3" s="409" t="s">
        <v>223</v>
      </c>
      <c r="C3" s="407">
        <v>241054.19</v>
      </c>
      <c r="D3" s="407">
        <v>455225.7</v>
      </c>
    </row>
    <row r="4" spans="1:5" x14ac:dyDescent="0.3">
      <c r="A4" s="404">
        <v>3</v>
      </c>
      <c r="B4" s="404" t="s">
        <v>356</v>
      </c>
      <c r="C4" s="407">
        <v>35888.61</v>
      </c>
      <c r="D4" s="407">
        <v>82901.61</v>
      </c>
    </row>
    <row r="5" spans="1:5" x14ac:dyDescent="0.3">
      <c r="A5" s="404">
        <v>4</v>
      </c>
      <c r="B5" s="404" t="s">
        <v>224</v>
      </c>
      <c r="C5" s="407">
        <v>7451.05</v>
      </c>
      <c r="D5" s="407">
        <v>18751.05</v>
      </c>
    </row>
    <row r="6" spans="1:5" x14ac:dyDescent="0.3">
      <c r="A6" s="404">
        <v>5</v>
      </c>
      <c r="B6" s="404" t="s">
        <v>62</v>
      </c>
      <c r="C6" s="407">
        <v>24848</v>
      </c>
      <c r="D6" s="407">
        <v>40286</v>
      </c>
    </row>
    <row r="7" spans="1:5" x14ac:dyDescent="0.3">
      <c r="A7" s="404">
        <v>6</v>
      </c>
      <c r="B7" s="404" t="s">
        <v>357</v>
      </c>
      <c r="C7" s="407">
        <v>21716.34</v>
      </c>
      <c r="D7" s="407">
        <v>37000</v>
      </c>
    </row>
    <row r="8" spans="1:5" x14ac:dyDescent="0.3">
      <c r="A8" s="404">
        <v>7</v>
      </c>
      <c r="B8" s="404" t="s">
        <v>358</v>
      </c>
      <c r="C8" s="407">
        <v>136076.71</v>
      </c>
      <c r="D8" s="407">
        <v>236684.5</v>
      </c>
    </row>
    <row r="9" spans="1:5" x14ac:dyDescent="0.3">
      <c r="A9" s="404">
        <v>8</v>
      </c>
      <c r="B9" s="404" t="s">
        <v>225</v>
      </c>
      <c r="C9" s="407">
        <v>21596.19</v>
      </c>
      <c r="D9" s="407">
        <v>25029.19</v>
      </c>
      <c r="E9" s="408" t="s">
        <v>9</v>
      </c>
    </row>
    <row r="10" spans="1:5" x14ac:dyDescent="0.3">
      <c r="A10" s="404">
        <v>9</v>
      </c>
      <c r="B10" s="404" t="s">
        <v>359</v>
      </c>
      <c r="C10" s="407">
        <v>64109.47</v>
      </c>
      <c r="D10" s="407">
        <v>130954.42</v>
      </c>
    </row>
    <row r="11" spans="1:5" x14ac:dyDescent="0.3">
      <c r="A11" s="404">
        <v>10</v>
      </c>
      <c r="B11" s="404" t="s">
        <v>226</v>
      </c>
      <c r="C11" s="407">
        <v>6994.04</v>
      </c>
      <c r="D11" s="407">
        <v>11628</v>
      </c>
    </row>
    <row r="12" spans="1:5" x14ac:dyDescent="0.3">
      <c r="A12" s="404">
        <v>11</v>
      </c>
      <c r="B12" s="404" t="s">
        <v>109</v>
      </c>
      <c r="C12" s="407">
        <v>25591.55</v>
      </c>
      <c r="D12" s="407">
        <v>41064</v>
      </c>
    </row>
    <row r="13" spans="1:5" x14ac:dyDescent="0.3">
      <c r="A13" s="404">
        <v>12</v>
      </c>
      <c r="B13" s="404" t="s">
        <v>360</v>
      </c>
      <c r="C13" s="407">
        <v>21532.48</v>
      </c>
      <c r="D13" s="407">
        <v>148714.25</v>
      </c>
    </row>
    <row r="14" spans="1:5" x14ac:dyDescent="0.3">
      <c r="A14" s="404">
        <v>13</v>
      </c>
      <c r="B14" s="404" t="s">
        <v>227</v>
      </c>
      <c r="C14" s="407">
        <v>3750</v>
      </c>
      <c r="D14" s="407">
        <v>3750</v>
      </c>
    </row>
    <row r="15" spans="1:5" x14ac:dyDescent="0.3">
      <c r="A15" s="404">
        <v>14</v>
      </c>
      <c r="B15" s="404" t="s">
        <v>228</v>
      </c>
      <c r="C15" s="407">
        <v>35218.71</v>
      </c>
      <c r="D15" s="407">
        <v>104384.12</v>
      </c>
    </row>
    <row r="16" spans="1:5" x14ac:dyDescent="0.3">
      <c r="A16" s="404">
        <v>14</v>
      </c>
      <c r="B16" s="404" t="s">
        <v>1548</v>
      </c>
      <c r="C16" s="407">
        <v>0</v>
      </c>
      <c r="D16" s="407">
        <v>10000</v>
      </c>
    </row>
    <row r="17" spans="1:4" x14ac:dyDescent="0.3">
      <c r="A17" s="404">
        <v>15</v>
      </c>
      <c r="B17" s="404" t="s">
        <v>229</v>
      </c>
      <c r="C17" s="407">
        <v>798334</v>
      </c>
      <c r="D17" s="407">
        <v>1685000</v>
      </c>
    </row>
    <row r="18" spans="1:4" x14ac:dyDescent="0.3">
      <c r="A18" s="404">
        <v>16</v>
      </c>
      <c r="B18" s="404" t="s">
        <v>230</v>
      </c>
      <c r="C18" s="407">
        <v>0</v>
      </c>
      <c r="D18" s="407">
        <v>0</v>
      </c>
    </row>
    <row r="19" spans="1:4" x14ac:dyDescent="0.3">
      <c r="A19" s="404">
        <v>17</v>
      </c>
      <c r="B19" s="404" t="s">
        <v>361</v>
      </c>
      <c r="C19" s="407">
        <v>312559.12</v>
      </c>
      <c r="D19" s="407">
        <v>1366931.58</v>
      </c>
    </row>
    <row r="20" spans="1:4" x14ac:dyDescent="0.3">
      <c r="A20" s="404">
        <v>18</v>
      </c>
      <c r="B20" s="404" t="s">
        <v>231</v>
      </c>
      <c r="C20" s="407">
        <v>41908</v>
      </c>
      <c r="D20" s="407">
        <v>321242</v>
      </c>
    </row>
    <row r="21" spans="1:4" x14ac:dyDescent="0.3">
      <c r="A21" s="404">
        <v>19</v>
      </c>
      <c r="B21" s="404" t="s">
        <v>362</v>
      </c>
      <c r="C21" s="407">
        <v>850</v>
      </c>
      <c r="D21" s="407">
        <v>2500</v>
      </c>
    </row>
    <row r="22" spans="1:4" x14ac:dyDescent="0.3">
      <c r="A22" s="404">
        <v>19</v>
      </c>
      <c r="B22" s="404" t="s">
        <v>2082</v>
      </c>
      <c r="C22" s="407">
        <v>307501.77</v>
      </c>
      <c r="D22" s="407">
        <v>453500</v>
      </c>
    </row>
    <row r="23" spans="1:4" x14ac:dyDescent="0.3">
      <c r="A23" s="404">
        <v>20</v>
      </c>
      <c r="B23" s="404" t="s">
        <v>232</v>
      </c>
      <c r="C23" s="407">
        <v>21583</v>
      </c>
      <c r="D23" s="407">
        <v>35868</v>
      </c>
    </row>
    <row r="24" spans="1:4" x14ac:dyDescent="0.3">
      <c r="A24" s="404">
        <v>21</v>
      </c>
      <c r="B24" s="404" t="s">
        <v>233</v>
      </c>
      <c r="C24" s="407">
        <v>1100</v>
      </c>
      <c r="D24" s="407">
        <v>23000</v>
      </c>
    </row>
    <row r="25" spans="1:4" x14ac:dyDescent="0.3">
      <c r="A25" s="404">
        <v>22</v>
      </c>
      <c r="B25" s="404" t="s">
        <v>234</v>
      </c>
      <c r="C25" s="407">
        <v>27918</v>
      </c>
      <c r="D25" s="407">
        <v>58926</v>
      </c>
    </row>
    <row r="26" spans="1:4" x14ac:dyDescent="0.3">
      <c r="A26" s="404">
        <v>23</v>
      </c>
      <c r="B26" s="404" t="s">
        <v>235</v>
      </c>
      <c r="C26" s="407">
        <v>40960.25</v>
      </c>
      <c r="D26" s="407">
        <v>141788.93</v>
      </c>
    </row>
    <row r="27" spans="1:4" x14ac:dyDescent="0.3">
      <c r="A27" s="404">
        <v>24</v>
      </c>
      <c r="B27" s="404" t="s">
        <v>236</v>
      </c>
      <c r="C27" s="407">
        <v>3685.61</v>
      </c>
      <c r="D27" s="407">
        <v>3685.61</v>
      </c>
    </row>
    <row r="28" spans="1:4" x14ac:dyDescent="0.3">
      <c r="A28" s="404">
        <v>25</v>
      </c>
      <c r="B28" s="404" t="s">
        <v>237</v>
      </c>
      <c r="C28" s="407">
        <v>309850</v>
      </c>
      <c r="D28" s="407">
        <v>655350</v>
      </c>
    </row>
    <row r="29" spans="1:4" x14ac:dyDescent="0.3">
      <c r="A29" s="404">
        <v>26</v>
      </c>
      <c r="B29" s="409" t="s">
        <v>238</v>
      </c>
      <c r="C29" s="407">
        <v>13982</v>
      </c>
      <c r="D29" s="407">
        <v>44000</v>
      </c>
    </row>
    <row r="30" spans="1:4" x14ac:dyDescent="0.3">
      <c r="A30" s="404">
        <v>27</v>
      </c>
      <c r="B30" s="404" t="s">
        <v>239</v>
      </c>
      <c r="C30" s="407">
        <v>52578</v>
      </c>
      <c r="D30" s="407">
        <v>65210</v>
      </c>
    </row>
    <row r="31" spans="1:4" x14ac:dyDescent="0.3">
      <c r="A31" s="404">
        <v>27</v>
      </c>
      <c r="B31" s="404" t="s">
        <v>1975</v>
      </c>
      <c r="C31" s="407">
        <v>37519.1</v>
      </c>
      <c r="D31" s="407">
        <v>70759.03</v>
      </c>
    </row>
    <row r="32" spans="1:4" x14ac:dyDescent="0.3">
      <c r="A32" s="404">
        <v>28</v>
      </c>
      <c r="B32" s="409" t="s">
        <v>240</v>
      </c>
      <c r="C32" s="407">
        <v>97530.9</v>
      </c>
      <c r="D32" s="407">
        <v>166092.56</v>
      </c>
    </row>
    <row r="33" spans="1:5" x14ac:dyDescent="0.3">
      <c r="A33" s="404">
        <v>29</v>
      </c>
      <c r="B33" s="404" t="s">
        <v>241</v>
      </c>
      <c r="C33" s="407">
        <v>16405</v>
      </c>
      <c r="D33" s="407">
        <v>24305</v>
      </c>
    </row>
    <row r="34" spans="1:5" x14ac:dyDescent="0.3">
      <c r="A34" s="404">
        <v>30</v>
      </c>
      <c r="B34" s="409" t="s">
        <v>242</v>
      </c>
      <c r="C34" s="407">
        <v>25146.92</v>
      </c>
      <c r="D34" s="407">
        <v>37690</v>
      </c>
    </row>
    <row r="35" spans="1:5" x14ac:dyDescent="0.3">
      <c r="A35" s="404">
        <v>31</v>
      </c>
      <c r="B35" s="404" t="s">
        <v>243</v>
      </c>
      <c r="C35" s="407">
        <v>9060.93</v>
      </c>
      <c r="D35" s="407">
        <v>14500</v>
      </c>
    </row>
    <row r="36" spans="1:5" x14ac:dyDescent="0.3">
      <c r="A36" s="404">
        <v>32</v>
      </c>
      <c r="B36" s="409" t="s">
        <v>244</v>
      </c>
      <c r="C36" s="407">
        <v>35864</v>
      </c>
      <c r="D36" s="407">
        <v>81004</v>
      </c>
    </row>
    <row r="37" spans="1:5" x14ac:dyDescent="0.3">
      <c r="A37" s="404">
        <v>32</v>
      </c>
      <c r="B37" s="409" t="s">
        <v>1976</v>
      </c>
      <c r="C37" s="407">
        <v>26162</v>
      </c>
      <c r="D37" s="407">
        <v>211098.76</v>
      </c>
    </row>
    <row r="38" spans="1:5" x14ac:dyDescent="0.3">
      <c r="A38" s="404">
        <v>33</v>
      </c>
      <c r="B38" s="404" t="s">
        <v>245</v>
      </c>
      <c r="C38" s="407">
        <v>70368.94</v>
      </c>
      <c r="D38" s="407">
        <v>549134.86</v>
      </c>
    </row>
    <row r="39" spans="1:5" x14ac:dyDescent="0.3">
      <c r="A39" s="404">
        <v>34</v>
      </c>
      <c r="B39" s="409" t="s">
        <v>246</v>
      </c>
      <c r="C39" s="407">
        <v>1661168</v>
      </c>
      <c r="D39" s="407">
        <v>3655615</v>
      </c>
    </row>
    <row r="40" spans="1:5" x14ac:dyDescent="0.3">
      <c r="A40" s="404">
        <v>35</v>
      </c>
      <c r="B40" s="404" t="s">
        <v>247</v>
      </c>
      <c r="C40" s="407">
        <v>15723</v>
      </c>
      <c r="D40" s="407">
        <v>40282</v>
      </c>
    </row>
    <row r="41" spans="1:5" x14ac:dyDescent="0.3">
      <c r="A41" s="404">
        <v>36</v>
      </c>
      <c r="B41" s="409" t="s">
        <v>248</v>
      </c>
      <c r="C41" s="407">
        <v>5350.82</v>
      </c>
      <c r="D41" s="407">
        <v>48864.74</v>
      </c>
    </row>
    <row r="42" spans="1:5" x14ac:dyDescent="0.3">
      <c r="A42" s="404">
        <v>37</v>
      </c>
      <c r="B42" s="404" t="s">
        <v>249</v>
      </c>
      <c r="C42" s="407">
        <v>39200</v>
      </c>
      <c r="D42" s="407">
        <v>76200</v>
      </c>
    </row>
    <row r="43" spans="1:5" x14ac:dyDescent="0.3">
      <c r="A43" s="404">
        <v>38</v>
      </c>
      <c r="B43" s="409" t="s">
        <v>250</v>
      </c>
      <c r="C43" s="407">
        <v>24378</v>
      </c>
      <c r="D43" s="407">
        <v>55856</v>
      </c>
    </row>
    <row r="44" spans="1:5" x14ac:dyDescent="0.3">
      <c r="A44" s="404">
        <v>39</v>
      </c>
      <c r="B44" s="404" t="s">
        <v>256</v>
      </c>
      <c r="C44" s="407">
        <v>7764</v>
      </c>
      <c r="D44" s="407">
        <v>10500</v>
      </c>
    </row>
    <row r="45" spans="1:5" x14ac:dyDescent="0.3">
      <c r="A45" s="404">
        <v>40</v>
      </c>
      <c r="B45" s="409" t="s">
        <v>251</v>
      </c>
      <c r="C45" s="407">
        <v>12667</v>
      </c>
      <c r="D45" s="407">
        <v>22800</v>
      </c>
    </row>
    <row r="46" spans="1:5" x14ac:dyDescent="0.3">
      <c r="A46" s="404">
        <v>41</v>
      </c>
      <c r="B46" s="404" t="s">
        <v>252</v>
      </c>
      <c r="C46" s="407">
        <v>14421</v>
      </c>
      <c r="D46" s="407">
        <v>125500</v>
      </c>
    </row>
    <row r="47" spans="1:5" x14ac:dyDescent="0.3">
      <c r="A47" s="404">
        <v>42</v>
      </c>
      <c r="B47" s="409" t="s">
        <v>253</v>
      </c>
      <c r="C47" s="407">
        <v>12191.24</v>
      </c>
      <c r="D47" s="407">
        <v>14691.24</v>
      </c>
      <c r="E47" s="550" t="s">
        <v>9</v>
      </c>
    </row>
    <row r="48" spans="1:5" x14ac:dyDescent="0.3">
      <c r="A48" s="404">
        <v>43</v>
      </c>
      <c r="B48" s="404" t="s">
        <v>254</v>
      </c>
      <c r="C48" s="407">
        <v>276062.87</v>
      </c>
      <c r="D48" s="407">
        <v>895211.62</v>
      </c>
    </row>
    <row r="49" spans="1:5" x14ac:dyDescent="0.3">
      <c r="A49" s="404">
        <v>44</v>
      </c>
      <c r="B49" s="409" t="s">
        <v>255</v>
      </c>
      <c r="C49" s="407">
        <v>231426</v>
      </c>
      <c r="D49" s="407">
        <v>455033</v>
      </c>
    </row>
    <row r="50" spans="1:5" x14ac:dyDescent="0.3">
      <c r="A50" s="404">
        <v>45</v>
      </c>
      <c r="B50" s="404" t="s">
        <v>363</v>
      </c>
      <c r="C50" s="407">
        <v>196413.31</v>
      </c>
      <c r="D50" s="407">
        <v>391728.03</v>
      </c>
    </row>
    <row r="51" spans="1:5" x14ac:dyDescent="0.3">
      <c r="A51" s="404">
        <v>46</v>
      </c>
      <c r="B51" s="409" t="s">
        <v>257</v>
      </c>
      <c r="C51" s="407">
        <v>1267.92</v>
      </c>
      <c r="D51" s="407">
        <v>2227.3200000000002</v>
      </c>
      <c r="E51" s="408" t="s">
        <v>9</v>
      </c>
    </row>
    <row r="52" spans="1:5" x14ac:dyDescent="0.3">
      <c r="A52" s="404">
        <v>47</v>
      </c>
      <c r="B52" s="404" t="s">
        <v>364</v>
      </c>
      <c r="C52" s="407">
        <v>0</v>
      </c>
      <c r="D52" s="407">
        <v>161336.47</v>
      </c>
    </row>
    <row r="53" spans="1:5" x14ac:dyDescent="0.3">
      <c r="A53" s="404">
        <v>48</v>
      </c>
      <c r="B53" s="409" t="s">
        <v>258</v>
      </c>
      <c r="C53" s="407">
        <v>11313</v>
      </c>
      <c r="D53" s="407">
        <v>14468</v>
      </c>
    </row>
    <row r="54" spans="1:5" x14ac:dyDescent="0.3">
      <c r="A54" s="404">
        <v>48</v>
      </c>
      <c r="B54" s="409" t="s">
        <v>1977</v>
      </c>
      <c r="C54" s="407">
        <v>61733.1</v>
      </c>
      <c r="D54" s="407">
        <v>127940</v>
      </c>
    </row>
    <row r="55" spans="1:5" x14ac:dyDescent="0.3">
      <c r="A55" s="404">
        <v>49</v>
      </c>
      <c r="B55" s="404" t="s">
        <v>259</v>
      </c>
      <c r="C55" s="407">
        <v>354986</v>
      </c>
      <c r="D55" s="407">
        <v>1148350</v>
      </c>
    </row>
    <row r="56" spans="1:5" x14ac:dyDescent="0.3">
      <c r="A56" s="404">
        <v>50</v>
      </c>
      <c r="B56" s="409" t="s">
        <v>260</v>
      </c>
      <c r="C56" s="407">
        <v>17439.57</v>
      </c>
      <c r="D56" s="407">
        <v>30959</v>
      </c>
    </row>
    <row r="57" spans="1:5" x14ac:dyDescent="0.3">
      <c r="A57" s="404">
        <v>51</v>
      </c>
      <c r="B57" s="404" t="s">
        <v>261</v>
      </c>
      <c r="C57" s="407">
        <v>175631.84</v>
      </c>
      <c r="D57" s="407">
        <v>872313.74</v>
      </c>
    </row>
    <row r="58" spans="1:5" x14ac:dyDescent="0.3">
      <c r="A58" s="404">
        <v>52</v>
      </c>
      <c r="B58" s="409" t="s">
        <v>262</v>
      </c>
      <c r="C58" s="407">
        <v>96038.78</v>
      </c>
      <c r="D58" s="407">
        <v>186500</v>
      </c>
    </row>
    <row r="59" spans="1:5" x14ac:dyDescent="0.3">
      <c r="A59" s="404">
        <v>53</v>
      </c>
      <c r="B59" s="404" t="s">
        <v>263</v>
      </c>
      <c r="C59" s="407">
        <v>6500</v>
      </c>
      <c r="D59" s="407">
        <v>27620</v>
      </c>
    </row>
    <row r="60" spans="1:5" x14ac:dyDescent="0.3">
      <c r="A60" s="404">
        <v>53</v>
      </c>
      <c r="B60" s="404" t="s">
        <v>2531</v>
      </c>
      <c r="C60" s="407">
        <v>59998</v>
      </c>
      <c r="D60" s="407">
        <v>132425</v>
      </c>
    </row>
    <row r="61" spans="1:5" x14ac:dyDescent="0.3">
      <c r="A61" s="404">
        <v>54</v>
      </c>
      <c r="B61" s="409" t="s">
        <v>365</v>
      </c>
      <c r="C61" s="407">
        <v>86382.12</v>
      </c>
      <c r="D61" s="407">
        <v>178800</v>
      </c>
    </row>
    <row r="62" spans="1:5" x14ac:dyDescent="0.3">
      <c r="A62" s="404">
        <v>55</v>
      </c>
      <c r="B62" s="404" t="s">
        <v>264</v>
      </c>
      <c r="C62" s="407">
        <v>12662.44</v>
      </c>
      <c r="D62" s="407">
        <v>15762.44</v>
      </c>
    </row>
    <row r="63" spans="1:5" x14ac:dyDescent="0.3">
      <c r="A63" s="404">
        <v>56</v>
      </c>
      <c r="B63" s="409" t="s">
        <v>265</v>
      </c>
      <c r="C63" s="407">
        <v>69938.89</v>
      </c>
      <c r="D63" s="407">
        <v>108990.67</v>
      </c>
    </row>
    <row r="64" spans="1:5" x14ac:dyDescent="0.3">
      <c r="A64" s="404">
        <v>57</v>
      </c>
      <c r="B64" s="404" t="s">
        <v>266</v>
      </c>
      <c r="C64" s="407">
        <v>0</v>
      </c>
      <c r="D64" s="407">
        <v>1082106.98</v>
      </c>
    </row>
    <row r="65" spans="1:5" x14ac:dyDescent="0.3">
      <c r="A65" s="82">
        <v>57</v>
      </c>
      <c r="B65" s="82" t="s">
        <v>1983</v>
      </c>
      <c r="C65" s="407">
        <v>0</v>
      </c>
      <c r="D65" s="407">
        <v>793660</v>
      </c>
    </row>
    <row r="66" spans="1:5" x14ac:dyDescent="0.3">
      <c r="A66" s="404">
        <v>58</v>
      </c>
      <c r="B66" s="409" t="s">
        <v>267</v>
      </c>
      <c r="C66" s="407">
        <v>3644.46</v>
      </c>
      <c r="D66" s="407">
        <v>1870</v>
      </c>
    </row>
    <row r="67" spans="1:5" x14ac:dyDescent="0.3">
      <c r="A67" s="404">
        <v>58</v>
      </c>
      <c r="B67" s="409" t="s">
        <v>1984</v>
      </c>
      <c r="C67" s="407">
        <v>65037.02</v>
      </c>
      <c r="D67" s="407">
        <v>202662.75</v>
      </c>
    </row>
    <row r="68" spans="1:5" x14ac:dyDescent="0.3">
      <c r="A68" s="404">
        <v>501</v>
      </c>
      <c r="B68" s="409" t="s">
        <v>1985</v>
      </c>
      <c r="C68" s="407">
        <v>37788.120000000003</v>
      </c>
      <c r="D68" s="407">
        <v>66139</v>
      </c>
    </row>
    <row r="69" spans="1:5" x14ac:dyDescent="0.3">
      <c r="A69" s="404">
        <v>59</v>
      </c>
      <c r="B69" s="404" t="s">
        <v>1525</v>
      </c>
      <c r="C69" s="407">
        <v>95643</v>
      </c>
      <c r="D69" s="407">
        <v>366440</v>
      </c>
    </row>
    <row r="70" spans="1:5" x14ac:dyDescent="0.3">
      <c r="A70" s="404">
        <v>59</v>
      </c>
      <c r="B70" s="404" t="s">
        <v>1986</v>
      </c>
      <c r="C70" s="407">
        <v>0</v>
      </c>
      <c r="D70" s="407">
        <v>0</v>
      </c>
    </row>
    <row r="71" spans="1:5" x14ac:dyDescent="0.3">
      <c r="A71" s="404">
        <v>60</v>
      </c>
      <c r="B71" s="409" t="s">
        <v>268</v>
      </c>
      <c r="C71" s="407">
        <v>180400.98</v>
      </c>
      <c r="D71" s="407">
        <v>232171.53</v>
      </c>
    </row>
    <row r="72" spans="1:5" x14ac:dyDescent="0.3">
      <c r="A72" s="404">
        <v>61</v>
      </c>
      <c r="B72" s="404" t="s">
        <v>269</v>
      </c>
      <c r="C72" s="407">
        <v>4962</v>
      </c>
      <c r="D72" s="407">
        <v>8700</v>
      </c>
    </row>
    <row r="73" spans="1:5" x14ac:dyDescent="0.3">
      <c r="A73" s="404">
        <v>62</v>
      </c>
      <c r="B73" s="409" t="s">
        <v>270</v>
      </c>
      <c r="C73" s="407">
        <v>285800.90999999997</v>
      </c>
      <c r="D73" s="407">
        <v>810087.14</v>
      </c>
    </row>
    <row r="74" spans="1:5" x14ac:dyDescent="0.3">
      <c r="A74" s="404">
        <v>63</v>
      </c>
      <c r="B74" s="404" t="s">
        <v>271</v>
      </c>
      <c r="C74" s="407">
        <v>17107</v>
      </c>
      <c r="D74" s="407">
        <v>19948</v>
      </c>
    </row>
    <row r="75" spans="1:5" x14ac:dyDescent="0.3">
      <c r="A75" s="404">
        <v>63</v>
      </c>
      <c r="B75" s="404" t="s">
        <v>1987</v>
      </c>
      <c r="C75" s="407">
        <v>10097</v>
      </c>
      <c r="D75" s="407">
        <v>12960</v>
      </c>
    </row>
    <row r="76" spans="1:5" x14ac:dyDescent="0.3">
      <c r="A76" s="404">
        <v>64</v>
      </c>
      <c r="B76" s="409" t="s">
        <v>272</v>
      </c>
      <c r="C76" s="407">
        <v>1928490.09</v>
      </c>
      <c r="D76" s="407">
        <v>3434141.97</v>
      </c>
      <c r="E76" s="550" t="s">
        <v>9</v>
      </c>
    </row>
    <row r="77" spans="1:5" x14ac:dyDescent="0.3">
      <c r="A77" s="404">
        <v>65</v>
      </c>
      <c r="B77" s="404" t="s">
        <v>366</v>
      </c>
      <c r="C77" s="407">
        <v>55715</v>
      </c>
      <c r="D77" s="407">
        <v>3687</v>
      </c>
    </row>
    <row r="78" spans="1:5" x14ac:dyDescent="0.3">
      <c r="A78" s="404">
        <v>66</v>
      </c>
      <c r="B78" s="409" t="s">
        <v>273</v>
      </c>
      <c r="C78" s="407">
        <v>17121.36</v>
      </c>
      <c r="D78" s="407">
        <v>35000</v>
      </c>
    </row>
    <row r="79" spans="1:5" x14ac:dyDescent="0.3">
      <c r="A79" s="404">
        <v>67</v>
      </c>
      <c r="B79" s="404" t="s">
        <v>274</v>
      </c>
      <c r="C79" s="407">
        <v>68853.64</v>
      </c>
      <c r="D79" s="407">
        <v>142502.9</v>
      </c>
    </row>
    <row r="80" spans="1:5" x14ac:dyDescent="0.3">
      <c r="A80" s="404">
        <v>68</v>
      </c>
      <c r="B80" s="409" t="s">
        <v>275</v>
      </c>
      <c r="C80" s="407">
        <v>19445</v>
      </c>
      <c r="D80" s="407">
        <v>41800</v>
      </c>
    </row>
    <row r="81" spans="1:5" x14ac:dyDescent="0.3">
      <c r="A81" s="404">
        <v>69</v>
      </c>
      <c r="B81" s="409" t="s">
        <v>276</v>
      </c>
      <c r="C81" s="407">
        <v>302664.40999999997</v>
      </c>
      <c r="D81" s="407">
        <v>516646.28</v>
      </c>
    </row>
    <row r="82" spans="1:5" x14ac:dyDescent="0.3">
      <c r="A82" s="404">
        <v>70</v>
      </c>
      <c r="B82" s="409" t="s">
        <v>277</v>
      </c>
      <c r="C82" s="407">
        <v>20962.310000000001</v>
      </c>
      <c r="D82" s="407">
        <v>48750</v>
      </c>
    </row>
    <row r="83" spans="1:5" x14ac:dyDescent="0.3">
      <c r="A83" s="404">
        <v>71</v>
      </c>
      <c r="B83" s="404" t="s">
        <v>278</v>
      </c>
      <c r="C83" s="407">
        <v>38087.050000000003</v>
      </c>
      <c r="D83" s="407">
        <v>140057</v>
      </c>
    </row>
    <row r="84" spans="1:5" x14ac:dyDescent="0.3">
      <c r="A84" s="404">
        <v>72</v>
      </c>
      <c r="B84" s="409" t="s">
        <v>367</v>
      </c>
      <c r="C84" s="407">
        <v>33000</v>
      </c>
      <c r="D84" s="407">
        <v>75000</v>
      </c>
    </row>
    <row r="85" spans="1:5" x14ac:dyDescent="0.3">
      <c r="A85" s="404">
        <v>72</v>
      </c>
      <c r="B85" s="409" t="s">
        <v>1988</v>
      </c>
      <c r="C85" s="407">
        <v>33068.980000000003</v>
      </c>
      <c r="D85" s="407">
        <v>250107.64</v>
      </c>
    </row>
    <row r="86" spans="1:5" x14ac:dyDescent="0.3">
      <c r="A86" s="404">
        <v>73</v>
      </c>
      <c r="B86" s="409" t="s">
        <v>2422</v>
      </c>
      <c r="C86" s="407">
        <v>1400</v>
      </c>
      <c r="D86" s="407">
        <v>6150</v>
      </c>
    </row>
    <row r="87" spans="1:5" x14ac:dyDescent="0.3">
      <c r="A87" s="404">
        <v>73</v>
      </c>
      <c r="B87" s="404" t="s">
        <v>2423</v>
      </c>
      <c r="C87" s="407">
        <v>12209</v>
      </c>
      <c r="D87" s="407">
        <v>48048</v>
      </c>
    </row>
    <row r="88" spans="1:5" x14ac:dyDescent="0.3">
      <c r="A88" s="404">
        <v>74</v>
      </c>
      <c r="B88" s="409" t="s">
        <v>279</v>
      </c>
      <c r="C88" s="407">
        <v>122269</v>
      </c>
      <c r="D88" s="407">
        <v>238234.14</v>
      </c>
    </row>
    <row r="89" spans="1:5" x14ac:dyDescent="0.3">
      <c r="A89" s="404">
        <v>75</v>
      </c>
      <c r="B89" s="404" t="s">
        <v>280</v>
      </c>
      <c r="C89" s="407">
        <v>1872</v>
      </c>
      <c r="D89" s="407">
        <v>38972</v>
      </c>
    </row>
    <row r="90" spans="1:5" x14ac:dyDescent="0.3">
      <c r="A90" s="404">
        <v>75</v>
      </c>
      <c r="B90" s="404" t="s">
        <v>2053</v>
      </c>
      <c r="C90" s="407">
        <v>6554.36</v>
      </c>
      <c r="D90" s="407">
        <v>7857.36</v>
      </c>
    </row>
    <row r="91" spans="1:5" x14ac:dyDescent="0.3">
      <c r="A91" s="404">
        <v>76</v>
      </c>
      <c r="B91" s="409" t="s">
        <v>369</v>
      </c>
      <c r="C91" s="407">
        <v>229385</v>
      </c>
      <c r="D91" s="407">
        <v>269385</v>
      </c>
    </row>
    <row r="92" spans="1:5" x14ac:dyDescent="0.3">
      <c r="A92" s="404">
        <v>77</v>
      </c>
      <c r="B92" s="404" t="s">
        <v>370</v>
      </c>
      <c r="C92" s="407">
        <v>277778.14</v>
      </c>
      <c r="D92" s="407">
        <v>435778.14</v>
      </c>
      <c r="E92" s="408" t="s">
        <v>9</v>
      </c>
    </row>
    <row r="93" spans="1:5" x14ac:dyDescent="0.3">
      <c r="A93" s="404">
        <v>78</v>
      </c>
      <c r="B93" s="409" t="s">
        <v>281</v>
      </c>
      <c r="C93" s="407">
        <v>72299.149999999994</v>
      </c>
      <c r="D93" s="407">
        <v>261881.63</v>
      </c>
    </row>
    <row r="94" spans="1:5" x14ac:dyDescent="0.3">
      <c r="A94" s="404">
        <v>79</v>
      </c>
      <c r="B94" s="404" t="s">
        <v>282</v>
      </c>
      <c r="C94" s="407">
        <v>8663.91</v>
      </c>
      <c r="D94" s="407">
        <v>40298.620000000003</v>
      </c>
    </row>
    <row r="95" spans="1:5" x14ac:dyDescent="0.3">
      <c r="A95" s="404">
        <v>80</v>
      </c>
      <c r="B95" s="409" t="s">
        <v>283</v>
      </c>
      <c r="C95" s="407">
        <v>113285.05</v>
      </c>
      <c r="D95" s="407">
        <v>212947.26</v>
      </c>
    </row>
    <row r="96" spans="1:5" x14ac:dyDescent="0.3">
      <c r="A96" s="404">
        <v>81</v>
      </c>
      <c r="B96" s="404" t="s">
        <v>284</v>
      </c>
      <c r="C96" s="407">
        <v>5491.61</v>
      </c>
      <c r="D96" s="407">
        <v>3700</v>
      </c>
    </row>
    <row r="97" spans="1:4" x14ac:dyDescent="0.3">
      <c r="A97" s="404">
        <v>82</v>
      </c>
      <c r="B97" s="409" t="s">
        <v>285</v>
      </c>
      <c r="C97" s="407">
        <v>0</v>
      </c>
      <c r="D97" s="407">
        <v>8500</v>
      </c>
    </row>
    <row r="98" spans="1:4" x14ac:dyDescent="0.3">
      <c r="A98" s="404">
        <v>83</v>
      </c>
      <c r="B98" s="404" t="s">
        <v>286</v>
      </c>
      <c r="C98" s="407">
        <v>602751.27</v>
      </c>
      <c r="D98" s="407">
        <v>1420056</v>
      </c>
    </row>
    <row r="99" spans="1:4" x14ac:dyDescent="0.3">
      <c r="A99" s="404">
        <v>84</v>
      </c>
      <c r="B99" s="409" t="s">
        <v>287</v>
      </c>
      <c r="C99" s="407">
        <v>348849.28</v>
      </c>
      <c r="D99" s="407">
        <v>661233.72</v>
      </c>
    </row>
    <row r="100" spans="1:4" x14ac:dyDescent="0.3">
      <c r="A100" s="404">
        <v>84</v>
      </c>
      <c r="B100" s="409" t="s">
        <v>1989</v>
      </c>
      <c r="C100" s="407">
        <v>1208872.78</v>
      </c>
      <c r="D100" s="407">
        <v>3250604.22</v>
      </c>
    </row>
    <row r="101" spans="1:4" x14ac:dyDescent="0.3">
      <c r="A101" s="404">
        <v>85</v>
      </c>
      <c r="B101" s="404" t="s">
        <v>288</v>
      </c>
      <c r="C101" s="407">
        <v>17727</v>
      </c>
      <c r="D101" s="407">
        <v>86427</v>
      </c>
    </row>
    <row r="102" spans="1:4" x14ac:dyDescent="0.3">
      <c r="A102" s="404">
        <v>86</v>
      </c>
      <c r="B102" s="404" t="s">
        <v>289</v>
      </c>
      <c r="C102" s="407">
        <v>29780</v>
      </c>
      <c r="D102" s="407">
        <v>50675</v>
      </c>
    </row>
    <row r="103" spans="1:4" x14ac:dyDescent="0.3">
      <c r="A103" s="404">
        <v>86</v>
      </c>
      <c r="B103" s="404" t="s">
        <v>1990</v>
      </c>
      <c r="C103" s="407">
        <v>165300</v>
      </c>
      <c r="D103" s="407">
        <v>273300</v>
      </c>
    </row>
    <row r="104" spans="1:4" x14ac:dyDescent="0.3">
      <c r="A104" s="404">
        <v>87</v>
      </c>
      <c r="B104" s="409" t="s">
        <v>290</v>
      </c>
      <c r="C104" s="407">
        <v>18645</v>
      </c>
      <c r="D104" s="407">
        <v>20515</v>
      </c>
    </row>
    <row r="105" spans="1:4" x14ac:dyDescent="0.3">
      <c r="A105" s="404">
        <v>88</v>
      </c>
      <c r="B105" s="404" t="s">
        <v>291</v>
      </c>
      <c r="C105" s="407">
        <v>51216</v>
      </c>
      <c r="D105" s="407">
        <v>489071.64</v>
      </c>
    </row>
    <row r="106" spans="1:4" x14ac:dyDescent="0.3">
      <c r="A106" s="404">
        <v>89</v>
      </c>
      <c r="B106" s="404" t="s">
        <v>292</v>
      </c>
      <c r="C106" s="407">
        <v>169900.79</v>
      </c>
      <c r="D106" s="407">
        <v>310468.71000000002</v>
      </c>
    </row>
    <row r="107" spans="1:4" x14ac:dyDescent="0.3">
      <c r="A107" s="404">
        <v>90</v>
      </c>
      <c r="B107" s="404" t="s">
        <v>293</v>
      </c>
      <c r="C107" s="407">
        <v>253208.86</v>
      </c>
      <c r="D107" s="407">
        <v>423720.36</v>
      </c>
    </row>
    <row r="108" spans="1:4" x14ac:dyDescent="0.3">
      <c r="A108" s="404">
        <v>91</v>
      </c>
      <c r="B108" s="404" t="s">
        <v>371</v>
      </c>
      <c r="C108" s="407">
        <v>39500</v>
      </c>
      <c r="D108" s="407">
        <v>40500</v>
      </c>
    </row>
    <row r="109" spans="1:4" x14ac:dyDescent="0.3">
      <c r="A109" s="404">
        <v>92</v>
      </c>
      <c r="B109" s="404" t="s">
        <v>372</v>
      </c>
      <c r="C109" s="407">
        <v>300</v>
      </c>
      <c r="D109" s="407">
        <v>3000</v>
      </c>
    </row>
    <row r="110" spans="1:4" x14ac:dyDescent="0.3">
      <c r="A110" s="404">
        <v>93</v>
      </c>
      <c r="B110" s="404" t="s">
        <v>373</v>
      </c>
      <c r="C110" s="407">
        <v>1592158.96</v>
      </c>
      <c r="D110" s="407">
        <v>2597168.96</v>
      </c>
    </row>
    <row r="111" spans="1:4" x14ac:dyDescent="0.3">
      <c r="A111" s="404">
        <v>94</v>
      </c>
      <c r="B111" s="404" t="s">
        <v>376</v>
      </c>
      <c r="C111" s="407">
        <v>31919</v>
      </c>
      <c r="D111" s="407">
        <v>52700</v>
      </c>
    </row>
    <row r="112" spans="1:4" x14ac:dyDescent="0.3">
      <c r="A112" s="404">
        <v>95</v>
      </c>
      <c r="B112" s="404" t="s">
        <v>374</v>
      </c>
      <c r="C112" s="407">
        <v>1828507</v>
      </c>
      <c r="D112" s="407">
        <v>2464319</v>
      </c>
    </row>
    <row r="113" spans="1:5" x14ac:dyDescent="0.3">
      <c r="A113" s="404">
        <v>96</v>
      </c>
      <c r="B113" s="404" t="s">
        <v>375</v>
      </c>
      <c r="C113" s="407">
        <v>240815.67</v>
      </c>
      <c r="D113" s="407">
        <v>346922.17</v>
      </c>
    </row>
    <row r="114" spans="1:5" x14ac:dyDescent="0.3">
      <c r="A114" s="404">
        <v>97</v>
      </c>
      <c r="B114" s="404" t="s">
        <v>377</v>
      </c>
      <c r="C114" s="407">
        <v>94260</v>
      </c>
      <c r="D114" s="407">
        <v>231500</v>
      </c>
    </row>
    <row r="115" spans="1:5" x14ac:dyDescent="0.3">
      <c r="A115" s="404">
        <v>98</v>
      </c>
      <c r="B115" s="404" t="s">
        <v>378</v>
      </c>
      <c r="C115" s="407">
        <v>11632.28</v>
      </c>
      <c r="D115" s="407">
        <v>15931.71</v>
      </c>
    </row>
    <row r="116" spans="1:5" x14ac:dyDescent="0.3">
      <c r="A116" s="404">
        <v>99</v>
      </c>
      <c r="B116" s="404" t="s">
        <v>379</v>
      </c>
      <c r="C116" s="407">
        <v>41778.29</v>
      </c>
      <c r="D116" s="407">
        <v>189000</v>
      </c>
    </row>
    <row r="117" spans="1:5" x14ac:dyDescent="0.3">
      <c r="A117" s="404">
        <v>100</v>
      </c>
      <c r="B117" s="404" t="s">
        <v>380</v>
      </c>
      <c r="C117" s="407">
        <v>6223.13</v>
      </c>
      <c r="D117" s="407">
        <v>9223.1299999999992</v>
      </c>
    </row>
    <row r="118" spans="1:5" x14ac:dyDescent="0.3">
      <c r="A118" s="404">
        <v>101</v>
      </c>
      <c r="B118" s="404" t="s">
        <v>381</v>
      </c>
      <c r="C118" s="407">
        <v>56760</v>
      </c>
      <c r="D118" s="407">
        <v>73000</v>
      </c>
    </row>
    <row r="119" spans="1:5" x14ac:dyDescent="0.3">
      <c r="A119" s="404">
        <v>102</v>
      </c>
      <c r="B119" s="404" t="s">
        <v>382</v>
      </c>
      <c r="C119" s="407">
        <v>27494.52</v>
      </c>
      <c r="D119" s="407">
        <v>45324.38</v>
      </c>
    </row>
    <row r="120" spans="1:5" x14ac:dyDescent="0.3">
      <c r="A120" s="404">
        <v>103</v>
      </c>
      <c r="B120" s="404" t="s">
        <v>383</v>
      </c>
      <c r="C120" s="407">
        <v>403394.76</v>
      </c>
      <c r="D120" s="407">
        <v>628856.66</v>
      </c>
    </row>
    <row r="121" spans="1:5" x14ac:dyDescent="0.3">
      <c r="A121" s="404">
        <v>104</v>
      </c>
      <c r="B121" s="404" t="s">
        <v>384</v>
      </c>
      <c r="C121" s="407">
        <v>380413.71</v>
      </c>
      <c r="D121" s="407">
        <v>998810.57</v>
      </c>
    </row>
    <row r="122" spans="1:5" x14ac:dyDescent="0.3">
      <c r="A122" s="404">
        <v>105</v>
      </c>
      <c r="B122" s="404" t="s">
        <v>385</v>
      </c>
      <c r="C122" s="407">
        <v>17054</v>
      </c>
      <c r="D122" s="407">
        <v>31000</v>
      </c>
    </row>
    <row r="123" spans="1:5" x14ac:dyDescent="0.3">
      <c r="A123" s="404">
        <v>106</v>
      </c>
      <c r="B123" s="404" t="s">
        <v>386</v>
      </c>
      <c r="C123" s="407">
        <v>111516.5</v>
      </c>
      <c r="D123" s="407">
        <v>182000</v>
      </c>
    </row>
    <row r="124" spans="1:5" x14ac:dyDescent="0.3">
      <c r="A124" s="404">
        <v>107</v>
      </c>
      <c r="B124" s="404" t="s">
        <v>387</v>
      </c>
      <c r="C124" s="407">
        <v>9643.5499999999993</v>
      </c>
      <c r="D124" s="407">
        <v>9643.5499999999993</v>
      </c>
    </row>
    <row r="125" spans="1:5" x14ac:dyDescent="0.3">
      <c r="A125" s="404">
        <v>108</v>
      </c>
      <c r="B125" s="404" t="s">
        <v>388</v>
      </c>
      <c r="C125" s="407">
        <v>127760</v>
      </c>
      <c r="D125" s="407">
        <v>158390</v>
      </c>
    </row>
    <row r="126" spans="1:5" x14ac:dyDescent="0.3">
      <c r="A126" s="404">
        <v>109</v>
      </c>
      <c r="B126" s="404" t="s">
        <v>297</v>
      </c>
      <c r="C126" s="407">
        <v>21500</v>
      </c>
      <c r="D126" s="407">
        <v>60000</v>
      </c>
    </row>
    <row r="127" spans="1:5" x14ac:dyDescent="0.3">
      <c r="A127" s="404">
        <v>109</v>
      </c>
      <c r="B127" s="404" t="s">
        <v>1991</v>
      </c>
      <c r="C127" s="407">
        <v>63330.36</v>
      </c>
      <c r="D127" s="407">
        <v>76671.81</v>
      </c>
      <c r="E127" s="408" t="s">
        <v>9</v>
      </c>
    </row>
    <row r="128" spans="1:5" x14ac:dyDescent="0.3">
      <c r="A128" s="404">
        <v>110</v>
      </c>
      <c r="B128" s="404" t="s">
        <v>298</v>
      </c>
      <c r="C128" s="407">
        <v>83543.039999999994</v>
      </c>
      <c r="D128" s="407">
        <v>139678.48000000001</v>
      </c>
    </row>
    <row r="129" spans="1:4" x14ac:dyDescent="0.3">
      <c r="A129" s="404">
        <v>111</v>
      </c>
      <c r="B129" s="409" t="s">
        <v>299</v>
      </c>
      <c r="C129" s="407">
        <v>65369</v>
      </c>
      <c r="D129" s="407">
        <v>128811</v>
      </c>
    </row>
    <row r="130" spans="1:4" x14ac:dyDescent="0.3">
      <c r="A130" s="404">
        <v>112</v>
      </c>
      <c r="B130" s="404" t="s">
        <v>389</v>
      </c>
      <c r="C130" s="407">
        <v>38420</v>
      </c>
      <c r="D130" s="407">
        <v>42400</v>
      </c>
    </row>
    <row r="131" spans="1:4" x14ac:dyDescent="0.3">
      <c r="A131" s="404">
        <v>113</v>
      </c>
      <c r="B131" s="409" t="s">
        <v>390</v>
      </c>
      <c r="C131" s="407">
        <v>36267.79</v>
      </c>
      <c r="D131" s="407">
        <v>114055.79</v>
      </c>
    </row>
    <row r="132" spans="1:4" x14ac:dyDescent="0.3">
      <c r="A132" s="404">
        <v>114</v>
      </c>
      <c r="B132" s="404" t="s">
        <v>301</v>
      </c>
      <c r="C132" s="407">
        <v>80298</v>
      </c>
      <c r="D132" s="407">
        <v>128978</v>
      </c>
    </row>
    <row r="133" spans="1:4" x14ac:dyDescent="0.3">
      <c r="A133" s="404">
        <v>115</v>
      </c>
      <c r="B133" s="409" t="s">
        <v>302</v>
      </c>
    </row>
    <row r="134" spans="1:4" x14ac:dyDescent="0.3">
      <c r="A134" s="404">
        <v>116</v>
      </c>
      <c r="B134" s="404" t="s">
        <v>303</v>
      </c>
      <c r="C134" s="407">
        <v>36843.300000000003</v>
      </c>
      <c r="D134" s="407">
        <v>39030</v>
      </c>
    </row>
    <row r="135" spans="1:4" x14ac:dyDescent="0.3">
      <c r="A135" s="404">
        <v>116</v>
      </c>
      <c r="B135" s="404" t="s">
        <v>2416</v>
      </c>
      <c r="C135" s="407">
        <v>0</v>
      </c>
      <c r="D135" s="407">
        <v>126859.71</v>
      </c>
    </row>
    <row r="136" spans="1:4" x14ac:dyDescent="0.3">
      <c r="A136" s="404">
        <v>117</v>
      </c>
      <c r="B136" s="409" t="s">
        <v>304</v>
      </c>
      <c r="C136" s="407">
        <v>3895.77</v>
      </c>
      <c r="D136" s="407">
        <v>7000</v>
      </c>
    </row>
    <row r="137" spans="1:4" x14ac:dyDescent="0.3">
      <c r="A137" s="404">
        <v>118</v>
      </c>
      <c r="B137" s="404" t="s">
        <v>305</v>
      </c>
      <c r="C137" s="407">
        <v>380930.01</v>
      </c>
      <c r="D137" s="407">
        <v>405413.61</v>
      </c>
    </row>
    <row r="138" spans="1:4" x14ac:dyDescent="0.3">
      <c r="A138" s="404">
        <v>119</v>
      </c>
      <c r="B138" s="409" t="s">
        <v>306</v>
      </c>
      <c r="C138" s="407">
        <v>34067</v>
      </c>
      <c r="D138" s="407">
        <v>72702</v>
      </c>
    </row>
    <row r="139" spans="1:4" x14ac:dyDescent="0.3">
      <c r="A139" s="404">
        <v>119</v>
      </c>
      <c r="B139" s="409" t="s">
        <v>1992</v>
      </c>
      <c r="C139" s="407">
        <v>70500</v>
      </c>
      <c r="D139" s="407">
        <v>93000</v>
      </c>
    </row>
    <row r="140" spans="1:4" x14ac:dyDescent="0.3">
      <c r="A140" s="404">
        <v>120</v>
      </c>
      <c r="B140" s="404" t="s">
        <v>307</v>
      </c>
      <c r="C140" s="407">
        <v>42645</v>
      </c>
      <c r="D140" s="407">
        <v>105787</v>
      </c>
    </row>
    <row r="141" spans="1:4" x14ac:dyDescent="0.3">
      <c r="A141" s="404">
        <v>121</v>
      </c>
      <c r="B141" s="409" t="s">
        <v>308</v>
      </c>
      <c r="C141" s="407">
        <v>13252</v>
      </c>
      <c r="D141" s="407">
        <v>21635</v>
      </c>
    </row>
    <row r="142" spans="1:4" x14ac:dyDescent="0.3">
      <c r="A142" s="404">
        <v>122</v>
      </c>
      <c r="B142" s="404" t="s">
        <v>309</v>
      </c>
      <c r="C142" s="407">
        <v>0</v>
      </c>
      <c r="D142" s="407">
        <v>23000</v>
      </c>
    </row>
    <row r="143" spans="1:4" x14ac:dyDescent="0.3">
      <c r="A143" s="404">
        <v>123</v>
      </c>
      <c r="B143" s="409" t="s">
        <v>310</v>
      </c>
      <c r="C143" s="407">
        <v>4662.57</v>
      </c>
      <c r="D143" s="407">
        <v>22500</v>
      </c>
    </row>
    <row r="144" spans="1:4" x14ac:dyDescent="0.3">
      <c r="A144" s="404">
        <v>124</v>
      </c>
      <c r="B144" s="404" t="s">
        <v>311</v>
      </c>
      <c r="C144" s="407">
        <v>18542.75</v>
      </c>
      <c r="D144" s="407">
        <v>47542</v>
      </c>
    </row>
    <row r="145" spans="1:4" x14ac:dyDescent="0.3">
      <c r="A145" s="404">
        <v>125</v>
      </c>
      <c r="B145" s="409" t="s">
        <v>312</v>
      </c>
      <c r="C145" s="407">
        <v>1809.8</v>
      </c>
      <c r="D145" s="407">
        <v>4180</v>
      </c>
    </row>
    <row r="146" spans="1:4" x14ac:dyDescent="0.3">
      <c r="A146" s="404">
        <v>126</v>
      </c>
      <c r="B146" s="404" t="s">
        <v>313</v>
      </c>
      <c r="C146" s="407">
        <v>68894.86</v>
      </c>
      <c r="D146" s="407">
        <v>68894.86</v>
      </c>
    </row>
    <row r="147" spans="1:4" x14ac:dyDescent="0.3">
      <c r="A147" s="404">
        <v>127</v>
      </c>
      <c r="B147" s="409" t="s">
        <v>314</v>
      </c>
      <c r="C147" s="407">
        <v>45394.62</v>
      </c>
      <c r="D147" s="407">
        <v>53888.52</v>
      </c>
    </row>
    <row r="148" spans="1:4" x14ac:dyDescent="0.3">
      <c r="A148" s="404">
        <v>128</v>
      </c>
      <c r="B148" s="404" t="s">
        <v>315</v>
      </c>
      <c r="C148" s="407">
        <v>28431.71</v>
      </c>
      <c r="D148" s="407">
        <v>55800</v>
      </c>
    </row>
    <row r="149" spans="1:4" x14ac:dyDescent="0.3">
      <c r="A149" s="404">
        <v>129</v>
      </c>
      <c r="B149" s="409" t="s">
        <v>316</v>
      </c>
      <c r="C149" s="407">
        <v>49000</v>
      </c>
      <c r="D149" s="407">
        <v>87000</v>
      </c>
    </row>
    <row r="150" spans="1:4" x14ac:dyDescent="0.3">
      <c r="A150" s="404">
        <v>130</v>
      </c>
      <c r="B150" s="404" t="s">
        <v>391</v>
      </c>
      <c r="C150" s="407">
        <v>129348.6</v>
      </c>
      <c r="D150" s="407">
        <v>163000</v>
      </c>
    </row>
    <row r="151" spans="1:4" x14ac:dyDescent="0.3">
      <c r="A151" s="404">
        <v>131</v>
      </c>
      <c r="B151" s="409" t="s">
        <v>318</v>
      </c>
      <c r="C151" s="407">
        <v>75951.759999999995</v>
      </c>
      <c r="D151" s="407">
        <v>248228.5</v>
      </c>
    </row>
    <row r="152" spans="1:4" x14ac:dyDescent="0.3">
      <c r="A152" s="404">
        <v>132</v>
      </c>
      <c r="B152" s="404" t="s">
        <v>317</v>
      </c>
      <c r="C152" s="407">
        <v>146545.38</v>
      </c>
      <c r="D152" s="407">
        <v>427775.39</v>
      </c>
    </row>
    <row r="153" spans="1:4" x14ac:dyDescent="0.3">
      <c r="A153" s="404">
        <v>133</v>
      </c>
      <c r="B153" s="409" t="s">
        <v>319</v>
      </c>
      <c r="C153" s="407">
        <v>20042.400000000001</v>
      </c>
      <c r="D153" s="407">
        <v>51007.5</v>
      </c>
    </row>
    <row r="154" spans="1:4" x14ac:dyDescent="0.3">
      <c r="A154" s="404">
        <v>134</v>
      </c>
      <c r="B154" s="404" t="s">
        <v>320</v>
      </c>
      <c r="C154" s="407">
        <v>49379</v>
      </c>
      <c r="D154" s="407">
        <v>70150</v>
      </c>
    </row>
    <row r="155" spans="1:4" x14ac:dyDescent="0.3">
      <c r="A155" s="404">
        <v>135</v>
      </c>
      <c r="B155" s="409" t="s">
        <v>321</v>
      </c>
      <c r="C155" s="407">
        <v>913352.22</v>
      </c>
      <c r="D155" s="407">
        <v>3060556</v>
      </c>
    </row>
    <row r="156" spans="1:4" x14ac:dyDescent="0.3">
      <c r="A156" s="404">
        <v>136</v>
      </c>
      <c r="B156" s="409" t="s">
        <v>322</v>
      </c>
      <c r="C156" s="407">
        <v>349.17</v>
      </c>
      <c r="D156" s="407">
        <v>1000</v>
      </c>
    </row>
    <row r="157" spans="1:4" x14ac:dyDescent="0.3">
      <c r="A157" s="404">
        <v>137</v>
      </c>
      <c r="B157" s="409" t="s">
        <v>323</v>
      </c>
      <c r="C157" s="407">
        <v>114582.24</v>
      </c>
      <c r="D157" s="407">
        <v>758198.7</v>
      </c>
    </row>
    <row r="158" spans="1:4" x14ac:dyDescent="0.3">
      <c r="A158" s="404">
        <v>138</v>
      </c>
      <c r="B158" s="409" t="s">
        <v>392</v>
      </c>
      <c r="C158" s="407">
        <v>97785</v>
      </c>
      <c r="D158" s="407">
        <v>551155</v>
      </c>
    </row>
    <row r="159" spans="1:4" x14ac:dyDescent="0.3">
      <c r="A159" s="404">
        <v>138</v>
      </c>
      <c r="B159" s="409" t="s">
        <v>1993</v>
      </c>
      <c r="C159" s="407">
        <v>178528.81</v>
      </c>
      <c r="D159" s="407">
        <v>244346.16</v>
      </c>
    </row>
    <row r="160" spans="1:4" x14ac:dyDescent="0.3">
      <c r="A160" s="404">
        <v>139</v>
      </c>
      <c r="B160" s="409" t="s">
        <v>324</v>
      </c>
      <c r="C160" s="407">
        <v>35941</v>
      </c>
      <c r="D160" s="407">
        <v>112231</v>
      </c>
    </row>
    <row r="161" spans="1:5" x14ac:dyDescent="0.3">
      <c r="A161" s="404">
        <v>140</v>
      </c>
      <c r="B161" s="409" t="s">
        <v>325</v>
      </c>
      <c r="C161" s="407">
        <v>10392.9</v>
      </c>
      <c r="D161" s="407">
        <v>19892.900000000001</v>
      </c>
    </row>
    <row r="162" spans="1:5" x14ac:dyDescent="0.3">
      <c r="A162" s="404">
        <v>140</v>
      </c>
      <c r="B162" s="409" t="s">
        <v>1996</v>
      </c>
      <c r="C162" s="407">
        <v>206134</v>
      </c>
      <c r="D162" s="407">
        <v>400615</v>
      </c>
    </row>
    <row r="163" spans="1:5" x14ac:dyDescent="0.3">
      <c r="A163" s="404">
        <v>141</v>
      </c>
      <c r="B163" s="409" t="s">
        <v>326</v>
      </c>
      <c r="C163" s="407">
        <v>7000</v>
      </c>
      <c r="D163" s="407">
        <v>20500</v>
      </c>
    </row>
    <row r="164" spans="1:5" x14ac:dyDescent="0.3">
      <c r="A164" s="404">
        <v>142</v>
      </c>
      <c r="B164" s="409" t="s">
        <v>393</v>
      </c>
      <c r="C164" s="407">
        <v>93480.28</v>
      </c>
      <c r="D164" s="407">
        <v>270440</v>
      </c>
    </row>
    <row r="165" spans="1:5" x14ac:dyDescent="0.3">
      <c r="A165" s="404">
        <v>143</v>
      </c>
      <c r="B165" s="409" t="s">
        <v>328</v>
      </c>
      <c r="C165" s="407">
        <v>120537.48</v>
      </c>
      <c r="D165" s="407">
        <v>170203.56</v>
      </c>
    </row>
    <row r="166" spans="1:5" x14ac:dyDescent="0.3">
      <c r="A166" s="404">
        <v>143</v>
      </c>
      <c r="B166" s="409" t="s">
        <v>1997</v>
      </c>
      <c r="C166" s="407">
        <v>165265</v>
      </c>
      <c r="D166" s="407">
        <v>368329</v>
      </c>
    </row>
    <row r="167" spans="1:5" x14ac:dyDescent="0.3">
      <c r="A167" s="404">
        <v>144</v>
      </c>
      <c r="B167" s="409" t="s">
        <v>329</v>
      </c>
      <c r="C167" s="407">
        <v>83405</v>
      </c>
      <c r="D167" s="407">
        <v>315558</v>
      </c>
    </row>
    <row r="168" spans="1:5" x14ac:dyDescent="0.3">
      <c r="A168" s="404">
        <v>144</v>
      </c>
      <c r="B168" s="409" t="s">
        <v>2238</v>
      </c>
      <c r="C168" s="407">
        <v>82577</v>
      </c>
      <c r="D168" s="407">
        <v>257385</v>
      </c>
    </row>
    <row r="169" spans="1:5" x14ac:dyDescent="0.3">
      <c r="A169" s="404">
        <v>145</v>
      </c>
      <c r="B169" s="409" t="s">
        <v>330</v>
      </c>
      <c r="C169" s="407">
        <v>2018.83</v>
      </c>
      <c r="D169" s="407">
        <v>11500</v>
      </c>
    </row>
    <row r="170" spans="1:5" x14ac:dyDescent="0.3">
      <c r="A170" s="404">
        <v>146</v>
      </c>
      <c r="B170" s="409" t="s">
        <v>331</v>
      </c>
      <c r="C170" s="407">
        <v>103704.75</v>
      </c>
      <c r="D170" s="407">
        <v>157000</v>
      </c>
    </row>
    <row r="171" spans="1:5" x14ac:dyDescent="0.3">
      <c r="A171" s="404">
        <v>147</v>
      </c>
      <c r="B171" s="409" t="s">
        <v>332</v>
      </c>
      <c r="C171" s="407">
        <v>4375.7</v>
      </c>
      <c r="D171" s="407">
        <v>14392.2</v>
      </c>
    </row>
    <row r="172" spans="1:5" x14ac:dyDescent="0.3">
      <c r="A172" s="404">
        <v>147</v>
      </c>
      <c r="B172" s="409" t="s">
        <v>1998</v>
      </c>
      <c r="C172" s="407">
        <v>38319.800000000003</v>
      </c>
      <c r="D172" s="407">
        <v>92064.6</v>
      </c>
      <c r="E172" s="408" t="s">
        <v>2000</v>
      </c>
    </row>
    <row r="173" spans="1:5" x14ac:dyDescent="0.3">
      <c r="A173" s="404">
        <v>148</v>
      </c>
      <c r="B173" s="409" t="s">
        <v>333</v>
      </c>
      <c r="C173" s="407">
        <v>616059</v>
      </c>
      <c r="D173" s="407">
        <v>967050</v>
      </c>
    </row>
    <row r="174" spans="1:5" x14ac:dyDescent="0.3">
      <c r="A174" s="404">
        <v>149</v>
      </c>
      <c r="B174" s="409" t="s">
        <v>334</v>
      </c>
      <c r="C174" s="407">
        <v>3548.38</v>
      </c>
      <c r="D174" s="407">
        <v>29948.38</v>
      </c>
    </row>
    <row r="175" spans="1:5" x14ac:dyDescent="0.3">
      <c r="A175" s="404">
        <v>150</v>
      </c>
      <c r="B175" s="409" t="s">
        <v>394</v>
      </c>
      <c r="C175" s="407">
        <v>14731.42</v>
      </c>
      <c r="D175" s="407">
        <v>37250</v>
      </c>
      <c r="E175" s="408" t="s">
        <v>9</v>
      </c>
    </row>
    <row r="176" spans="1:5" x14ac:dyDescent="0.3">
      <c r="A176" s="404">
        <v>151</v>
      </c>
      <c r="B176" s="409" t="s">
        <v>335</v>
      </c>
      <c r="C176" s="407">
        <v>1134850.1200000001</v>
      </c>
      <c r="D176" s="407">
        <v>3882480.22</v>
      </c>
    </row>
    <row r="177" spans="1:5" x14ac:dyDescent="0.3">
      <c r="A177" s="404">
        <v>151</v>
      </c>
      <c r="B177" s="409" t="s">
        <v>1999</v>
      </c>
      <c r="C177" s="407">
        <v>989005.9</v>
      </c>
      <c r="D177" s="407">
        <v>2909755.96</v>
      </c>
    </row>
    <row r="178" spans="1:5" x14ac:dyDescent="0.3">
      <c r="A178" s="404">
        <v>152</v>
      </c>
      <c r="B178" s="409" t="s">
        <v>336</v>
      </c>
      <c r="C178" s="407">
        <v>74199.03</v>
      </c>
      <c r="D178" s="407">
        <v>124692.62</v>
      </c>
    </row>
    <row r="179" spans="1:5" x14ac:dyDescent="0.3">
      <c r="A179" s="404">
        <v>153</v>
      </c>
      <c r="B179" s="409" t="s">
        <v>337</v>
      </c>
      <c r="C179" s="407">
        <v>54244</v>
      </c>
      <c r="D179" s="407">
        <v>68700</v>
      </c>
    </row>
    <row r="180" spans="1:5" x14ac:dyDescent="0.3">
      <c r="A180" s="404">
        <v>154</v>
      </c>
      <c r="B180" s="409" t="s">
        <v>340</v>
      </c>
      <c r="C180" s="407">
        <v>173489.57</v>
      </c>
      <c r="D180" s="407">
        <v>446335.55</v>
      </c>
    </row>
    <row r="181" spans="1:5" x14ac:dyDescent="0.3">
      <c r="A181" s="404">
        <v>155</v>
      </c>
      <c r="B181" s="409" t="s">
        <v>338</v>
      </c>
      <c r="C181" s="407">
        <v>227035.79</v>
      </c>
      <c r="D181" s="407">
        <v>316770.99</v>
      </c>
    </row>
    <row r="182" spans="1:5" x14ac:dyDescent="0.3">
      <c r="A182" s="404">
        <v>155</v>
      </c>
      <c r="B182" s="409" t="s">
        <v>2001</v>
      </c>
      <c r="C182" s="407">
        <v>58142.94</v>
      </c>
      <c r="D182" s="407">
        <v>663851.25</v>
      </c>
    </row>
    <row r="183" spans="1:5" x14ac:dyDescent="0.3">
      <c r="A183" s="404">
        <v>156</v>
      </c>
      <c r="B183" s="409" t="s">
        <v>339</v>
      </c>
      <c r="C183" s="407">
        <v>397563</v>
      </c>
      <c r="D183" s="407">
        <v>477075.6</v>
      </c>
    </row>
    <row r="184" spans="1:5" x14ac:dyDescent="0.3">
      <c r="A184" s="404">
        <v>157</v>
      </c>
      <c r="B184" s="409" t="s">
        <v>341</v>
      </c>
      <c r="C184" s="407">
        <v>56572</v>
      </c>
      <c r="D184" s="407">
        <v>93000</v>
      </c>
    </row>
    <row r="185" spans="1:5" x14ac:dyDescent="0.3">
      <c r="A185" s="404">
        <v>158</v>
      </c>
      <c r="B185" s="409" t="s">
        <v>342</v>
      </c>
      <c r="C185" s="407">
        <v>196000.19</v>
      </c>
      <c r="D185" s="407">
        <v>386000.19</v>
      </c>
      <c r="E185" s="408" t="s">
        <v>9</v>
      </c>
    </row>
    <row r="186" spans="1:5" x14ac:dyDescent="0.3">
      <c r="A186" s="404">
        <v>159</v>
      </c>
      <c r="B186" s="409" t="s">
        <v>343</v>
      </c>
      <c r="C186" s="407">
        <v>74280.09</v>
      </c>
      <c r="D186" s="407">
        <v>130480.09</v>
      </c>
    </row>
    <row r="187" spans="1:5" x14ac:dyDescent="0.3">
      <c r="A187" s="404">
        <v>160</v>
      </c>
      <c r="B187" s="409" t="s">
        <v>344</v>
      </c>
      <c r="C187" s="407">
        <v>16102.88</v>
      </c>
      <c r="D187" s="407">
        <v>67562.320000000007</v>
      </c>
    </row>
    <row r="188" spans="1:5" x14ac:dyDescent="0.3">
      <c r="A188" s="404">
        <v>161</v>
      </c>
      <c r="B188" s="409" t="s">
        <v>345</v>
      </c>
      <c r="C188" s="407">
        <v>124836.29</v>
      </c>
      <c r="D188" s="407">
        <v>317831.08</v>
      </c>
    </row>
    <row r="189" spans="1:5" x14ac:dyDescent="0.3">
      <c r="A189" s="404">
        <v>162</v>
      </c>
      <c r="B189" s="409" t="s">
        <v>346</v>
      </c>
      <c r="C189" s="407">
        <v>15745</v>
      </c>
      <c r="D189" s="407">
        <v>91984</v>
      </c>
    </row>
    <row r="190" spans="1:5" x14ac:dyDescent="0.3">
      <c r="A190" s="404">
        <v>163</v>
      </c>
      <c r="B190" s="409" t="s">
        <v>347</v>
      </c>
      <c r="C190" s="407">
        <v>183035.58</v>
      </c>
      <c r="D190" s="407">
        <v>332863.03999999998</v>
      </c>
    </row>
    <row r="191" spans="1:5" x14ac:dyDescent="0.3">
      <c r="A191" s="404">
        <v>164</v>
      </c>
      <c r="B191" s="409" t="s">
        <v>348</v>
      </c>
      <c r="C191" s="407">
        <v>56759</v>
      </c>
      <c r="D191" s="407">
        <v>204910</v>
      </c>
    </row>
    <row r="192" spans="1:5" x14ac:dyDescent="0.3">
      <c r="A192" s="404">
        <v>165</v>
      </c>
      <c r="B192" s="409" t="s">
        <v>349</v>
      </c>
      <c r="C192" s="407">
        <v>83802.77</v>
      </c>
      <c r="D192" s="407">
        <v>229561.54</v>
      </c>
    </row>
    <row r="193" spans="1:5" x14ac:dyDescent="0.3">
      <c r="A193" s="404">
        <v>166</v>
      </c>
      <c r="B193" s="409" t="s">
        <v>350</v>
      </c>
      <c r="C193" s="407">
        <v>7954.73</v>
      </c>
      <c r="D193" s="407">
        <v>42002.92</v>
      </c>
      <c r="E193" s="416"/>
    </row>
    <row r="194" spans="1:5" x14ac:dyDescent="0.3">
      <c r="A194" s="404">
        <v>166</v>
      </c>
      <c r="B194" s="409" t="s">
        <v>2004</v>
      </c>
      <c r="C194" s="407">
        <v>125113</v>
      </c>
      <c r="D194" s="407">
        <v>645886</v>
      </c>
    </row>
    <row r="195" spans="1:5" x14ac:dyDescent="0.3">
      <c r="A195" s="404">
        <v>167</v>
      </c>
      <c r="B195" s="409" t="s">
        <v>351</v>
      </c>
      <c r="C195" s="407">
        <v>36921.870000000003</v>
      </c>
      <c r="D195" s="407">
        <v>97964.29</v>
      </c>
    </row>
    <row r="196" spans="1:5" x14ac:dyDescent="0.3">
      <c r="A196" s="404">
        <v>168</v>
      </c>
      <c r="B196" s="409" t="s">
        <v>352</v>
      </c>
      <c r="C196" s="407">
        <v>16879</v>
      </c>
      <c r="D196" s="407">
        <v>94700</v>
      </c>
    </row>
    <row r="197" spans="1:5" x14ac:dyDescent="0.3">
      <c r="A197" s="404">
        <v>169</v>
      </c>
      <c r="B197" s="409" t="s">
        <v>353</v>
      </c>
      <c r="C197" s="407">
        <v>139656.6</v>
      </c>
      <c r="D197" s="407">
        <v>184500</v>
      </c>
    </row>
    <row r="198" spans="1:5" s="416" customFormat="1" x14ac:dyDescent="0.3">
      <c r="A198" s="413"/>
      <c r="B198" s="414" t="s">
        <v>1546</v>
      </c>
      <c r="C198" s="415">
        <f>SUM(C2:C197)</f>
        <v>27052806.730000004</v>
      </c>
      <c r="D198" s="415">
        <f>SUM(D2:D197)</f>
        <v>63637971.890000008</v>
      </c>
      <c r="E198" s="408"/>
    </row>
  </sheetData>
  <printOptions horizontalCentered="1" gridLines="1"/>
  <pageMargins left="0.7" right="0.7" top="0.75" bottom="0.75" header="0.3" footer="0.3"/>
  <pageSetup fitToHeight="0" orientation="landscape" r:id="rId1"/>
  <headerFooter>
    <oddHeader>&amp;F</oddHeader>
    <oddFooter>&amp;L&amp;"-,Bold"OPM - IGPP&amp;C&amp;D&amp;RPage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6954-38F4-4867-B8A3-5E6CC7DB952C}">
  <dimension ref="A1:H47"/>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5">
      <c r="A2" s="3" t="s">
        <v>465</v>
      </c>
      <c r="B2" s="4">
        <v>25000</v>
      </c>
      <c r="C2" s="3" t="s">
        <v>466</v>
      </c>
      <c r="D2" s="5" t="s">
        <v>467</v>
      </c>
      <c r="E2" s="3" t="s">
        <v>468</v>
      </c>
      <c r="F2" s="6" t="s">
        <v>469</v>
      </c>
      <c r="G2" s="5" t="s">
        <v>470</v>
      </c>
      <c r="H2" s="5" t="s">
        <v>470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25000</v>
      </c>
    </row>
    <row r="11" spans="1:8" ht="16.2" thickBot="1" x14ac:dyDescent="0.35">
      <c r="A11" s="11"/>
      <c r="B11" s="12">
        <v>0</v>
      </c>
    </row>
    <row r="12" spans="1:8" ht="16.2" thickBot="1" x14ac:dyDescent="0.35">
      <c r="A12" s="11"/>
      <c r="B12" s="10"/>
      <c r="C12" s="12">
        <v>25000</v>
      </c>
    </row>
    <row r="13" spans="1:8" x14ac:dyDescent="0.3">
      <c r="A13" s="13"/>
      <c r="C13" s="10" t="s">
        <v>9</v>
      </c>
    </row>
    <row r="14" spans="1:8" x14ac:dyDescent="0.3">
      <c r="A14" s="109" t="s">
        <v>471</v>
      </c>
    </row>
    <row r="15" spans="1:8" ht="31.2" x14ac:dyDescent="0.3">
      <c r="A15" s="1" t="s">
        <v>17</v>
      </c>
      <c r="B15" s="14" t="s">
        <v>18</v>
      </c>
      <c r="C15" s="1" t="s">
        <v>19</v>
      </c>
      <c r="D15" s="1" t="s">
        <v>20</v>
      </c>
      <c r="E15" s="1" t="s">
        <v>21</v>
      </c>
      <c r="F15" s="1" t="s">
        <v>22</v>
      </c>
    </row>
    <row r="16" spans="1:8" ht="16.2" thickBot="1" x14ac:dyDescent="0.35">
      <c r="A16" s="15" t="s">
        <v>23</v>
      </c>
      <c r="B16" s="16">
        <v>583.79999999999995</v>
      </c>
      <c r="C16" s="16">
        <v>1000</v>
      </c>
      <c r="D16" s="29" t="s">
        <v>24</v>
      </c>
      <c r="E16" s="29" t="s">
        <v>472</v>
      </c>
      <c r="F16" s="18" t="s">
        <v>473</v>
      </c>
    </row>
    <row r="17" spans="1:6" ht="16.2" thickBot="1" x14ac:dyDescent="0.35">
      <c r="A17" s="15" t="s">
        <v>25</v>
      </c>
      <c r="B17" s="12">
        <v>5735</v>
      </c>
      <c r="C17" s="12">
        <v>6500</v>
      </c>
      <c r="D17" s="29" t="s">
        <v>24</v>
      </c>
      <c r="E17" s="29" t="s">
        <v>472</v>
      </c>
      <c r="F17" s="20" t="s">
        <v>474</v>
      </c>
    </row>
    <row r="18" spans="1:6" ht="16.2" thickBot="1" x14ac:dyDescent="0.35">
      <c r="A18" s="15" t="s">
        <v>26</v>
      </c>
      <c r="B18" s="12">
        <v>1000</v>
      </c>
      <c r="C18" s="12">
        <v>1000</v>
      </c>
      <c r="D18" s="29" t="s">
        <v>24</v>
      </c>
      <c r="E18" s="29" t="s">
        <v>472</v>
      </c>
      <c r="F18" s="20" t="s">
        <v>475</v>
      </c>
    </row>
    <row r="19" spans="1:6" ht="16.2" thickBot="1" x14ac:dyDescent="0.35">
      <c r="A19" s="15" t="s">
        <v>27</v>
      </c>
      <c r="B19" s="12">
        <v>0</v>
      </c>
      <c r="C19" s="12">
        <v>0</v>
      </c>
      <c r="D19" s="19"/>
      <c r="E19" s="19"/>
      <c r="F19" s="20"/>
    </row>
    <row r="20" spans="1:6" ht="16.2" thickBot="1" x14ac:dyDescent="0.35">
      <c r="A20" s="15" t="s">
        <v>28</v>
      </c>
      <c r="B20" s="12">
        <v>504</v>
      </c>
      <c r="C20" s="12">
        <v>504</v>
      </c>
      <c r="D20" s="29" t="s">
        <v>24</v>
      </c>
      <c r="E20" s="29" t="s">
        <v>472</v>
      </c>
      <c r="F20" s="20" t="s">
        <v>476</v>
      </c>
    </row>
    <row r="21" spans="1:6" ht="16.2" thickBot="1" x14ac:dyDescent="0.35">
      <c r="A21" s="15" t="s">
        <v>29</v>
      </c>
      <c r="B21" s="12">
        <v>20351</v>
      </c>
      <c r="C21" s="12">
        <v>60000</v>
      </c>
      <c r="D21" s="29" t="s">
        <v>24</v>
      </c>
      <c r="E21" s="29" t="s">
        <v>472</v>
      </c>
      <c r="F21" s="20" t="s">
        <v>477</v>
      </c>
    </row>
    <row r="22" spans="1:6" ht="16.2" thickBot="1" x14ac:dyDescent="0.35">
      <c r="A22" s="15" t="s">
        <v>30</v>
      </c>
      <c r="B22" s="12">
        <v>7691</v>
      </c>
      <c r="C22" s="12">
        <v>12000</v>
      </c>
      <c r="D22" s="29" t="s">
        <v>24</v>
      </c>
      <c r="E22" s="29" t="s">
        <v>472</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35864.800000000003</v>
      </c>
      <c r="C29" s="22">
        <v>81004</v>
      </c>
      <c r="D29" s="23"/>
      <c r="E29" s="23"/>
      <c r="F29" s="24"/>
    </row>
    <row r="30" spans="1:6" x14ac:dyDescent="0.3">
      <c r="A30" s="13"/>
      <c r="B30" s="58"/>
      <c r="C30" s="58"/>
      <c r="D30" s="59"/>
      <c r="E30" s="59"/>
      <c r="F30" s="60"/>
    </row>
    <row r="31" spans="1:6" x14ac:dyDescent="0.3">
      <c r="A31" s="109" t="s">
        <v>478</v>
      </c>
    </row>
    <row r="32" spans="1:6" ht="31.2" x14ac:dyDescent="0.3">
      <c r="A32" s="1" t="s">
        <v>17</v>
      </c>
      <c r="B32" s="14" t="s">
        <v>18</v>
      </c>
      <c r="C32" s="1" t="s">
        <v>19</v>
      </c>
      <c r="D32" s="1" t="s">
        <v>20</v>
      </c>
      <c r="E32" s="1" t="s">
        <v>21</v>
      </c>
      <c r="F32" s="1" t="s">
        <v>22</v>
      </c>
    </row>
    <row r="33" spans="1:6" ht="16.2" thickBot="1" x14ac:dyDescent="0.35">
      <c r="A33" s="15" t="s">
        <v>23</v>
      </c>
      <c r="B33" s="16">
        <v>4473</v>
      </c>
      <c r="C33" s="16">
        <v>5000</v>
      </c>
      <c r="D33" s="29" t="s">
        <v>24</v>
      </c>
      <c r="E33" s="29" t="s">
        <v>472</v>
      </c>
      <c r="F33" s="18"/>
    </row>
    <row r="34" spans="1:6" ht="16.2" thickBot="1" x14ac:dyDescent="0.35">
      <c r="A34" s="15" t="s">
        <v>479</v>
      </c>
      <c r="B34" s="12">
        <v>13268</v>
      </c>
      <c r="C34" s="12">
        <v>14000</v>
      </c>
      <c r="D34" s="29" t="s">
        <v>24</v>
      </c>
      <c r="E34" s="29" t="s">
        <v>472</v>
      </c>
      <c r="F34" s="20" t="s">
        <v>480</v>
      </c>
    </row>
    <row r="35" spans="1:6" ht="16.2" thickBot="1" x14ac:dyDescent="0.35">
      <c r="A35" s="15" t="s">
        <v>481</v>
      </c>
      <c r="B35" s="12">
        <v>6275</v>
      </c>
      <c r="C35" s="12">
        <v>7500</v>
      </c>
      <c r="D35" s="29" t="s">
        <v>24</v>
      </c>
      <c r="E35" s="29" t="s">
        <v>472</v>
      </c>
      <c r="F35" s="20" t="s">
        <v>482</v>
      </c>
    </row>
    <row r="36" spans="1:6" ht="47.4" thickBot="1" x14ac:dyDescent="0.35">
      <c r="A36" s="15" t="s">
        <v>26</v>
      </c>
      <c r="B36" s="12">
        <v>0</v>
      </c>
      <c r="C36" s="12">
        <v>181598.76</v>
      </c>
      <c r="D36" s="29" t="s">
        <v>24</v>
      </c>
      <c r="E36" s="110" t="s">
        <v>483</v>
      </c>
      <c r="F36" s="20" t="s">
        <v>484</v>
      </c>
    </row>
    <row r="37" spans="1:6" ht="16.2" thickBot="1" x14ac:dyDescent="0.35">
      <c r="A37" s="15" t="s">
        <v>27</v>
      </c>
      <c r="B37" s="12">
        <v>0</v>
      </c>
      <c r="C37" s="12">
        <v>0</v>
      </c>
      <c r="D37" s="19"/>
      <c r="E37" s="19"/>
      <c r="F37" s="20"/>
    </row>
    <row r="38" spans="1:6" ht="16.2" thickBot="1" x14ac:dyDescent="0.35">
      <c r="A38" s="15" t="s">
        <v>28</v>
      </c>
      <c r="B38" s="12">
        <v>0</v>
      </c>
      <c r="C38" s="12">
        <v>0</v>
      </c>
      <c r="D38" s="19"/>
      <c r="E38" s="19"/>
      <c r="F38" s="20"/>
    </row>
    <row r="39" spans="1:6" ht="16.2" thickBot="1" x14ac:dyDescent="0.35">
      <c r="A39" s="15" t="s">
        <v>29</v>
      </c>
      <c r="B39" s="12">
        <v>0</v>
      </c>
      <c r="C39" s="12">
        <v>0</v>
      </c>
      <c r="D39" s="19"/>
      <c r="E39" s="19"/>
      <c r="F39" s="20"/>
    </row>
    <row r="40" spans="1:6" ht="16.2" thickBot="1" x14ac:dyDescent="0.35">
      <c r="A40" s="15" t="s">
        <v>30</v>
      </c>
      <c r="B40" s="12">
        <v>2146</v>
      </c>
      <c r="C40" s="12">
        <v>3000</v>
      </c>
      <c r="D40" s="29" t="s">
        <v>24</v>
      </c>
      <c r="E40" s="29" t="s">
        <v>472</v>
      </c>
      <c r="F40" s="20"/>
    </row>
    <row r="41" spans="1:6" ht="16.2" thickBot="1" x14ac:dyDescent="0.35">
      <c r="A41" s="11"/>
      <c r="B41" s="12">
        <v>0</v>
      </c>
      <c r="C41" s="12">
        <v>0</v>
      </c>
      <c r="D41" s="19"/>
      <c r="E41" s="19"/>
      <c r="F41" s="20"/>
    </row>
    <row r="42" spans="1:6" ht="16.2" thickBot="1" x14ac:dyDescent="0.35">
      <c r="A42" s="11"/>
      <c r="B42" s="12">
        <v>0</v>
      </c>
      <c r="C42" s="12">
        <v>0</v>
      </c>
      <c r="D42" s="19"/>
      <c r="E42" s="19"/>
      <c r="F42" s="20"/>
    </row>
    <row r="43" spans="1:6" ht="16.2" thickBot="1" x14ac:dyDescent="0.35">
      <c r="A43" s="11"/>
      <c r="B43" s="12">
        <v>0</v>
      </c>
      <c r="C43" s="12">
        <v>0</v>
      </c>
      <c r="D43" s="19"/>
      <c r="E43" s="19"/>
      <c r="F43" s="20"/>
    </row>
    <row r="44" spans="1:6" ht="16.2" thickBot="1" x14ac:dyDescent="0.35">
      <c r="A44" s="11"/>
      <c r="B44" s="12">
        <v>0</v>
      </c>
      <c r="C44" s="12">
        <v>0</v>
      </c>
      <c r="D44" s="19"/>
      <c r="E44" s="19"/>
      <c r="F44" s="20"/>
    </row>
    <row r="45" spans="1:6" ht="16.2" thickBot="1" x14ac:dyDescent="0.35">
      <c r="A45" s="11"/>
      <c r="B45" s="12">
        <v>0</v>
      </c>
      <c r="C45" s="12">
        <v>0</v>
      </c>
      <c r="D45" s="19"/>
      <c r="E45" s="19"/>
      <c r="F45" s="20"/>
    </row>
    <row r="46" spans="1:6" ht="16.2" thickBot="1" x14ac:dyDescent="0.35">
      <c r="A46" s="21"/>
      <c r="B46" s="12">
        <v>0</v>
      </c>
      <c r="C46" s="12">
        <v>0</v>
      </c>
      <c r="D46" s="19"/>
      <c r="E46" s="19"/>
      <c r="F46" s="20"/>
    </row>
    <row r="47" spans="1:6" ht="16.2" thickBot="1" x14ac:dyDescent="0.35">
      <c r="A47" s="13" t="s">
        <v>32</v>
      </c>
      <c r="B47" s="22">
        <v>26162</v>
      </c>
      <c r="C47" s="22">
        <v>211098.76</v>
      </c>
      <c r="D47" s="23"/>
      <c r="E47" s="23"/>
      <c r="F47" s="24"/>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9055-98BE-46C2-A6E7-03A20903149B}">
  <dimension ref="A1:H33"/>
  <sheetViews>
    <sheetView topLeftCell="A16"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3.6" thickBot="1" x14ac:dyDescent="0.35">
      <c r="A2" s="3" t="s">
        <v>485</v>
      </c>
      <c r="B2" s="4">
        <v>10868.19</v>
      </c>
      <c r="C2" s="111" t="s">
        <v>486</v>
      </c>
      <c r="D2" s="5">
        <v>13600000</v>
      </c>
      <c r="E2" s="3"/>
      <c r="F2" s="6"/>
      <c r="G2" s="5">
        <v>0</v>
      </c>
      <c r="H2" s="5">
        <v>35125</v>
      </c>
    </row>
    <row r="4" spans="1:8" x14ac:dyDescent="0.3">
      <c r="A4" s="8" t="s">
        <v>11</v>
      </c>
    </row>
    <row r="6" spans="1:8" ht="16.2" thickBot="1" x14ac:dyDescent="0.35">
      <c r="A6" s="9" t="s">
        <v>12</v>
      </c>
      <c r="B6" s="10" t="s">
        <v>9</v>
      </c>
    </row>
    <row r="7" spans="1:8" ht="16.2" thickBot="1" x14ac:dyDescent="0.35">
      <c r="A7" s="11" t="s">
        <v>13</v>
      </c>
      <c r="B7" s="12">
        <v>85000</v>
      </c>
      <c r="C7" s="7" t="s">
        <v>487</v>
      </c>
    </row>
    <row r="8" spans="1:8" ht="16.2" thickBot="1" x14ac:dyDescent="0.35">
      <c r="A8" s="11" t="s">
        <v>14</v>
      </c>
      <c r="B8" s="12"/>
      <c r="C8" s="112"/>
    </row>
    <row r="9" spans="1:8" ht="16.2" thickBot="1" x14ac:dyDescent="0.35">
      <c r="A9" s="11"/>
      <c r="B9" s="12">
        <v>0</v>
      </c>
    </row>
    <row r="10" spans="1:8" ht="16.2" thickBot="1" x14ac:dyDescent="0.35">
      <c r="A10" s="11"/>
      <c r="B10" s="12">
        <v>0</v>
      </c>
    </row>
    <row r="11" spans="1:8" ht="16.2" thickBot="1" x14ac:dyDescent="0.35">
      <c r="A11" s="11"/>
      <c r="B11" s="10"/>
      <c r="C11" s="12">
        <v>85000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13">
        <v>3841.03</v>
      </c>
      <c r="C15" s="114">
        <v>12279.56</v>
      </c>
      <c r="D15" s="17" t="s">
        <v>24</v>
      </c>
      <c r="E15" s="17" t="s">
        <v>488</v>
      </c>
      <c r="F15" s="115" t="s">
        <v>489</v>
      </c>
    </row>
    <row r="16" spans="1:8" ht="16.2" thickBot="1" x14ac:dyDescent="0.35">
      <c r="A16" s="15" t="s">
        <v>25</v>
      </c>
      <c r="B16" s="116">
        <v>4693.97</v>
      </c>
      <c r="C16" s="116">
        <v>216008.45</v>
      </c>
      <c r="D16" s="19" t="s">
        <v>24</v>
      </c>
      <c r="E16" s="19" t="s">
        <v>488</v>
      </c>
      <c r="F16" s="117" t="s">
        <v>490</v>
      </c>
    </row>
    <row r="17" spans="1:6" ht="16.2" thickBot="1" x14ac:dyDescent="0.35">
      <c r="A17" s="15"/>
      <c r="B17" s="116"/>
      <c r="C17" s="12"/>
      <c r="D17" s="19"/>
      <c r="E17" s="19"/>
      <c r="F17" s="117" t="s">
        <v>491</v>
      </c>
    </row>
    <row r="18" spans="1:6" ht="16.2" thickBot="1" x14ac:dyDescent="0.35">
      <c r="A18" s="15"/>
      <c r="B18" s="116"/>
      <c r="C18" s="12"/>
      <c r="D18" s="19"/>
      <c r="E18" s="19"/>
      <c r="F18" s="117" t="s">
        <v>492</v>
      </c>
    </row>
    <row r="19" spans="1:6" ht="16.2" thickBot="1" x14ac:dyDescent="0.35">
      <c r="A19" s="15" t="s">
        <v>26</v>
      </c>
      <c r="B19" s="12">
        <v>22899.64</v>
      </c>
      <c r="C19" s="12">
        <v>60449.17</v>
      </c>
      <c r="D19" s="19" t="s">
        <v>24</v>
      </c>
      <c r="E19" s="19" t="s">
        <v>493</v>
      </c>
      <c r="F19" s="117" t="s">
        <v>494</v>
      </c>
    </row>
    <row r="20" spans="1:6" ht="16.2" thickBot="1" x14ac:dyDescent="0.35">
      <c r="A20" s="15" t="s">
        <v>27</v>
      </c>
      <c r="B20" s="12">
        <v>0</v>
      </c>
      <c r="C20" s="12">
        <v>0</v>
      </c>
      <c r="D20" s="19"/>
      <c r="E20" s="19"/>
      <c r="F20" s="117"/>
    </row>
    <row r="21" spans="1:6" ht="16.2" thickBot="1" x14ac:dyDescent="0.35">
      <c r="A21" s="15" t="s">
        <v>28</v>
      </c>
      <c r="B21" s="12">
        <v>0</v>
      </c>
      <c r="C21" s="12">
        <v>0</v>
      </c>
      <c r="D21" s="19"/>
      <c r="E21" s="19"/>
      <c r="F21" s="117"/>
    </row>
    <row r="22" spans="1:6" ht="16.2" thickBot="1" x14ac:dyDescent="0.35">
      <c r="A22" s="15" t="s">
        <v>29</v>
      </c>
      <c r="B22" s="116">
        <v>22983.24</v>
      </c>
      <c r="C22" s="116">
        <v>22755.77</v>
      </c>
      <c r="D22" s="19" t="s">
        <v>24</v>
      </c>
      <c r="E22" s="19" t="s">
        <v>488</v>
      </c>
      <c r="F22" s="117" t="s">
        <v>495</v>
      </c>
    </row>
    <row r="23" spans="1:6" ht="16.2" thickBot="1" x14ac:dyDescent="0.35">
      <c r="A23" s="15" t="s">
        <v>30</v>
      </c>
      <c r="B23" s="116">
        <v>8637.06</v>
      </c>
      <c r="C23" s="116">
        <v>21264.05</v>
      </c>
      <c r="D23" s="19" t="s">
        <v>24</v>
      </c>
      <c r="E23" s="19" t="s">
        <v>488</v>
      </c>
      <c r="F23" s="117" t="s">
        <v>496</v>
      </c>
    </row>
    <row r="24" spans="1:6" ht="16.2" thickBot="1" x14ac:dyDescent="0.35">
      <c r="A24" s="11" t="s">
        <v>497</v>
      </c>
      <c r="B24" s="12">
        <v>7314</v>
      </c>
      <c r="C24" s="12">
        <v>26500</v>
      </c>
      <c r="D24" s="19" t="s">
        <v>24</v>
      </c>
      <c r="E24" s="19" t="s">
        <v>79</v>
      </c>
      <c r="F24" s="117" t="s">
        <v>498</v>
      </c>
    </row>
    <row r="25" spans="1:6" ht="16.2" thickBot="1" x14ac:dyDescent="0.35">
      <c r="A25" s="11" t="s">
        <v>499</v>
      </c>
      <c r="B25" s="12">
        <v>0</v>
      </c>
      <c r="C25" s="12">
        <v>179121.2</v>
      </c>
      <c r="D25" s="19" t="s">
        <v>24</v>
      </c>
      <c r="E25" s="19" t="s">
        <v>493</v>
      </c>
      <c r="F25" s="117" t="s">
        <v>500</v>
      </c>
    </row>
    <row r="26" spans="1:6" ht="16.2" thickBot="1" x14ac:dyDescent="0.35">
      <c r="A26" s="11" t="s">
        <v>501</v>
      </c>
      <c r="B26" s="12">
        <v>0</v>
      </c>
      <c r="C26" s="12">
        <v>10756.66</v>
      </c>
      <c r="D26" s="19" t="s">
        <v>24</v>
      </c>
      <c r="E26" s="19" t="s">
        <v>493</v>
      </c>
      <c r="F26" s="20"/>
    </row>
    <row r="27" spans="1:6" ht="16.2" thickBot="1" x14ac:dyDescent="0.35">
      <c r="A27" s="11"/>
      <c r="B27" s="12">
        <v>0</v>
      </c>
      <c r="C27" s="12">
        <v>0</v>
      </c>
      <c r="D27" s="19"/>
      <c r="E27" s="19"/>
      <c r="F27" s="20"/>
    </row>
    <row r="28" spans="1:6" ht="16.2" thickBot="1" x14ac:dyDescent="0.35">
      <c r="A28" s="11"/>
      <c r="B28" s="12">
        <v>0</v>
      </c>
      <c r="C28" s="12">
        <v>0</v>
      </c>
      <c r="D28" s="19"/>
      <c r="E28" s="19"/>
      <c r="F28" s="20"/>
    </row>
    <row r="29" spans="1:6" ht="16.2" thickBot="1" x14ac:dyDescent="0.35">
      <c r="A29" s="21"/>
      <c r="B29" s="12">
        <v>0</v>
      </c>
      <c r="C29" s="12">
        <v>0</v>
      </c>
      <c r="D29" s="19"/>
      <c r="E29" s="19"/>
      <c r="F29" s="20"/>
    </row>
    <row r="30" spans="1:6" ht="16.2" thickBot="1" x14ac:dyDescent="0.35">
      <c r="A30" s="13" t="s">
        <v>32</v>
      </c>
      <c r="B30" s="22">
        <v>70368.94</v>
      </c>
      <c r="C30" s="22">
        <v>549134.86</v>
      </c>
      <c r="D30" s="23"/>
      <c r="E30" s="23"/>
      <c r="F30" s="24"/>
    </row>
    <row r="32" spans="1:6" x14ac:dyDescent="0.3">
      <c r="B32" s="7" t="s">
        <v>2506</v>
      </c>
      <c r="C32" s="612">
        <v>-471520.27</v>
      </c>
    </row>
    <row r="33" spans="2:3" x14ac:dyDescent="0.3">
      <c r="B33" s="7" t="s">
        <v>747</v>
      </c>
      <c r="C33" s="396">
        <f>SUM(C30:C32)</f>
        <v>77614.589999999967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100F-22CA-4305-ABDB-7D1690B2D3EE}">
  <dimension ref="A1:Y29"/>
  <sheetViews>
    <sheetView topLeftCell="A16"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44" style="7" bestFit="1" customWidth="1"/>
    <col min="7" max="7" width="21.33203125" style="7" customWidth="1"/>
    <col min="8" max="8" width="20.6640625" style="7" customWidth="1"/>
    <col min="9" max="9" width="11.44140625" style="7" bestFit="1" customWidth="1"/>
    <col min="10" max="10" width="9.6640625" style="7" bestFit="1" customWidth="1"/>
    <col min="11" max="12" width="9.109375" style="7"/>
    <col min="13" max="14" width="9.6640625" style="7" bestFit="1" customWidth="1"/>
    <col min="15" max="15" width="9.109375" style="7"/>
    <col min="16" max="16" width="9.6640625" style="7" bestFit="1" customWidth="1"/>
    <col min="17" max="18" width="9.109375" style="7"/>
    <col min="19" max="19" width="9.6640625" style="7" bestFit="1" customWidth="1"/>
    <col min="20" max="21" width="9.109375" style="7"/>
    <col min="22" max="23" width="9.6640625" style="7" bestFit="1" customWidth="1"/>
    <col min="24" max="24" width="9.109375" style="7"/>
    <col min="25" max="25" width="11.44140625" style="7" bestFit="1" customWidth="1"/>
    <col min="26" max="16384" width="9.109375" style="7"/>
  </cols>
  <sheetData>
    <row r="1" spans="1:25" s="2" customFormat="1" ht="31.8" thickBot="1" x14ac:dyDescent="0.35">
      <c r="A1" s="1" t="s">
        <v>0</v>
      </c>
      <c r="B1" s="1" t="s">
        <v>1</v>
      </c>
      <c r="C1" s="1" t="s">
        <v>2</v>
      </c>
      <c r="D1" s="1" t="s">
        <v>3</v>
      </c>
      <c r="E1" s="1" t="s">
        <v>4</v>
      </c>
      <c r="F1" s="1" t="s">
        <v>5</v>
      </c>
      <c r="G1" s="1" t="s">
        <v>6</v>
      </c>
      <c r="H1" s="1" t="s">
        <v>7</v>
      </c>
    </row>
    <row r="2" spans="1:25" ht="78.599999999999994" thickBot="1" x14ac:dyDescent="0.35">
      <c r="A2" s="3" t="s">
        <v>502</v>
      </c>
      <c r="B2" s="4">
        <v>1500000</v>
      </c>
      <c r="C2" s="3" t="s">
        <v>503</v>
      </c>
      <c r="D2" s="5">
        <v>25053922</v>
      </c>
      <c r="E2" s="3" t="s">
        <v>423</v>
      </c>
      <c r="F2" s="6" t="s">
        <v>504</v>
      </c>
      <c r="G2" s="5">
        <v>0</v>
      </c>
      <c r="H2" s="5">
        <v>1000000</v>
      </c>
    </row>
    <row r="3" spans="1:25" x14ac:dyDescent="0.3">
      <c r="E3" s="7" t="s">
        <v>505</v>
      </c>
    </row>
    <row r="4" spans="1:25" x14ac:dyDescent="0.3">
      <c r="A4" s="8" t="s">
        <v>11</v>
      </c>
      <c r="E4" s="7" t="s">
        <v>506</v>
      </c>
    </row>
    <row r="6" spans="1:25" ht="16.2" thickBot="1" x14ac:dyDescent="0.35">
      <c r="A6" s="9" t="s">
        <v>12</v>
      </c>
      <c r="B6" s="10" t="s">
        <v>9</v>
      </c>
    </row>
    <row r="7" spans="1:25" ht="16.2" thickBot="1" x14ac:dyDescent="0.35">
      <c r="A7" s="11" t="s">
        <v>13</v>
      </c>
      <c r="B7" s="12">
        <v>14000000</v>
      </c>
      <c r="C7" s="7" t="s">
        <v>507</v>
      </c>
    </row>
    <row r="8" spans="1:25" ht="16.2" thickBot="1" x14ac:dyDescent="0.35">
      <c r="A8" s="11" t="s">
        <v>14</v>
      </c>
      <c r="B8" s="12">
        <v>0</v>
      </c>
    </row>
    <row r="9" spans="1:25" ht="16.2" thickBot="1" x14ac:dyDescent="0.35">
      <c r="A9" s="11"/>
      <c r="B9" s="12">
        <v>0</v>
      </c>
    </row>
    <row r="10" spans="1:25" ht="16.2" thickBot="1" x14ac:dyDescent="0.35">
      <c r="A10" s="11"/>
      <c r="B10" s="12">
        <v>0</v>
      </c>
    </row>
    <row r="11" spans="1:25" ht="16.2" thickBot="1" x14ac:dyDescent="0.35">
      <c r="A11" s="11"/>
      <c r="B11" s="10"/>
      <c r="C11" s="12">
        <v>14000000</v>
      </c>
    </row>
    <row r="12" spans="1:25" x14ac:dyDescent="0.3">
      <c r="A12" s="13"/>
      <c r="C12" s="10" t="s">
        <v>9</v>
      </c>
    </row>
    <row r="13" spans="1:25" x14ac:dyDescent="0.3">
      <c r="I13" s="767"/>
      <c r="J13" s="767"/>
      <c r="K13" s="767"/>
      <c r="L13" s="767"/>
      <c r="M13" s="767"/>
      <c r="N13" s="767"/>
      <c r="O13" s="767"/>
      <c r="R13" s="768"/>
      <c r="S13" s="768"/>
      <c r="T13" s="768"/>
      <c r="U13" s="768"/>
      <c r="V13" s="768"/>
      <c r="W13" s="768"/>
      <c r="X13" s="768"/>
    </row>
    <row r="14" spans="1:25" ht="31.2" x14ac:dyDescent="0.3">
      <c r="A14" s="1" t="s">
        <v>17</v>
      </c>
      <c r="B14" s="14" t="s">
        <v>18</v>
      </c>
      <c r="C14" s="1" t="s">
        <v>19</v>
      </c>
      <c r="D14" s="1" t="s">
        <v>20</v>
      </c>
      <c r="E14" s="1" t="s">
        <v>21</v>
      </c>
      <c r="F14" s="1" t="s">
        <v>22</v>
      </c>
      <c r="I14" s="118"/>
      <c r="J14" s="118"/>
      <c r="K14" s="118"/>
      <c r="L14" s="118"/>
      <c r="M14" s="118"/>
      <c r="N14" s="118"/>
      <c r="O14" s="118"/>
      <c r="P14" s="13"/>
      <c r="R14" s="118"/>
      <c r="S14" s="118"/>
      <c r="T14" s="118"/>
      <c r="U14" s="118"/>
      <c r="V14" s="118"/>
      <c r="W14" s="118"/>
      <c r="X14" s="118"/>
      <c r="Y14" s="13"/>
    </row>
    <row r="15" spans="1:25" ht="16.2" thickBot="1" x14ac:dyDescent="0.35">
      <c r="A15" s="15" t="s">
        <v>23</v>
      </c>
      <c r="B15" s="16">
        <v>16381</v>
      </c>
      <c r="C15" s="16">
        <v>56600</v>
      </c>
      <c r="D15" s="29" t="s">
        <v>24</v>
      </c>
      <c r="E15" s="17" t="s">
        <v>508</v>
      </c>
      <c r="F15" s="18"/>
      <c r="I15" s="119"/>
      <c r="J15" s="119"/>
      <c r="K15" s="119"/>
      <c r="L15" s="119"/>
      <c r="M15" s="119"/>
      <c r="N15" s="119"/>
      <c r="O15" s="119"/>
      <c r="P15" s="119"/>
      <c r="Q15" s="119"/>
      <c r="R15" s="119"/>
      <c r="S15" s="119"/>
      <c r="T15" s="119"/>
      <c r="U15" s="119"/>
      <c r="V15" s="119"/>
      <c r="W15" s="119"/>
      <c r="X15" s="119"/>
      <c r="Y15" s="119"/>
    </row>
    <row r="16" spans="1:25" ht="16.2" thickBot="1" x14ac:dyDescent="0.35">
      <c r="A16" s="15" t="s">
        <v>25</v>
      </c>
      <c r="B16" s="16">
        <v>264054</v>
      </c>
      <c r="C16" s="16">
        <v>274054</v>
      </c>
      <c r="D16" s="29" t="s">
        <v>24</v>
      </c>
      <c r="E16" s="17" t="s">
        <v>508</v>
      </c>
      <c r="F16" s="20"/>
      <c r="I16" s="119"/>
      <c r="J16" s="119"/>
      <c r="K16" s="119"/>
      <c r="L16" s="119"/>
      <c r="M16" s="119"/>
      <c r="N16" s="119"/>
      <c r="O16" s="119"/>
      <c r="P16" s="119"/>
      <c r="Q16" s="119"/>
      <c r="R16" s="119"/>
      <c r="S16" s="119"/>
      <c r="T16" s="119"/>
      <c r="U16" s="119"/>
      <c r="V16" s="119"/>
      <c r="W16" s="119"/>
      <c r="X16" s="119"/>
      <c r="Y16" s="119"/>
    </row>
    <row r="17" spans="1:25" ht="16.2" thickBot="1" x14ac:dyDescent="0.35">
      <c r="A17" s="15" t="s">
        <v>26</v>
      </c>
      <c r="B17" s="16">
        <v>15696</v>
      </c>
      <c r="C17" s="16">
        <v>45696</v>
      </c>
      <c r="D17" s="29" t="s">
        <v>24</v>
      </c>
      <c r="E17" s="17" t="s">
        <v>508</v>
      </c>
      <c r="F17" s="20"/>
      <c r="I17" s="119"/>
      <c r="J17" s="119"/>
      <c r="K17" s="119"/>
      <c r="L17" s="119"/>
      <c r="M17" s="119"/>
      <c r="N17" s="119"/>
      <c r="O17" s="119"/>
      <c r="P17" s="119"/>
      <c r="Q17" s="119"/>
      <c r="R17" s="119"/>
      <c r="S17" s="119"/>
      <c r="T17" s="119"/>
      <c r="U17" s="119"/>
      <c r="V17" s="119"/>
      <c r="W17" s="119"/>
      <c r="X17" s="119"/>
      <c r="Y17" s="119"/>
    </row>
    <row r="18" spans="1:25" ht="16.2" thickBot="1" x14ac:dyDescent="0.35">
      <c r="A18" s="15" t="s">
        <v>27</v>
      </c>
      <c r="B18" s="16">
        <v>0</v>
      </c>
      <c r="C18" s="16">
        <v>0</v>
      </c>
      <c r="D18" s="29" t="s">
        <v>24</v>
      </c>
      <c r="E18" s="19" t="s">
        <v>509</v>
      </c>
      <c r="F18" s="20" t="s">
        <v>510</v>
      </c>
      <c r="I18" s="119"/>
      <c r="J18" s="119"/>
      <c r="K18" s="119"/>
      <c r="L18" s="119"/>
      <c r="M18" s="119"/>
      <c r="N18" s="119"/>
      <c r="O18" s="119"/>
      <c r="P18" s="119"/>
      <c r="Q18" s="119"/>
      <c r="R18" s="119"/>
      <c r="S18" s="119"/>
      <c r="T18" s="119"/>
      <c r="U18" s="119"/>
      <c r="V18" s="119"/>
      <c r="W18" s="119"/>
      <c r="X18" s="119"/>
      <c r="Y18" s="119"/>
    </row>
    <row r="19" spans="1:25" ht="16.2" thickBot="1" x14ac:dyDescent="0.35">
      <c r="A19" s="15" t="s">
        <v>28</v>
      </c>
      <c r="B19" s="16">
        <v>81393</v>
      </c>
      <c r="C19" s="16">
        <v>223019</v>
      </c>
      <c r="D19" s="29" t="s">
        <v>24</v>
      </c>
      <c r="E19" s="19" t="s">
        <v>511</v>
      </c>
      <c r="F19" s="20" t="s">
        <v>512</v>
      </c>
      <c r="I19" s="119"/>
      <c r="J19" s="119"/>
      <c r="K19" s="119"/>
      <c r="L19" s="119"/>
      <c r="M19" s="119"/>
      <c r="N19" s="119"/>
      <c r="O19" s="119"/>
      <c r="P19" s="119"/>
      <c r="Q19" s="119"/>
      <c r="R19" s="119"/>
      <c r="S19" s="119"/>
      <c r="T19" s="119"/>
      <c r="U19" s="119"/>
      <c r="V19" s="119"/>
      <c r="W19" s="119"/>
      <c r="X19" s="119"/>
      <c r="Y19" s="119"/>
    </row>
    <row r="20" spans="1:25" ht="16.2" thickBot="1" x14ac:dyDescent="0.35">
      <c r="A20" s="15" t="s">
        <v>29</v>
      </c>
      <c r="B20" s="16">
        <v>191586</v>
      </c>
      <c r="C20" s="16">
        <v>351797</v>
      </c>
      <c r="D20" s="29" t="s">
        <v>24</v>
      </c>
      <c r="E20" s="17" t="s">
        <v>508</v>
      </c>
      <c r="F20" s="20"/>
      <c r="I20" s="119"/>
      <c r="J20" s="119"/>
      <c r="K20" s="119"/>
      <c r="L20" s="119"/>
      <c r="M20" s="119"/>
      <c r="N20" s="119"/>
      <c r="O20" s="119"/>
      <c r="P20" s="119"/>
      <c r="Q20" s="119"/>
      <c r="R20" s="119"/>
      <c r="S20" s="119"/>
      <c r="T20" s="119"/>
      <c r="U20" s="119"/>
      <c r="V20" s="119"/>
      <c r="W20" s="119"/>
      <c r="X20" s="119"/>
      <c r="Y20" s="119"/>
    </row>
    <row r="21" spans="1:25" ht="16.2" thickBot="1" x14ac:dyDescent="0.35">
      <c r="A21" s="15" t="s">
        <v>30</v>
      </c>
      <c r="B21" s="16">
        <v>49935</v>
      </c>
      <c r="C21" s="16">
        <v>104752</v>
      </c>
      <c r="D21" s="29" t="s">
        <v>24</v>
      </c>
      <c r="E21" s="17" t="s">
        <v>508</v>
      </c>
      <c r="F21" s="20"/>
      <c r="I21" s="119"/>
      <c r="J21" s="119"/>
      <c r="K21" s="119"/>
      <c r="L21" s="119"/>
      <c r="M21" s="119"/>
      <c r="N21" s="119"/>
      <c r="O21" s="119"/>
      <c r="P21" s="119"/>
      <c r="Q21" s="119"/>
      <c r="R21" s="120"/>
      <c r="S21" s="119"/>
      <c r="T21" s="119"/>
      <c r="U21" s="119"/>
      <c r="V21" s="119"/>
      <c r="W21" s="119"/>
      <c r="X21" s="119"/>
      <c r="Y21" s="119"/>
    </row>
    <row r="22" spans="1:25" ht="16.2" thickBot="1" x14ac:dyDescent="0.35">
      <c r="A22" s="11"/>
      <c r="B22" s="12">
        <v>0</v>
      </c>
      <c r="C22" s="12">
        <v>0</v>
      </c>
      <c r="D22" s="19"/>
      <c r="E22" s="17"/>
      <c r="F22" s="20"/>
      <c r="I22" s="119"/>
      <c r="J22" s="119"/>
      <c r="K22" s="119"/>
      <c r="L22" s="119"/>
      <c r="M22" s="119"/>
      <c r="N22" s="119"/>
      <c r="O22" s="119"/>
      <c r="P22" s="119"/>
      <c r="Q22" s="119"/>
      <c r="R22" s="119"/>
      <c r="S22" s="119"/>
      <c r="T22" s="119"/>
      <c r="U22" s="119"/>
      <c r="V22" s="119"/>
      <c r="W22" s="119"/>
      <c r="X22" s="119"/>
      <c r="Y22" s="119"/>
    </row>
    <row r="23" spans="1:25" ht="16.2" thickBot="1" x14ac:dyDescent="0.35">
      <c r="A23" s="11"/>
      <c r="B23" s="12">
        <v>0</v>
      </c>
      <c r="C23" s="12">
        <v>0</v>
      </c>
      <c r="D23" s="19"/>
      <c r="E23" s="19"/>
      <c r="F23" s="20"/>
      <c r="I23" s="119"/>
      <c r="J23" s="119"/>
      <c r="K23" s="119"/>
      <c r="L23" s="119"/>
      <c r="M23" s="119"/>
      <c r="N23" s="119"/>
      <c r="O23" s="119"/>
      <c r="P23" s="119"/>
      <c r="Q23" s="119"/>
      <c r="R23" s="119"/>
      <c r="S23" s="119"/>
      <c r="T23" s="119"/>
      <c r="U23" s="119"/>
      <c r="V23" s="119"/>
      <c r="W23" s="119"/>
      <c r="X23" s="119"/>
      <c r="Y23" s="119"/>
    </row>
    <row r="24" spans="1:25" ht="16.2" thickBot="1" x14ac:dyDescent="0.35">
      <c r="A24" s="11"/>
      <c r="B24" s="12">
        <v>0</v>
      </c>
      <c r="C24" s="12">
        <v>0</v>
      </c>
      <c r="D24" s="19"/>
      <c r="E24" s="19"/>
      <c r="F24" s="20"/>
      <c r="I24" s="119"/>
      <c r="J24" s="119"/>
      <c r="K24" s="119"/>
      <c r="L24" s="119"/>
      <c r="M24" s="119"/>
      <c r="N24" s="119"/>
      <c r="O24" s="119"/>
      <c r="P24" s="119"/>
      <c r="Q24" s="119"/>
      <c r="R24" s="119"/>
      <c r="S24" s="119"/>
      <c r="T24" s="119"/>
      <c r="U24" s="119"/>
      <c r="V24" s="119"/>
      <c r="W24" s="119"/>
      <c r="X24" s="119"/>
      <c r="Y24" s="119"/>
    </row>
    <row r="25" spans="1:25" ht="16.2" thickBot="1" x14ac:dyDescent="0.35">
      <c r="A25" s="11"/>
      <c r="B25" s="12">
        <v>0</v>
      </c>
      <c r="C25" s="12">
        <v>0</v>
      </c>
      <c r="D25" s="19"/>
      <c r="E25" s="19"/>
      <c r="F25" s="20"/>
      <c r="I25" s="119"/>
      <c r="J25" s="119"/>
      <c r="K25" s="119"/>
      <c r="L25" s="119"/>
      <c r="M25" s="119"/>
      <c r="N25" s="119"/>
      <c r="O25" s="119"/>
      <c r="P25" s="119"/>
      <c r="Q25" s="119"/>
      <c r="R25" s="119"/>
      <c r="S25" s="119"/>
      <c r="T25" s="119"/>
      <c r="U25" s="119"/>
      <c r="V25" s="119"/>
      <c r="W25" s="119"/>
      <c r="X25" s="119"/>
      <c r="Y25" s="119"/>
    </row>
    <row r="26" spans="1:25" ht="16.2" thickBot="1" x14ac:dyDescent="0.35">
      <c r="A26" s="11"/>
      <c r="B26" s="12">
        <v>0</v>
      </c>
      <c r="C26" s="12">
        <v>0</v>
      </c>
      <c r="D26" s="19"/>
      <c r="E26" s="19"/>
      <c r="F26" s="20"/>
      <c r="I26" s="119"/>
      <c r="J26" s="119"/>
      <c r="K26" s="119"/>
      <c r="L26" s="119"/>
      <c r="M26" s="119"/>
      <c r="N26" s="119"/>
      <c r="O26" s="119"/>
      <c r="P26" s="119"/>
      <c r="Q26" s="119"/>
      <c r="R26" s="119"/>
      <c r="S26" s="119"/>
      <c r="T26" s="119"/>
      <c r="U26" s="119"/>
      <c r="V26" s="119"/>
      <c r="W26" s="119"/>
      <c r="X26" s="119"/>
      <c r="Y26" s="119"/>
    </row>
    <row r="27" spans="1:25" ht="16.2" thickBot="1" x14ac:dyDescent="0.35">
      <c r="A27" s="21"/>
      <c r="B27" s="12">
        <v>0</v>
      </c>
      <c r="C27" s="12">
        <v>0</v>
      </c>
      <c r="D27" s="19"/>
      <c r="E27" s="19"/>
      <c r="F27" s="20"/>
      <c r="J27" s="119"/>
      <c r="K27" s="119"/>
      <c r="L27" s="119"/>
      <c r="M27" s="119"/>
      <c r="N27" s="119"/>
      <c r="O27" s="119"/>
      <c r="P27" s="119"/>
      <c r="Q27" s="119"/>
      <c r="R27" s="119"/>
      <c r="S27" s="119"/>
      <c r="T27" s="119"/>
      <c r="U27" s="119"/>
      <c r="V27" s="119"/>
      <c r="W27" s="119"/>
      <c r="X27" s="119"/>
      <c r="Y27" s="119"/>
    </row>
    <row r="28" spans="1:25" ht="16.2" thickBot="1" x14ac:dyDescent="0.35">
      <c r="A28" s="13" t="s">
        <v>32</v>
      </c>
      <c r="B28" s="22">
        <v>619045</v>
      </c>
      <c r="C28" s="22">
        <v>1055918</v>
      </c>
      <c r="D28" s="23"/>
      <c r="E28" s="23"/>
      <c r="F28" s="24"/>
      <c r="I28" s="119"/>
      <c r="J28" s="119"/>
      <c r="K28" s="119"/>
      <c r="L28" s="119"/>
      <c r="M28" s="119"/>
      <c r="N28" s="119"/>
      <c r="O28" s="119"/>
      <c r="P28" s="119"/>
      <c r="Q28" s="119"/>
      <c r="R28" s="119"/>
      <c r="S28" s="119"/>
      <c r="T28" s="119"/>
      <c r="U28" s="119"/>
      <c r="V28" s="119"/>
      <c r="W28" s="119"/>
      <c r="X28" s="119"/>
      <c r="Y28" s="119"/>
    </row>
    <row r="29" spans="1:25" x14ac:dyDescent="0.3">
      <c r="I29" s="119"/>
      <c r="J29" s="119"/>
      <c r="K29" s="119"/>
      <c r="L29" s="119"/>
      <c r="M29" s="119"/>
      <c r="N29" s="119"/>
      <c r="O29" s="119"/>
      <c r="P29" s="119"/>
      <c r="Q29" s="119"/>
      <c r="R29" s="119"/>
      <c r="S29" s="119"/>
      <c r="T29" s="119"/>
      <c r="U29" s="119"/>
      <c r="V29" s="119"/>
      <c r="W29" s="119"/>
      <c r="X29" s="119"/>
      <c r="Y29" s="119"/>
    </row>
  </sheetData>
  <mergeCells count="2">
    <mergeCell ref="I13:O13"/>
    <mergeCell ref="R13:X13"/>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C3F9-2C11-4A4A-8A4C-5B5CBCA9B95A}">
  <dimension ref="A1:AA33"/>
  <sheetViews>
    <sheetView topLeftCell="A19"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44" style="372" bestFit="1" customWidth="1"/>
    <col min="7" max="7" width="21.33203125" style="372" customWidth="1"/>
    <col min="8" max="8" width="20.6640625" style="372" customWidth="1"/>
    <col min="9" max="9" width="11.44140625" style="372" bestFit="1" customWidth="1"/>
    <col min="10" max="10" width="10.88671875" style="372" bestFit="1" customWidth="1"/>
    <col min="11" max="12" width="9.109375" style="372"/>
    <col min="13" max="14" width="9.6640625" style="372" bestFit="1" customWidth="1"/>
    <col min="15" max="15" width="11" style="372" bestFit="1" customWidth="1"/>
    <col min="16" max="16" width="9.109375" style="372"/>
    <col min="17" max="17" width="10.88671875" style="372" bestFit="1" customWidth="1"/>
    <col min="18" max="18" width="9.109375" style="372"/>
    <col min="19" max="19" width="9.5546875" style="372" bestFit="1" customWidth="1"/>
    <col min="20" max="20" width="10.88671875" style="372" bestFit="1" customWidth="1"/>
    <col min="21" max="21" width="9.5546875" style="372" bestFit="1" customWidth="1"/>
    <col min="22" max="22" width="10" style="372" customWidth="1"/>
    <col min="23" max="24" width="10.88671875" style="372" bestFit="1" customWidth="1"/>
    <col min="25" max="25" width="10.88671875" style="372" customWidth="1"/>
    <col min="26" max="26" width="9.5546875" style="372" bestFit="1" customWidth="1"/>
    <col min="27" max="27" width="12.6640625" style="372" bestFit="1" customWidth="1"/>
    <col min="28" max="16384" width="9.109375" style="372"/>
  </cols>
  <sheetData>
    <row r="1" spans="1:27" s="375" customFormat="1" ht="31.8" thickBot="1" x14ac:dyDescent="0.35">
      <c r="A1" s="384" t="s">
        <v>0</v>
      </c>
      <c r="B1" s="384" t="s">
        <v>1</v>
      </c>
      <c r="C1" s="384" t="s">
        <v>2</v>
      </c>
      <c r="D1" s="384" t="s">
        <v>3</v>
      </c>
      <c r="E1" s="384" t="s">
        <v>4</v>
      </c>
      <c r="F1" s="384" t="s">
        <v>5</v>
      </c>
      <c r="G1" s="384" t="s">
        <v>6</v>
      </c>
      <c r="H1" s="384" t="s">
        <v>7</v>
      </c>
    </row>
    <row r="2" spans="1:27" ht="78.599999999999994" thickBot="1" x14ac:dyDescent="0.35">
      <c r="A2" s="389" t="s">
        <v>502</v>
      </c>
      <c r="B2" s="390">
        <v>1500000</v>
      </c>
      <c r="C2" s="389" t="s">
        <v>503</v>
      </c>
      <c r="D2" s="391">
        <v>25053922</v>
      </c>
      <c r="E2" s="389" t="s">
        <v>2099</v>
      </c>
      <c r="F2" s="392" t="s">
        <v>504</v>
      </c>
      <c r="G2" s="391">
        <v>0</v>
      </c>
      <c r="H2" s="391">
        <v>1000000</v>
      </c>
    </row>
    <row r="3" spans="1:27" x14ac:dyDescent="0.3">
      <c r="E3" s="485" t="s">
        <v>2100</v>
      </c>
    </row>
    <row r="4" spans="1:27" x14ac:dyDescent="0.3">
      <c r="A4" s="386" t="s">
        <v>11</v>
      </c>
      <c r="E4" s="485" t="s">
        <v>506</v>
      </c>
    </row>
    <row r="6" spans="1:27" ht="16.2" thickBot="1" x14ac:dyDescent="0.35">
      <c r="A6" s="381" t="s">
        <v>12</v>
      </c>
      <c r="B6" s="10" t="s">
        <v>9</v>
      </c>
    </row>
    <row r="7" spans="1:27" ht="16.2" thickBot="1" x14ac:dyDescent="0.35">
      <c r="A7" s="456" t="s">
        <v>51</v>
      </c>
      <c r="B7" s="374">
        <v>10000000</v>
      </c>
    </row>
    <row r="8" spans="1:27" ht="16.2" thickBot="1" x14ac:dyDescent="0.35">
      <c r="A8" s="456" t="s">
        <v>53</v>
      </c>
      <c r="B8" s="374">
        <v>20000000</v>
      </c>
    </row>
    <row r="9" spans="1:27" ht="16.2" thickBot="1" x14ac:dyDescent="0.35">
      <c r="A9" s="456" t="s">
        <v>55</v>
      </c>
      <c r="B9" s="374">
        <v>0</v>
      </c>
    </row>
    <row r="10" spans="1:27" ht="16.2" thickBot="1" x14ac:dyDescent="0.35">
      <c r="A10" s="456" t="s">
        <v>57</v>
      </c>
      <c r="B10" s="374">
        <v>0</v>
      </c>
    </row>
    <row r="11" spans="1:27" ht="16.2" thickBot="1" x14ac:dyDescent="0.35">
      <c r="A11" s="456"/>
      <c r="B11" s="374">
        <v>0</v>
      </c>
    </row>
    <row r="12" spans="1:27" ht="16.2" thickBot="1" x14ac:dyDescent="0.35">
      <c r="A12" s="456"/>
      <c r="B12" s="10"/>
      <c r="C12" s="374">
        <f>SUM(B7:B11)</f>
        <v>30000000</v>
      </c>
    </row>
    <row r="13" spans="1:27" x14ac:dyDescent="0.3">
      <c r="A13" s="455"/>
      <c r="C13" s="10" t="s">
        <v>9</v>
      </c>
    </row>
    <row r="14" spans="1:27" x14ac:dyDescent="0.3">
      <c r="I14" s="769" t="s">
        <v>2101</v>
      </c>
      <c r="J14" s="769"/>
      <c r="K14" s="769"/>
      <c r="L14" s="769"/>
      <c r="M14" s="769"/>
      <c r="N14" s="769"/>
      <c r="O14" s="769"/>
      <c r="P14" s="769"/>
      <c r="S14" s="770" t="s">
        <v>2102</v>
      </c>
      <c r="T14" s="770"/>
      <c r="U14" s="770"/>
      <c r="V14" s="770"/>
      <c r="W14" s="770"/>
      <c r="X14" s="770"/>
      <c r="Y14" s="770"/>
      <c r="Z14" s="770"/>
    </row>
    <row r="15" spans="1:27" ht="31.2" x14ac:dyDescent="0.3">
      <c r="A15" s="384" t="s">
        <v>17</v>
      </c>
      <c r="B15" s="385" t="s">
        <v>18</v>
      </c>
      <c r="C15" s="384" t="s">
        <v>19</v>
      </c>
      <c r="D15" s="384" t="s">
        <v>20</v>
      </c>
      <c r="E15" s="384" t="s">
        <v>21</v>
      </c>
      <c r="F15" s="384" t="s">
        <v>22</v>
      </c>
      <c r="I15" s="118" t="s">
        <v>2103</v>
      </c>
      <c r="J15" s="118" t="s">
        <v>628</v>
      </c>
      <c r="K15" s="118" t="s">
        <v>2104</v>
      </c>
      <c r="L15" s="118" t="s">
        <v>2105</v>
      </c>
      <c r="M15" s="118" t="s">
        <v>2106</v>
      </c>
      <c r="N15" s="118" t="s">
        <v>2107</v>
      </c>
      <c r="O15" s="118" t="s">
        <v>747</v>
      </c>
      <c r="P15" s="118" t="s">
        <v>567</v>
      </c>
      <c r="Q15" s="455" t="s">
        <v>2108</v>
      </c>
      <c r="S15" s="118" t="s">
        <v>2103</v>
      </c>
      <c r="T15" s="118" t="s">
        <v>628</v>
      </c>
      <c r="U15" s="118" t="s">
        <v>2109</v>
      </c>
      <c r="V15" s="118" t="s">
        <v>2105</v>
      </c>
      <c r="W15" s="118" t="s">
        <v>2106</v>
      </c>
      <c r="X15" s="118" t="s">
        <v>2107</v>
      </c>
      <c r="Y15" s="118" t="s">
        <v>747</v>
      </c>
      <c r="Z15" s="118" t="s">
        <v>567</v>
      </c>
      <c r="AA15" s="455" t="s">
        <v>2108</v>
      </c>
    </row>
    <row r="16" spans="1:27" ht="31.8" thickBot="1" x14ac:dyDescent="0.35">
      <c r="A16" s="454" t="s">
        <v>23</v>
      </c>
      <c r="B16" s="382">
        <f>Q16</f>
        <v>28080</v>
      </c>
      <c r="C16" s="382">
        <f>AA16</f>
        <v>107415</v>
      </c>
      <c r="D16" s="397" t="s">
        <v>24</v>
      </c>
      <c r="E16" s="359" t="s">
        <v>508</v>
      </c>
      <c r="F16" s="44" t="s">
        <v>2110</v>
      </c>
      <c r="I16" s="342">
        <f>1671+138</f>
        <v>1809</v>
      </c>
      <c r="J16" s="342">
        <v>572</v>
      </c>
      <c r="K16" s="342">
        <v>4500</v>
      </c>
      <c r="L16" s="342">
        <v>5000</v>
      </c>
      <c r="M16" s="342"/>
      <c r="N16" s="342"/>
      <c r="O16" s="342">
        <v>11699</v>
      </c>
      <c r="P16" s="342">
        <v>4500</v>
      </c>
      <c r="Q16" s="342">
        <f>SUM(I16:P16)</f>
        <v>28080</v>
      </c>
      <c r="R16" s="342"/>
      <c r="S16" s="342">
        <v>2000</v>
      </c>
      <c r="T16" s="342">
        <v>1100</v>
      </c>
      <c r="U16" s="342">
        <v>10000</v>
      </c>
      <c r="V16" s="342">
        <v>25000</v>
      </c>
      <c r="W16" s="342"/>
      <c r="X16" s="342"/>
      <c r="Y16" s="342">
        <v>50815</v>
      </c>
      <c r="Z16" s="342">
        <v>18500</v>
      </c>
      <c r="AA16" s="342">
        <f>SUM(S16:Z16)</f>
        <v>107415</v>
      </c>
    </row>
    <row r="17" spans="1:27" ht="63" thickBot="1" x14ac:dyDescent="0.35">
      <c r="A17" s="454" t="s">
        <v>25</v>
      </c>
      <c r="B17" s="382">
        <f t="shared" ref="B17:B22" si="0">Q17</f>
        <v>598904</v>
      </c>
      <c r="C17" s="382">
        <f t="shared" ref="C17:C22" si="1">AA17</f>
        <v>1481893</v>
      </c>
      <c r="D17" s="397" t="s">
        <v>24</v>
      </c>
      <c r="E17" s="359" t="s">
        <v>508</v>
      </c>
      <c r="F17" s="44" t="s">
        <v>2111</v>
      </c>
      <c r="I17" s="342">
        <f>25155+4945</f>
        <v>30100</v>
      </c>
      <c r="J17" s="342"/>
      <c r="K17" s="342"/>
      <c r="L17" s="342"/>
      <c r="M17" s="342"/>
      <c r="N17" s="342">
        <f>229954+4000</f>
        <v>233954</v>
      </c>
      <c r="O17" s="342">
        <v>334850</v>
      </c>
      <c r="P17" s="342"/>
      <c r="Q17" s="342">
        <f t="shared" ref="Q17:Q23" si="2">SUM(I17:P17)</f>
        <v>598904</v>
      </c>
      <c r="R17" s="342"/>
      <c r="S17" s="342">
        <f>I17</f>
        <v>30100</v>
      </c>
      <c r="T17" s="342"/>
      <c r="U17" s="342"/>
      <c r="V17" s="342"/>
      <c r="W17" s="342"/>
      <c r="X17" s="342">
        <f>304931+12000</f>
        <v>316931</v>
      </c>
      <c r="Y17" s="342">
        <v>1134862</v>
      </c>
      <c r="Z17" s="342"/>
      <c r="AA17" s="342">
        <f t="shared" ref="AA17:AA23" si="3">SUM(S17:Z17)</f>
        <v>1481893</v>
      </c>
    </row>
    <row r="18" spans="1:27" ht="78.599999999999994" thickBot="1" x14ac:dyDescent="0.35">
      <c r="A18" s="454" t="s">
        <v>26</v>
      </c>
      <c r="B18" s="382">
        <f t="shared" si="0"/>
        <v>694884</v>
      </c>
      <c r="C18" s="382">
        <f t="shared" si="1"/>
        <v>1318728</v>
      </c>
      <c r="D18" s="397" t="s">
        <v>24</v>
      </c>
      <c r="E18" s="359" t="s">
        <v>508</v>
      </c>
      <c r="F18" s="44" t="s">
        <v>2112</v>
      </c>
      <c r="I18" s="342"/>
      <c r="J18" s="342"/>
      <c r="K18" s="342"/>
      <c r="L18" s="342"/>
      <c r="M18" s="342">
        <v>15696</v>
      </c>
      <c r="N18" s="342"/>
      <c r="O18" s="342">
        <v>679188</v>
      </c>
      <c r="P18" s="342"/>
      <c r="Q18" s="342">
        <f t="shared" si="2"/>
        <v>694884</v>
      </c>
      <c r="R18" s="342"/>
      <c r="S18" s="342"/>
      <c r="T18" s="342"/>
      <c r="U18" s="342"/>
      <c r="V18" s="342"/>
      <c r="W18" s="342">
        <v>45696</v>
      </c>
      <c r="X18" s="342"/>
      <c r="Y18" s="342">
        <v>1273032</v>
      </c>
      <c r="Z18" s="342"/>
      <c r="AA18" s="342">
        <f t="shared" si="3"/>
        <v>1318728</v>
      </c>
    </row>
    <row r="19" spans="1:27" ht="16.2" thickBot="1" x14ac:dyDescent="0.35">
      <c r="A19" s="454" t="s">
        <v>27</v>
      </c>
      <c r="B19" s="382">
        <f t="shared" si="0"/>
        <v>0</v>
      </c>
      <c r="C19" s="382">
        <f t="shared" si="1"/>
        <v>0</v>
      </c>
      <c r="D19" s="397" t="s">
        <v>24</v>
      </c>
      <c r="E19" s="387" t="s">
        <v>509</v>
      </c>
      <c r="F19" s="377" t="s">
        <v>510</v>
      </c>
      <c r="I19" s="342"/>
      <c r="J19" s="342"/>
      <c r="K19" s="342"/>
      <c r="L19" s="342"/>
      <c r="M19" s="342"/>
      <c r="N19" s="342"/>
      <c r="O19" s="342"/>
      <c r="P19" s="342"/>
      <c r="Q19" s="342">
        <f t="shared" si="2"/>
        <v>0</v>
      </c>
      <c r="R19" s="342"/>
      <c r="S19" s="342"/>
      <c r="T19" s="342"/>
      <c r="U19" s="342"/>
      <c r="V19" s="342"/>
      <c r="W19" s="342"/>
      <c r="X19" s="342"/>
      <c r="Y19" s="342"/>
      <c r="Z19" s="342"/>
      <c r="AA19" s="342">
        <f t="shared" si="3"/>
        <v>0</v>
      </c>
    </row>
    <row r="20" spans="1:27" ht="16.2" thickBot="1" x14ac:dyDescent="0.35">
      <c r="A20" s="454" t="s">
        <v>28</v>
      </c>
      <c r="B20" s="382">
        <f t="shared" si="0"/>
        <v>81393</v>
      </c>
      <c r="C20" s="382">
        <f t="shared" si="1"/>
        <v>223019</v>
      </c>
      <c r="D20" s="397" t="s">
        <v>24</v>
      </c>
      <c r="E20" s="387" t="s">
        <v>511</v>
      </c>
      <c r="F20" s="377" t="s">
        <v>512</v>
      </c>
      <c r="I20" s="342"/>
      <c r="J20" s="342"/>
      <c r="K20" s="342"/>
      <c r="L20" s="342"/>
      <c r="M20" s="342">
        <v>81393</v>
      </c>
      <c r="N20" s="342"/>
      <c r="O20" s="342"/>
      <c r="P20" s="342"/>
      <c r="Q20" s="342">
        <f t="shared" si="2"/>
        <v>81393</v>
      </c>
      <c r="R20" s="342"/>
      <c r="S20" s="342"/>
      <c r="T20" s="342"/>
      <c r="U20" s="342"/>
      <c r="V20" s="342"/>
      <c r="W20" s="342">
        <v>223019</v>
      </c>
      <c r="X20" s="342"/>
      <c r="Y20" s="342"/>
      <c r="Z20" s="342"/>
      <c r="AA20" s="342">
        <f t="shared" si="3"/>
        <v>223019</v>
      </c>
    </row>
    <row r="21" spans="1:27" ht="63" thickBot="1" x14ac:dyDescent="0.35">
      <c r="A21" s="454" t="s">
        <v>29</v>
      </c>
      <c r="B21" s="382">
        <f t="shared" si="0"/>
        <v>196386</v>
      </c>
      <c r="C21" s="382">
        <f t="shared" si="1"/>
        <v>377797</v>
      </c>
      <c r="D21" s="397" t="s">
        <v>24</v>
      </c>
      <c r="E21" s="359" t="s">
        <v>508</v>
      </c>
      <c r="F21" s="44" t="s">
        <v>2113</v>
      </c>
      <c r="I21" s="342">
        <v>23605</v>
      </c>
      <c r="J21" s="342">
        <f>13000+27600+12300+5600+71300+21000</f>
        <v>150800</v>
      </c>
      <c r="K21" s="342"/>
      <c r="L21" s="342"/>
      <c r="M21" s="342">
        <v>17181</v>
      </c>
      <c r="N21" s="342"/>
      <c r="O21" s="342">
        <v>4800</v>
      </c>
      <c r="P21" s="342"/>
      <c r="Q21" s="342">
        <f t="shared" si="2"/>
        <v>196386</v>
      </c>
      <c r="R21" s="342"/>
      <c r="S21" s="342">
        <v>36616</v>
      </c>
      <c r="T21" s="342">
        <f>30000+40000+22000+5600+154400+26000</f>
        <v>278000</v>
      </c>
      <c r="U21" s="342"/>
      <c r="V21" s="342"/>
      <c r="W21" s="342">
        <v>37181</v>
      </c>
      <c r="X21" s="342"/>
      <c r="Y21" s="342">
        <v>26000</v>
      </c>
      <c r="Z21" s="342"/>
      <c r="AA21" s="342">
        <f t="shared" si="3"/>
        <v>377797</v>
      </c>
    </row>
    <row r="22" spans="1:27" ht="31.8" thickBot="1" x14ac:dyDescent="0.35">
      <c r="A22" s="454" t="s">
        <v>30</v>
      </c>
      <c r="B22" s="382">
        <f t="shared" si="0"/>
        <v>61521</v>
      </c>
      <c r="C22" s="382">
        <f t="shared" si="1"/>
        <v>146763</v>
      </c>
      <c r="D22" s="397" t="s">
        <v>24</v>
      </c>
      <c r="E22" s="359" t="s">
        <v>508</v>
      </c>
      <c r="F22" s="44" t="s">
        <v>2114</v>
      </c>
      <c r="I22" s="342">
        <v>14736</v>
      </c>
      <c r="J22" s="342">
        <v>8433</v>
      </c>
      <c r="K22" s="342">
        <v>4750</v>
      </c>
      <c r="L22" s="342">
        <v>12000</v>
      </c>
      <c r="M22" s="342">
        <v>3766</v>
      </c>
      <c r="N22" s="342"/>
      <c r="O22" s="342">
        <v>11586</v>
      </c>
      <c r="P22" s="342">
        <v>6250</v>
      </c>
      <c r="Q22" s="342">
        <f t="shared" si="2"/>
        <v>61521</v>
      </c>
      <c r="R22" s="342"/>
      <c r="S22" s="120">
        <f>I22+10000</f>
        <v>24736</v>
      </c>
      <c r="T22" s="342">
        <v>12000</v>
      </c>
      <c r="U22" s="342">
        <v>9250</v>
      </c>
      <c r="V22" s="342">
        <v>35000</v>
      </c>
      <c r="W22" s="342">
        <v>8766</v>
      </c>
      <c r="X22" s="342"/>
      <c r="Y22" s="342">
        <v>42011</v>
      </c>
      <c r="Z22" s="342">
        <v>15000</v>
      </c>
      <c r="AA22" s="342">
        <f t="shared" si="3"/>
        <v>146763</v>
      </c>
    </row>
    <row r="23" spans="1:27" ht="16.2" thickBot="1" x14ac:dyDescent="0.35">
      <c r="A23" s="456"/>
      <c r="B23" s="374">
        <v>0</v>
      </c>
      <c r="C23" s="374">
        <v>0</v>
      </c>
      <c r="D23" s="387"/>
      <c r="E23" s="359"/>
      <c r="F23" s="377"/>
      <c r="I23" s="342"/>
      <c r="J23" s="342"/>
      <c r="K23" s="342"/>
      <c r="L23" s="342"/>
      <c r="M23" s="342"/>
      <c r="N23" s="342"/>
      <c r="O23" s="342"/>
      <c r="P23" s="342"/>
      <c r="Q23" s="342">
        <f t="shared" si="2"/>
        <v>0</v>
      </c>
      <c r="R23" s="342"/>
      <c r="S23" s="342"/>
      <c r="T23" s="342"/>
      <c r="U23" s="342"/>
      <c r="V23" s="342"/>
      <c r="W23" s="342"/>
      <c r="X23" s="342"/>
      <c r="Y23" s="342"/>
      <c r="Z23" s="342"/>
      <c r="AA23" s="342">
        <f t="shared" si="3"/>
        <v>0</v>
      </c>
    </row>
    <row r="24" spans="1:27" ht="16.2" thickBot="1" x14ac:dyDescent="0.35">
      <c r="A24" s="456"/>
      <c r="B24" s="374">
        <v>0</v>
      </c>
      <c r="C24" s="374">
        <v>0</v>
      </c>
      <c r="D24" s="387"/>
      <c r="E24" s="387"/>
      <c r="F24" s="377"/>
      <c r="I24" s="342">
        <f>SUM(I16:I23)</f>
        <v>70250</v>
      </c>
      <c r="J24" s="342">
        <f t="shared" ref="J24:Z24" si="4">SUM(J16:J23)</f>
        <v>159805</v>
      </c>
      <c r="K24" s="342">
        <f t="shared" si="4"/>
        <v>9250</v>
      </c>
      <c r="L24" s="342">
        <f t="shared" si="4"/>
        <v>17000</v>
      </c>
      <c r="M24" s="342">
        <f t="shared" si="4"/>
        <v>118036</v>
      </c>
      <c r="N24" s="342">
        <f t="shared" si="4"/>
        <v>233954</v>
      </c>
      <c r="O24" s="342">
        <f t="shared" si="4"/>
        <v>1042123</v>
      </c>
      <c r="P24" s="342">
        <f t="shared" si="4"/>
        <v>10750</v>
      </c>
      <c r="Q24" s="342">
        <f>SUM(Q16:Q23)</f>
        <v>1661168</v>
      </c>
      <c r="R24" s="342"/>
      <c r="S24" s="342">
        <f t="shared" si="4"/>
        <v>93452</v>
      </c>
      <c r="T24" s="342">
        <f t="shared" si="4"/>
        <v>291100</v>
      </c>
      <c r="U24" s="342">
        <f t="shared" si="4"/>
        <v>19250</v>
      </c>
      <c r="V24" s="342">
        <f t="shared" si="4"/>
        <v>60000</v>
      </c>
      <c r="W24" s="342">
        <f t="shared" si="4"/>
        <v>314662</v>
      </c>
      <c r="X24" s="342">
        <f t="shared" si="4"/>
        <v>316931</v>
      </c>
      <c r="Y24" s="342">
        <f t="shared" si="4"/>
        <v>2526720</v>
      </c>
      <c r="Z24" s="342">
        <f t="shared" si="4"/>
        <v>33500</v>
      </c>
      <c r="AA24" s="342">
        <f>SUM(AA16:AA23)</f>
        <v>3655615</v>
      </c>
    </row>
    <row r="25" spans="1:27" ht="16.2" thickBot="1" x14ac:dyDescent="0.35">
      <c r="A25" s="456"/>
      <c r="B25" s="374">
        <v>0</v>
      </c>
      <c r="C25" s="374">
        <v>0</v>
      </c>
      <c r="D25" s="387"/>
      <c r="E25" s="387"/>
      <c r="F25" s="377"/>
      <c r="I25" s="342"/>
      <c r="J25" s="342"/>
      <c r="K25" s="342"/>
      <c r="L25" s="342"/>
      <c r="M25" s="342"/>
      <c r="N25" s="342"/>
      <c r="O25" s="342"/>
      <c r="P25" s="342"/>
      <c r="Q25" s="342"/>
      <c r="R25" s="342"/>
      <c r="S25" s="342"/>
      <c r="T25" s="342"/>
      <c r="U25" s="342"/>
      <c r="V25" s="342"/>
      <c r="W25" s="342"/>
      <c r="X25" s="342"/>
      <c r="Y25" s="342"/>
      <c r="Z25" s="342"/>
      <c r="AA25" s="342"/>
    </row>
    <row r="26" spans="1:27" ht="16.2" thickBot="1" x14ac:dyDescent="0.35">
      <c r="A26" s="456"/>
      <c r="B26" s="374">
        <v>0</v>
      </c>
      <c r="C26" s="374">
        <v>0</v>
      </c>
      <c r="D26" s="387"/>
      <c r="E26" s="387"/>
      <c r="F26" s="377"/>
      <c r="I26" s="342"/>
      <c r="J26" s="342"/>
      <c r="K26" s="342"/>
      <c r="L26" s="342"/>
      <c r="M26" s="342"/>
      <c r="N26" s="342"/>
      <c r="O26" s="342"/>
      <c r="P26" s="342"/>
      <c r="Q26" s="342"/>
      <c r="R26" s="342"/>
      <c r="S26" s="342"/>
      <c r="T26" s="342"/>
      <c r="U26" s="342"/>
      <c r="V26" s="342"/>
      <c r="W26" s="342"/>
      <c r="X26" s="342"/>
      <c r="Y26" s="342"/>
      <c r="Z26" s="342"/>
      <c r="AA26" s="342"/>
    </row>
    <row r="27" spans="1:27" ht="16.2" thickBot="1" x14ac:dyDescent="0.35">
      <c r="A27" s="456"/>
      <c r="B27" s="374">
        <v>0</v>
      </c>
      <c r="C27" s="374">
        <v>0</v>
      </c>
      <c r="D27" s="387"/>
      <c r="E27" s="387"/>
      <c r="F27" s="377"/>
      <c r="I27" s="342" t="s">
        <v>2115</v>
      </c>
      <c r="J27" s="342"/>
      <c r="K27" s="342"/>
      <c r="L27" s="342"/>
      <c r="M27" s="342"/>
      <c r="N27" s="342"/>
      <c r="O27" s="342"/>
      <c r="P27" s="342"/>
      <c r="Q27" s="342"/>
      <c r="R27" s="342"/>
      <c r="S27" s="342"/>
      <c r="T27" s="342"/>
      <c r="U27" s="342"/>
      <c r="V27" s="342"/>
      <c r="W27" s="342"/>
      <c r="X27" s="342"/>
      <c r="Y27" s="342"/>
      <c r="Z27" s="342"/>
      <c r="AA27" s="342"/>
    </row>
    <row r="28" spans="1:27" ht="16.2" thickBot="1" x14ac:dyDescent="0.35">
      <c r="A28" s="378"/>
      <c r="B28" s="374">
        <v>0</v>
      </c>
      <c r="C28" s="374">
        <v>0</v>
      </c>
      <c r="D28" s="387"/>
      <c r="E28" s="387"/>
      <c r="F28" s="377"/>
      <c r="J28" s="342"/>
      <c r="K28" s="342"/>
      <c r="L28" s="342"/>
      <c r="M28" s="342"/>
      <c r="N28" s="342"/>
      <c r="O28" s="342"/>
      <c r="P28" s="342"/>
      <c r="Q28" s="342"/>
      <c r="R28" s="342"/>
      <c r="S28" s="342"/>
      <c r="T28" s="342"/>
      <c r="U28" s="342"/>
      <c r="V28" s="342"/>
      <c r="W28" s="342"/>
      <c r="X28" s="342"/>
      <c r="Y28" s="342"/>
      <c r="Z28" s="342"/>
      <c r="AA28" s="342"/>
    </row>
    <row r="29" spans="1:27" ht="16.2" thickBot="1" x14ac:dyDescent="0.35">
      <c r="A29" s="455" t="s">
        <v>32</v>
      </c>
      <c r="B29" s="379">
        <f>SUM(B16:B28)</f>
        <v>1661168</v>
      </c>
      <c r="C29" s="379">
        <f>SUM(C16:C28)</f>
        <v>3655615</v>
      </c>
      <c r="D29" s="388"/>
      <c r="E29" s="388"/>
      <c r="F29" s="380"/>
      <c r="I29" s="342"/>
      <c r="J29" s="342"/>
      <c r="K29" s="342"/>
      <c r="L29" s="342"/>
      <c r="M29" s="342"/>
      <c r="N29" s="342"/>
      <c r="O29" s="342"/>
      <c r="P29" s="342"/>
      <c r="Q29" s="342"/>
      <c r="R29" s="342"/>
      <c r="S29" s="342"/>
      <c r="T29" s="342"/>
      <c r="U29" s="342"/>
      <c r="V29" s="342"/>
      <c r="W29" s="342"/>
      <c r="X29" s="342"/>
      <c r="Y29" s="342"/>
      <c r="Z29" s="342"/>
      <c r="AA29" s="342"/>
    </row>
    <row r="30" spans="1:27" x14ac:dyDescent="0.3">
      <c r="I30" s="342"/>
      <c r="J30" s="342"/>
      <c r="K30" s="342"/>
      <c r="L30" s="342"/>
      <c r="M30" s="342"/>
      <c r="N30" s="342"/>
      <c r="O30" s="342"/>
      <c r="P30" s="342"/>
      <c r="Q30" s="342"/>
      <c r="R30" s="342"/>
      <c r="S30" s="342"/>
      <c r="T30" s="342"/>
      <c r="U30" s="342"/>
      <c r="V30" s="342"/>
      <c r="W30" s="342"/>
      <c r="X30" s="342"/>
      <c r="Y30" s="342"/>
      <c r="Z30" s="342"/>
      <c r="AA30" s="342"/>
    </row>
    <row r="31" spans="1:27" x14ac:dyDescent="0.3">
      <c r="A31" s="372" t="s">
        <v>747</v>
      </c>
      <c r="C31" s="97">
        <f>Y24</f>
        <v>2526720</v>
      </c>
    </row>
    <row r="32" spans="1:27" ht="17.399999999999999" x14ac:dyDescent="0.45">
      <c r="A32" s="372" t="s">
        <v>2116</v>
      </c>
      <c r="C32" s="486">
        <f>C29-C31</f>
        <v>1128895</v>
      </c>
    </row>
    <row r="33" spans="3:3" x14ac:dyDescent="0.3">
      <c r="C33" s="97">
        <f>SUM(C31:C32)</f>
        <v>3655615</v>
      </c>
    </row>
  </sheetData>
  <mergeCells count="2">
    <mergeCell ref="I14:P14"/>
    <mergeCell ref="S14:Z14"/>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AB4C-D570-4CB1-8660-3B5D56F49723}">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78.599999999999994" thickBot="1" x14ac:dyDescent="0.35">
      <c r="A2" s="389" t="s">
        <v>247</v>
      </c>
      <c r="B2" s="390">
        <v>735000</v>
      </c>
      <c r="C2" s="389" t="s">
        <v>2135</v>
      </c>
      <c r="D2" s="391">
        <v>25728182</v>
      </c>
      <c r="E2" s="389" t="s">
        <v>10</v>
      </c>
      <c r="F2" s="392" t="s">
        <v>2136</v>
      </c>
      <c r="G2" s="391">
        <v>0</v>
      </c>
      <c r="H2" s="391">
        <v>0</v>
      </c>
    </row>
    <row r="4" spans="1:8" x14ac:dyDescent="0.3">
      <c r="A4" s="386" t="s">
        <v>11</v>
      </c>
    </row>
    <row r="6" spans="1:8" ht="16.2" thickBot="1" x14ac:dyDescent="0.35">
      <c r="A6" s="499" t="s">
        <v>12</v>
      </c>
      <c r="B6" s="10" t="s">
        <v>9</v>
      </c>
    </row>
    <row r="7" spans="1:8" ht="16.2" thickBot="1" x14ac:dyDescent="0.35">
      <c r="A7" s="498" t="s">
        <v>51</v>
      </c>
      <c r="B7" s="374">
        <v>0</v>
      </c>
    </row>
    <row r="8" spans="1:8" ht="16.2" thickBot="1" x14ac:dyDescent="0.35">
      <c r="A8" s="498" t="s">
        <v>53</v>
      </c>
      <c r="B8" s="374">
        <v>10842913</v>
      </c>
    </row>
    <row r="9" spans="1:8" ht="16.2" thickBot="1" x14ac:dyDescent="0.35">
      <c r="A9" s="498" t="s">
        <v>55</v>
      </c>
      <c r="B9" s="374">
        <v>0</v>
      </c>
    </row>
    <row r="10" spans="1:8" ht="16.2" thickBot="1" x14ac:dyDescent="0.35">
      <c r="A10" s="498" t="s">
        <v>57</v>
      </c>
      <c r="B10" s="374">
        <v>0</v>
      </c>
    </row>
    <row r="11" spans="1:8" ht="16.2" thickBot="1" x14ac:dyDescent="0.35">
      <c r="A11" s="498"/>
      <c r="B11" s="374">
        <v>0</v>
      </c>
    </row>
    <row r="12" spans="1:8" ht="16.2" thickBot="1" x14ac:dyDescent="0.35">
      <c r="A12" s="498"/>
      <c r="B12" s="10"/>
      <c r="C12" s="374">
        <f>SUM(B7:B11)</f>
        <v>10842913</v>
      </c>
    </row>
    <row r="13" spans="1:8" x14ac:dyDescent="0.3">
      <c r="A13" s="497"/>
      <c r="C13" s="10" t="s">
        <v>9</v>
      </c>
    </row>
    <row r="15" spans="1:8" ht="31.2" x14ac:dyDescent="0.3">
      <c r="A15" s="384" t="s">
        <v>17</v>
      </c>
      <c r="B15" s="385" t="s">
        <v>18</v>
      </c>
      <c r="C15" s="384" t="s">
        <v>19</v>
      </c>
      <c r="D15" s="384" t="s">
        <v>20</v>
      </c>
      <c r="E15" s="384" t="s">
        <v>21</v>
      </c>
      <c r="F15" s="384" t="s">
        <v>22</v>
      </c>
    </row>
    <row r="16" spans="1:8" ht="16.2" thickBot="1" x14ac:dyDescent="0.35">
      <c r="A16" s="496" t="s">
        <v>23</v>
      </c>
      <c r="B16" s="382">
        <v>2500</v>
      </c>
      <c r="C16" s="382">
        <v>7500</v>
      </c>
      <c r="D16" s="397" t="s">
        <v>10</v>
      </c>
      <c r="E16" s="359"/>
      <c r="F16" s="383"/>
    </row>
    <row r="17" spans="1:6" ht="16.2" thickBot="1" x14ac:dyDescent="0.35">
      <c r="A17" s="496" t="s">
        <v>25</v>
      </c>
      <c r="B17" s="374">
        <v>1782</v>
      </c>
      <c r="C17" s="374">
        <f>15000+1782</f>
        <v>16782</v>
      </c>
      <c r="D17" s="394" t="s">
        <v>10</v>
      </c>
      <c r="E17" s="387"/>
      <c r="F17" s="377" t="s">
        <v>2137</v>
      </c>
    </row>
    <row r="18" spans="1:6" ht="16.2" thickBot="1" x14ac:dyDescent="0.35">
      <c r="A18" s="496" t="s">
        <v>26</v>
      </c>
      <c r="B18" s="374">
        <v>0</v>
      </c>
      <c r="C18" s="374">
        <v>0</v>
      </c>
      <c r="D18" s="394"/>
      <c r="E18" s="387"/>
      <c r="F18" s="377"/>
    </row>
    <row r="19" spans="1:6" ht="16.2" thickBot="1" x14ac:dyDescent="0.35">
      <c r="A19" s="496" t="s">
        <v>27</v>
      </c>
      <c r="B19" s="374">
        <v>0</v>
      </c>
      <c r="C19" s="374">
        <v>0</v>
      </c>
      <c r="D19" s="394"/>
      <c r="E19" s="387"/>
      <c r="F19" s="377"/>
    </row>
    <row r="20" spans="1:6" ht="16.2" thickBot="1" x14ac:dyDescent="0.35">
      <c r="A20" s="496" t="s">
        <v>28</v>
      </c>
      <c r="B20" s="374">
        <v>0</v>
      </c>
      <c r="C20" s="374">
        <v>0</v>
      </c>
      <c r="D20" s="394"/>
      <c r="E20" s="387"/>
      <c r="F20" s="377"/>
    </row>
    <row r="21" spans="1:6" ht="16.2" thickBot="1" x14ac:dyDescent="0.35">
      <c r="A21" s="496" t="s">
        <v>29</v>
      </c>
      <c r="B21" s="374">
        <v>6100</v>
      </c>
      <c r="C21" s="374">
        <v>11000</v>
      </c>
      <c r="D21" s="394" t="s">
        <v>10</v>
      </c>
      <c r="E21" s="387"/>
      <c r="F21" s="377" t="s">
        <v>2138</v>
      </c>
    </row>
    <row r="22" spans="1:6" ht="16.2" thickBot="1" x14ac:dyDescent="0.35">
      <c r="A22" s="496" t="s">
        <v>30</v>
      </c>
      <c r="B22" s="374">
        <f>500+4841</f>
        <v>5341</v>
      </c>
      <c r="C22" s="374">
        <f>1000+4000</f>
        <v>5000</v>
      </c>
      <c r="D22" s="394" t="s">
        <v>10</v>
      </c>
      <c r="E22" s="387"/>
      <c r="F22" s="377"/>
    </row>
    <row r="23" spans="1:6" ht="16.2" thickBot="1" x14ac:dyDescent="0.35">
      <c r="A23" s="498"/>
      <c r="B23" s="374">
        <v>0</v>
      </c>
      <c r="C23" s="374">
        <v>0</v>
      </c>
      <c r="D23" s="394"/>
      <c r="E23" s="387"/>
      <c r="F23" s="377"/>
    </row>
    <row r="24" spans="1:6" ht="16.2" thickBot="1" x14ac:dyDescent="0.35">
      <c r="A24" s="498"/>
      <c r="B24" s="374">
        <v>0</v>
      </c>
      <c r="C24" s="374">
        <v>0</v>
      </c>
      <c r="D24" s="394"/>
      <c r="E24" s="387"/>
      <c r="F24" s="377"/>
    </row>
    <row r="25" spans="1:6" ht="16.2" thickBot="1" x14ac:dyDescent="0.35">
      <c r="A25" s="498"/>
      <c r="B25" s="374">
        <v>0</v>
      </c>
      <c r="C25" s="374">
        <v>0</v>
      </c>
      <c r="D25" s="394"/>
      <c r="E25" s="387"/>
      <c r="F25" s="377"/>
    </row>
    <row r="26" spans="1:6" ht="16.2" thickBot="1" x14ac:dyDescent="0.35">
      <c r="A26" s="498"/>
      <c r="B26" s="374">
        <v>0</v>
      </c>
      <c r="C26" s="374">
        <v>0</v>
      </c>
      <c r="D26" s="394"/>
      <c r="E26" s="387"/>
      <c r="F26" s="377"/>
    </row>
    <row r="27" spans="1:6" ht="16.2" thickBot="1" x14ac:dyDescent="0.35">
      <c r="A27" s="498"/>
      <c r="B27" s="374">
        <v>0</v>
      </c>
      <c r="C27" s="374">
        <v>0</v>
      </c>
      <c r="D27" s="394"/>
      <c r="E27" s="387"/>
      <c r="F27" s="377"/>
    </row>
    <row r="28" spans="1:6" ht="16.2" thickBot="1" x14ac:dyDescent="0.35">
      <c r="A28" s="378"/>
      <c r="B28" s="374">
        <v>0</v>
      </c>
      <c r="C28" s="374">
        <v>0</v>
      </c>
      <c r="D28" s="394"/>
      <c r="E28" s="387"/>
      <c r="F28" s="377"/>
    </row>
    <row r="29" spans="1:6" ht="16.2" thickBot="1" x14ac:dyDescent="0.35">
      <c r="A29" s="497" t="s">
        <v>32</v>
      </c>
      <c r="B29" s="379">
        <f>SUM(B16:B28)</f>
        <v>15723</v>
      </c>
      <c r="C29" s="379">
        <f>SUM(C16:C28)</f>
        <v>40282</v>
      </c>
      <c r="D29" s="34"/>
      <c r="E29" s="388"/>
      <c r="F29" s="380"/>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429A-62F5-4755-97AE-0AA2BAACBB72}">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513</v>
      </c>
      <c r="E1" s="1" t="s">
        <v>4</v>
      </c>
      <c r="F1" s="1" t="s">
        <v>5</v>
      </c>
      <c r="G1" s="1" t="s">
        <v>6</v>
      </c>
      <c r="H1" s="1" t="s">
        <v>7</v>
      </c>
    </row>
    <row r="2" spans="1:8" ht="109.8" thickBot="1" x14ac:dyDescent="0.35">
      <c r="A2" s="3" t="s">
        <v>514</v>
      </c>
      <c r="B2" s="4">
        <v>218933.98</v>
      </c>
      <c r="C2" s="3" t="s">
        <v>515</v>
      </c>
      <c r="D2" s="5">
        <v>2777523</v>
      </c>
      <c r="E2" s="3" t="s">
        <v>516</v>
      </c>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12000.34</v>
      </c>
    </row>
    <row r="10" spans="1:8" ht="16.2" thickBot="1" x14ac:dyDescent="0.35">
      <c r="A10" s="11" t="s">
        <v>57</v>
      </c>
      <c r="B10" s="12">
        <v>206933.64</v>
      </c>
    </row>
    <row r="11" spans="1:8" ht="16.2" thickBot="1" x14ac:dyDescent="0.35">
      <c r="A11" s="11"/>
      <c r="B11" s="12">
        <v>0</v>
      </c>
    </row>
    <row r="12" spans="1:8" ht="16.2" thickBot="1" x14ac:dyDescent="0.35">
      <c r="A12" s="11"/>
      <c r="B12" s="10"/>
      <c r="C12" s="12">
        <v>218933.98</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1117.21</v>
      </c>
      <c r="C16" s="16">
        <v>4117.21</v>
      </c>
      <c r="D16" s="17" t="s">
        <v>423</v>
      </c>
      <c r="E16" s="17" t="s">
        <v>79</v>
      </c>
      <c r="F16" s="18" t="s">
        <v>517</v>
      </c>
    </row>
    <row r="17" spans="1:6" ht="16.2" thickBot="1" x14ac:dyDescent="0.35">
      <c r="A17" s="15" t="s">
        <v>25</v>
      </c>
      <c r="B17" s="12">
        <v>2782.48</v>
      </c>
      <c r="C17" s="12">
        <v>3823.9199999999983</v>
      </c>
      <c r="D17" s="19" t="s">
        <v>423</v>
      </c>
      <c r="E17" s="19" t="s">
        <v>79</v>
      </c>
      <c r="F17" s="18" t="s">
        <v>517</v>
      </c>
    </row>
    <row r="18" spans="1:6" ht="16.2" thickBot="1" x14ac:dyDescent="0.35">
      <c r="A18" s="15" t="s">
        <v>518</v>
      </c>
      <c r="B18" s="12">
        <v>0</v>
      </c>
      <c r="C18" s="12">
        <v>25000</v>
      </c>
      <c r="D18" s="19" t="s">
        <v>423</v>
      </c>
      <c r="E18" s="19" t="s">
        <v>79</v>
      </c>
      <c r="F18" s="18" t="s">
        <v>517</v>
      </c>
    </row>
    <row r="19" spans="1:6" ht="16.2" thickBot="1" x14ac:dyDescent="0.35">
      <c r="A19" s="15" t="s">
        <v>26</v>
      </c>
      <c r="B19" s="12">
        <v>0</v>
      </c>
      <c r="C19" s="12">
        <v>0</v>
      </c>
      <c r="D19" s="19"/>
      <c r="E19" s="19"/>
      <c r="F19" s="20"/>
    </row>
    <row r="20" spans="1:6" ht="16.2" thickBot="1" x14ac:dyDescent="0.35">
      <c r="A20" s="15" t="s">
        <v>27</v>
      </c>
      <c r="B20" s="12">
        <v>0</v>
      </c>
      <c r="C20" s="12">
        <v>0</v>
      </c>
      <c r="D20" s="19"/>
      <c r="E20" s="19"/>
      <c r="F20" s="20"/>
    </row>
    <row r="21" spans="1:6" ht="16.2" thickBot="1" x14ac:dyDescent="0.35">
      <c r="A21" s="15" t="s">
        <v>28</v>
      </c>
      <c r="B21" s="12">
        <v>0</v>
      </c>
      <c r="C21" s="12">
        <v>0</v>
      </c>
      <c r="D21" s="19"/>
      <c r="E21" s="19"/>
      <c r="F21" s="20"/>
    </row>
    <row r="22" spans="1:6" ht="16.2" thickBot="1" x14ac:dyDescent="0.35">
      <c r="A22" s="15" t="s">
        <v>29</v>
      </c>
      <c r="B22" s="12">
        <v>543.79999999999995</v>
      </c>
      <c r="C22" s="12">
        <v>9316.2799999999988</v>
      </c>
      <c r="D22" s="19" t="s">
        <v>423</v>
      </c>
      <c r="E22" s="19" t="s">
        <v>79</v>
      </c>
      <c r="F22" s="18" t="s">
        <v>517</v>
      </c>
    </row>
    <row r="23" spans="1:6" ht="16.2" thickBot="1" x14ac:dyDescent="0.35">
      <c r="A23" s="15" t="s">
        <v>30</v>
      </c>
      <c r="B23" s="12">
        <v>907.33</v>
      </c>
      <c r="C23" s="12">
        <v>3907.33</v>
      </c>
      <c r="D23" s="19" t="s">
        <v>423</v>
      </c>
      <c r="E23" s="19" t="s">
        <v>79</v>
      </c>
      <c r="F23" s="18" t="s">
        <v>517</v>
      </c>
    </row>
    <row r="24" spans="1:6" ht="47.4" thickBot="1" x14ac:dyDescent="0.35">
      <c r="A24" s="121" t="s">
        <v>519</v>
      </c>
      <c r="B24" s="12">
        <v>0</v>
      </c>
      <c r="C24" s="12">
        <v>2700</v>
      </c>
      <c r="D24" s="19" t="s">
        <v>423</v>
      </c>
      <c r="E24" s="19" t="s">
        <v>79</v>
      </c>
      <c r="F24" s="18" t="s">
        <v>517</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5350.82</v>
      </c>
      <c r="C29" s="22">
        <v>48864.74</v>
      </c>
      <c r="D29" s="23"/>
      <c r="E29" s="23" t="s">
        <v>79</v>
      </c>
      <c r="F29" s="18" t="s">
        <v>517</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94A0-61DC-497A-9603-F3D58CBA125C}">
  <dimension ref="A1:H33"/>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c r="B2" s="390">
        <v>0</v>
      </c>
      <c r="C2" s="389">
        <v>0</v>
      </c>
      <c r="D2" s="391">
        <v>-2500000</v>
      </c>
      <c r="E2" s="389" t="s">
        <v>24</v>
      </c>
      <c r="F2" s="392"/>
      <c r="G2" s="391">
        <v>-2500000</v>
      </c>
      <c r="H2" s="391">
        <v>-2520000</v>
      </c>
    </row>
    <row r="3" spans="1:8" x14ac:dyDescent="0.3">
      <c r="D3" s="372" t="s">
        <v>2120</v>
      </c>
    </row>
    <row r="4" spans="1:8" x14ac:dyDescent="0.3">
      <c r="A4" s="386" t="s">
        <v>11</v>
      </c>
    </row>
    <row r="6" spans="1:8" ht="16.2" thickBot="1" x14ac:dyDescent="0.35">
      <c r="A6" s="491" t="s">
        <v>12</v>
      </c>
      <c r="B6" s="10" t="s">
        <v>9</v>
      </c>
    </row>
    <row r="7" spans="1:8" ht="16.2" thickBot="1" x14ac:dyDescent="0.35">
      <c r="A7" s="490" t="s">
        <v>51</v>
      </c>
      <c r="B7" s="374">
        <v>0</v>
      </c>
    </row>
    <row r="8" spans="1:8" ht="16.2" thickBot="1" x14ac:dyDescent="0.35">
      <c r="A8" s="490" t="s">
        <v>53</v>
      </c>
      <c r="B8" s="374">
        <v>0</v>
      </c>
    </row>
    <row r="9" spans="1:8" ht="16.2" thickBot="1" x14ac:dyDescent="0.35">
      <c r="A9" s="490" t="s">
        <v>55</v>
      </c>
      <c r="B9" s="374">
        <v>0</v>
      </c>
    </row>
    <row r="10" spans="1:8" ht="16.2" thickBot="1" x14ac:dyDescent="0.35">
      <c r="A10" s="490" t="s">
        <v>57</v>
      </c>
      <c r="B10" s="374">
        <v>0</v>
      </c>
    </row>
    <row r="11" spans="1:8" ht="16.2" thickBot="1" x14ac:dyDescent="0.35">
      <c r="A11" s="490"/>
      <c r="B11" s="374">
        <v>0</v>
      </c>
    </row>
    <row r="12" spans="1:8" ht="16.2" thickBot="1" x14ac:dyDescent="0.35">
      <c r="A12" s="490"/>
      <c r="B12" s="10"/>
      <c r="C12" s="374">
        <f>SUM(B7:B11)</f>
        <v>0</v>
      </c>
    </row>
    <row r="13" spans="1:8" x14ac:dyDescent="0.3">
      <c r="A13" s="489"/>
      <c r="C13" s="10" t="s">
        <v>9</v>
      </c>
    </row>
    <row r="15" spans="1:8" ht="31.2" x14ac:dyDescent="0.3">
      <c r="A15" s="384" t="s">
        <v>17</v>
      </c>
      <c r="B15" s="385" t="s">
        <v>18</v>
      </c>
      <c r="C15" s="384" t="s">
        <v>19</v>
      </c>
      <c r="D15" s="384" t="s">
        <v>20</v>
      </c>
      <c r="E15" s="384" t="s">
        <v>21</v>
      </c>
      <c r="F15" s="384" t="s">
        <v>22</v>
      </c>
    </row>
    <row r="16" spans="1:8" ht="16.2" thickBot="1" x14ac:dyDescent="0.35">
      <c r="A16" s="488" t="s">
        <v>23</v>
      </c>
      <c r="B16" s="382">
        <v>2100</v>
      </c>
      <c r="C16" s="382">
        <v>5000</v>
      </c>
      <c r="D16" s="397" t="s">
        <v>10</v>
      </c>
      <c r="E16" s="359" t="s">
        <v>2118</v>
      </c>
      <c r="F16" s="383"/>
    </row>
    <row r="17" spans="1:6" ht="16.2" thickBot="1" x14ac:dyDescent="0.35">
      <c r="A17" s="488" t="s">
        <v>25</v>
      </c>
      <c r="B17" s="374">
        <v>19500</v>
      </c>
      <c r="C17" s="374">
        <v>25000</v>
      </c>
      <c r="D17" s="394" t="s">
        <v>10</v>
      </c>
      <c r="E17" s="359" t="s">
        <v>2118</v>
      </c>
      <c r="F17" s="377"/>
    </row>
    <row r="18" spans="1:6" ht="16.2" thickBot="1" x14ac:dyDescent="0.35">
      <c r="A18" s="488" t="s">
        <v>26</v>
      </c>
      <c r="B18" s="374">
        <v>0</v>
      </c>
      <c r="C18" s="374">
        <v>0</v>
      </c>
      <c r="D18" s="394"/>
      <c r="E18" s="387"/>
      <c r="F18" s="377"/>
    </row>
    <row r="19" spans="1:6" ht="16.2" thickBot="1" x14ac:dyDescent="0.35">
      <c r="A19" s="488" t="s">
        <v>27</v>
      </c>
      <c r="B19" s="374">
        <v>0</v>
      </c>
      <c r="C19" s="374">
        <v>0</v>
      </c>
      <c r="D19" s="394"/>
      <c r="E19" s="387"/>
      <c r="F19" s="377"/>
    </row>
    <row r="20" spans="1:6" ht="16.2" thickBot="1" x14ac:dyDescent="0.35">
      <c r="A20" s="488" t="s">
        <v>28</v>
      </c>
      <c r="B20" s="374">
        <v>0</v>
      </c>
      <c r="C20" s="374">
        <v>0</v>
      </c>
      <c r="D20" s="394"/>
      <c r="E20" s="387"/>
      <c r="F20" s="377"/>
    </row>
    <row r="21" spans="1:6" ht="16.2" thickBot="1" x14ac:dyDescent="0.35">
      <c r="A21" s="488" t="s">
        <v>29</v>
      </c>
      <c r="B21" s="374">
        <v>2100</v>
      </c>
      <c r="C21" s="374">
        <v>4200</v>
      </c>
      <c r="D21" s="394" t="s">
        <v>10</v>
      </c>
      <c r="E21" s="359" t="s">
        <v>2118</v>
      </c>
      <c r="F21" s="377"/>
    </row>
    <row r="22" spans="1:6" ht="16.2" thickBot="1" x14ac:dyDescent="0.35">
      <c r="A22" s="488" t="s">
        <v>30</v>
      </c>
      <c r="B22" s="374">
        <v>1500</v>
      </c>
      <c r="C22" s="374">
        <v>4000</v>
      </c>
      <c r="D22" s="394" t="s">
        <v>10</v>
      </c>
      <c r="E22" s="359" t="s">
        <v>2118</v>
      </c>
      <c r="F22" s="377"/>
    </row>
    <row r="23" spans="1:6" ht="16.2" thickBot="1" x14ac:dyDescent="0.35">
      <c r="A23" s="488" t="s">
        <v>2119</v>
      </c>
      <c r="B23" s="374">
        <v>14000</v>
      </c>
      <c r="C23" s="374">
        <v>38000</v>
      </c>
      <c r="D23" s="394" t="s">
        <v>10</v>
      </c>
      <c r="E23" s="387"/>
      <c r="F23" s="377"/>
    </row>
    <row r="24" spans="1:6" ht="16.2" thickBot="1" x14ac:dyDescent="0.35">
      <c r="A24" s="490"/>
      <c r="B24" s="374">
        <v>0</v>
      </c>
      <c r="C24" s="374">
        <v>0</v>
      </c>
      <c r="D24" s="394"/>
      <c r="E24" s="387"/>
      <c r="F24" s="377"/>
    </row>
    <row r="25" spans="1:6" ht="16.2" thickBot="1" x14ac:dyDescent="0.35">
      <c r="A25" s="490"/>
      <c r="B25" s="374">
        <v>0</v>
      </c>
      <c r="C25" s="374">
        <v>0</v>
      </c>
      <c r="D25" s="394"/>
      <c r="E25" s="387"/>
      <c r="F25" s="377"/>
    </row>
    <row r="26" spans="1:6" ht="16.2" thickBot="1" x14ac:dyDescent="0.35">
      <c r="A26" s="490"/>
      <c r="B26" s="374">
        <v>0</v>
      </c>
      <c r="C26" s="374">
        <v>0</v>
      </c>
      <c r="D26" s="394"/>
      <c r="E26" s="387"/>
      <c r="F26" s="377"/>
    </row>
    <row r="27" spans="1:6" ht="16.2" thickBot="1" x14ac:dyDescent="0.35">
      <c r="A27" s="490"/>
      <c r="B27" s="374">
        <v>0</v>
      </c>
      <c r="C27" s="374">
        <v>0</v>
      </c>
      <c r="D27" s="394"/>
      <c r="E27" s="387"/>
      <c r="F27" s="377"/>
    </row>
    <row r="28" spans="1:6" ht="16.2" thickBot="1" x14ac:dyDescent="0.35">
      <c r="A28" s="378"/>
      <c r="B28" s="374">
        <v>0</v>
      </c>
      <c r="C28" s="374">
        <v>0</v>
      </c>
      <c r="D28" s="394"/>
      <c r="E28" s="387"/>
      <c r="F28" s="377"/>
    </row>
    <row r="29" spans="1:6" ht="16.2" thickBot="1" x14ac:dyDescent="0.35">
      <c r="A29" s="489" t="s">
        <v>32</v>
      </c>
      <c r="B29" s="379">
        <f>SUM(B16:B28)</f>
        <v>39200</v>
      </c>
      <c r="C29" s="379">
        <f>SUM(C16:C28)</f>
        <v>76200</v>
      </c>
      <c r="D29" s="34" t="s">
        <v>10</v>
      </c>
      <c r="E29" s="359" t="s">
        <v>2118</v>
      </c>
      <c r="F29" s="380"/>
    </row>
    <row r="32" spans="1:6" x14ac:dyDescent="0.3">
      <c r="C32" s="396"/>
    </row>
    <row r="33" spans="3:3" x14ac:dyDescent="0.3">
      <c r="C33" s="396"/>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8625-A656-4F90-BE23-78979BD96396}">
  <dimension ref="A1:H30"/>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520</v>
      </c>
      <c r="B2" s="4">
        <v>6113768</v>
      </c>
      <c r="C2" s="3" t="s">
        <v>521</v>
      </c>
      <c r="D2" s="5">
        <v>5546660</v>
      </c>
      <c r="E2" s="3" t="s">
        <v>522</v>
      </c>
      <c r="F2" s="6" t="s">
        <v>523</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-6000000</v>
      </c>
      <c r="C8" s="7" t="s">
        <v>524</v>
      </c>
    </row>
    <row r="9" spans="1:8" ht="16.2" thickBot="1" x14ac:dyDescent="0.35">
      <c r="A9" s="11" t="s">
        <v>55</v>
      </c>
      <c r="B9" s="12">
        <v>-2000</v>
      </c>
    </row>
    <row r="10" spans="1:8" ht="16.2" thickBot="1" x14ac:dyDescent="0.35">
      <c r="A10" s="11" t="s">
        <v>57</v>
      </c>
      <c r="B10" s="12">
        <v>-8000</v>
      </c>
    </row>
    <row r="11" spans="1:8" ht="16.2" thickBot="1" x14ac:dyDescent="0.35">
      <c r="A11" s="11"/>
      <c r="B11" s="12">
        <v>0</v>
      </c>
    </row>
    <row r="12" spans="1:8" ht="16.2" thickBot="1" x14ac:dyDescent="0.35">
      <c r="A12" s="11"/>
      <c r="B12" s="10"/>
      <c r="C12" s="12">
        <v>-6010000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565</v>
      </c>
      <c r="C16" s="16">
        <v>2672</v>
      </c>
      <c r="D16" s="17" t="s">
        <v>525</v>
      </c>
      <c r="E16" s="17" t="s">
        <v>79</v>
      </c>
      <c r="F16" s="18" t="s">
        <v>526</v>
      </c>
    </row>
    <row r="17" spans="1:6" ht="63" thickBot="1" x14ac:dyDescent="0.35">
      <c r="A17" s="15" t="s">
        <v>25</v>
      </c>
      <c r="B17" s="12">
        <v>2665</v>
      </c>
      <c r="C17" s="12">
        <v>4045</v>
      </c>
      <c r="D17" s="19" t="s">
        <v>525</v>
      </c>
      <c r="E17" s="17" t="s">
        <v>79</v>
      </c>
      <c r="F17" s="33" t="s">
        <v>527</v>
      </c>
    </row>
    <row r="18" spans="1:6" ht="16.2" thickBot="1" x14ac:dyDescent="0.35">
      <c r="A18" s="15" t="s">
        <v>26</v>
      </c>
      <c r="B18" s="12">
        <v>0</v>
      </c>
      <c r="C18" s="12">
        <v>0</v>
      </c>
      <c r="D18" s="19"/>
      <c r="E18" s="17" t="s">
        <v>79</v>
      </c>
      <c r="F18" s="20"/>
    </row>
    <row r="19" spans="1:6" ht="16.2" thickBot="1" x14ac:dyDescent="0.35">
      <c r="A19" s="15" t="s">
        <v>27</v>
      </c>
      <c r="B19" s="12">
        <v>0</v>
      </c>
      <c r="C19" s="12">
        <v>153</v>
      </c>
      <c r="D19" s="19" t="s">
        <v>525</v>
      </c>
      <c r="E19" s="17" t="s">
        <v>79</v>
      </c>
      <c r="F19" s="20" t="s">
        <v>528</v>
      </c>
    </row>
    <row r="20" spans="1:6" ht="47.4" thickBot="1" x14ac:dyDescent="0.35">
      <c r="A20" s="15" t="s">
        <v>529</v>
      </c>
      <c r="B20" s="12">
        <v>1200</v>
      </c>
      <c r="C20" s="12">
        <v>2400</v>
      </c>
      <c r="D20" s="19" t="s">
        <v>525</v>
      </c>
      <c r="E20" s="17" t="s">
        <v>79</v>
      </c>
      <c r="F20" s="33" t="s">
        <v>530</v>
      </c>
    </row>
    <row r="21" spans="1:6" ht="16.2" thickBot="1" x14ac:dyDescent="0.35">
      <c r="A21" s="15" t="s">
        <v>29</v>
      </c>
      <c r="B21" s="12">
        <v>800</v>
      </c>
      <c r="C21" s="12">
        <v>0</v>
      </c>
      <c r="D21" s="19" t="s">
        <v>525</v>
      </c>
      <c r="E21" s="17" t="s">
        <v>79</v>
      </c>
      <c r="F21" s="20" t="s">
        <v>531</v>
      </c>
    </row>
    <row r="22" spans="1:6" ht="16.2" thickBot="1" x14ac:dyDescent="0.35">
      <c r="A22" s="15" t="s">
        <v>532</v>
      </c>
      <c r="B22" s="12">
        <v>19148</v>
      </c>
      <c r="C22" s="12">
        <v>19148</v>
      </c>
      <c r="D22" s="19" t="s">
        <v>525</v>
      </c>
      <c r="E22" s="17" t="s">
        <v>79</v>
      </c>
      <c r="F22" s="20" t="s">
        <v>533</v>
      </c>
    </row>
    <row r="23" spans="1:6" ht="16.2" thickBot="1" x14ac:dyDescent="0.35">
      <c r="A23" s="15" t="s">
        <v>532</v>
      </c>
      <c r="B23" s="12">
        <v>0</v>
      </c>
      <c r="C23" s="12">
        <v>1500</v>
      </c>
      <c r="D23" s="19" t="s">
        <v>534</v>
      </c>
      <c r="E23" s="17" t="s">
        <v>79</v>
      </c>
      <c r="F23" s="20" t="s">
        <v>535</v>
      </c>
    </row>
    <row r="24" spans="1:6" ht="16.2" thickBot="1" x14ac:dyDescent="0.35">
      <c r="A24" s="15" t="s">
        <v>536</v>
      </c>
      <c r="B24" s="12">
        <v>0</v>
      </c>
      <c r="C24" s="12">
        <v>25738</v>
      </c>
      <c r="D24" s="19" t="s">
        <v>525</v>
      </c>
      <c r="E24" s="17" t="s">
        <v>79</v>
      </c>
      <c r="F24" s="20" t="s">
        <v>537</v>
      </c>
    </row>
    <row r="25" spans="1:6" ht="16.2" thickBot="1" x14ac:dyDescent="0.35">
      <c r="A25" s="15" t="s">
        <v>532</v>
      </c>
      <c r="B25" s="12">
        <v>0</v>
      </c>
      <c r="C25" s="12">
        <v>0</v>
      </c>
      <c r="D25" s="19"/>
      <c r="E25" s="17" t="s">
        <v>79</v>
      </c>
      <c r="F25" s="20" t="s">
        <v>538</v>
      </c>
    </row>
    <row r="26" spans="1:6" ht="16.2" thickBot="1" x14ac:dyDescent="0.35">
      <c r="A26" s="15" t="s">
        <v>539</v>
      </c>
      <c r="B26" s="12">
        <v>0</v>
      </c>
      <c r="C26" s="12">
        <v>200</v>
      </c>
      <c r="D26" s="19" t="s">
        <v>525</v>
      </c>
      <c r="E26" s="19" t="s">
        <v>79</v>
      </c>
      <c r="F26" s="20" t="s">
        <v>540</v>
      </c>
    </row>
    <row r="27" spans="1:6" ht="16.2" thickBot="1" x14ac:dyDescent="0.35">
      <c r="A27" s="11"/>
      <c r="B27" s="12">
        <v>0</v>
      </c>
      <c r="C27" s="12">
        <v>0</v>
      </c>
      <c r="D27" s="19"/>
      <c r="E27" s="19"/>
      <c r="F27" s="20"/>
    </row>
    <row r="28" spans="1:6" ht="16.2" thickBot="1" x14ac:dyDescent="0.35">
      <c r="A28" s="11"/>
      <c r="B28" s="12">
        <v>0</v>
      </c>
      <c r="C28" s="12">
        <v>0</v>
      </c>
      <c r="D28" s="19"/>
      <c r="E28" s="19"/>
      <c r="F28" s="20"/>
    </row>
    <row r="29" spans="1:6" ht="16.2" thickBot="1" x14ac:dyDescent="0.35">
      <c r="A29" s="21"/>
      <c r="B29" s="12">
        <v>0</v>
      </c>
      <c r="C29" s="12">
        <v>0</v>
      </c>
      <c r="D29" s="19"/>
      <c r="E29" s="19"/>
      <c r="F29" s="20"/>
    </row>
    <row r="30" spans="1:6" ht="16.2" thickBot="1" x14ac:dyDescent="0.35">
      <c r="A30" s="13" t="s">
        <v>32</v>
      </c>
      <c r="B30" s="22">
        <v>24378</v>
      </c>
      <c r="C30" s="22">
        <v>55856</v>
      </c>
      <c r="D30" s="23"/>
      <c r="E30" s="23"/>
      <c r="F30" s="24"/>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8E00-2EC9-4437-A085-E64473CF8FC9}">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256</v>
      </c>
      <c r="B2" s="390">
        <v>200000</v>
      </c>
      <c r="C2" s="389" t="s">
        <v>2250</v>
      </c>
      <c r="D2" s="391">
        <v>1261197</v>
      </c>
      <c r="E2" s="389" t="s">
        <v>106</v>
      </c>
      <c r="F2" s="392" t="s">
        <v>106</v>
      </c>
      <c r="G2" s="391">
        <v>40000</v>
      </c>
      <c r="H2" s="391" t="s">
        <v>680</v>
      </c>
    </row>
    <row r="4" spans="1:8" x14ac:dyDescent="0.3">
      <c r="A4" s="386" t="s">
        <v>11</v>
      </c>
    </row>
    <row r="6" spans="1:8" ht="16.2" thickBot="1" x14ac:dyDescent="0.35">
      <c r="A6" s="545" t="s">
        <v>12</v>
      </c>
      <c r="B6" s="10" t="s">
        <v>9</v>
      </c>
    </row>
    <row r="7" spans="1:8" ht="16.2" thickBot="1" x14ac:dyDescent="0.35">
      <c r="A7" s="544" t="s">
        <v>13</v>
      </c>
      <c r="B7" s="374">
        <v>200000</v>
      </c>
    </row>
    <row r="8" spans="1:8" ht="16.2" thickBot="1" x14ac:dyDescent="0.35">
      <c r="A8" s="544" t="s">
        <v>14</v>
      </c>
      <c r="B8" s="374">
        <v>0</v>
      </c>
    </row>
    <row r="9" spans="1:8" ht="16.2" thickBot="1" x14ac:dyDescent="0.35">
      <c r="A9" s="544"/>
      <c r="B9" s="374">
        <v>0</v>
      </c>
    </row>
    <row r="10" spans="1:8" ht="16.2" thickBot="1" x14ac:dyDescent="0.35">
      <c r="A10" s="544"/>
      <c r="B10" s="374">
        <v>0</v>
      </c>
    </row>
    <row r="11" spans="1:8" ht="16.2" thickBot="1" x14ac:dyDescent="0.35">
      <c r="A11" s="544"/>
      <c r="B11" s="10"/>
      <c r="C11" s="374">
        <f>SUM(B7:B10)</f>
        <v>200000</v>
      </c>
    </row>
    <row r="12" spans="1:8" x14ac:dyDescent="0.3">
      <c r="A12" s="543"/>
      <c r="C12" s="10" t="s">
        <v>9</v>
      </c>
    </row>
    <row r="14" spans="1:8" ht="31.2" x14ac:dyDescent="0.3">
      <c r="A14" s="384" t="s">
        <v>17</v>
      </c>
      <c r="B14" s="385" t="s">
        <v>18</v>
      </c>
      <c r="C14" s="384" t="s">
        <v>19</v>
      </c>
      <c r="D14" s="384" t="s">
        <v>20</v>
      </c>
      <c r="E14" s="384" t="s">
        <v>21</v>
      </c>
      <c r="F14" s="384" t="s">
        <v>22</v>
      </c>
    </row>
    <row r="15" spans="1:8" ht="16.2" thickBot="1" x14ac:dyDescent="0.35">
      <c r="A15" s="542" t="s">
        <v>23</v>
      </c>
      <c r="B15" s="382">
        <v>302</v>
      </c>
      <c r="C15" s="382">
        <v>1000</v>
      </c>
      <c r="D15" s="359" t="s">
        <v>525</v>
      </c>
      <c r="E15" s="359"/>
      <c r="F15" s="383"/>
    </row>
    <row r="16" spans="1:8" ht="16.2" thickBot="1" x14ac:dyDescent="0.35">
      <c r="A16" s="542" t="s">
        <v>25</v>
      </c>
      <c r="B16" s="374">
        <v>1047</v>
      </c>
      <c r="C16" s="374">
        <v>2000</v>
      </c>
      <c r="D16" s="387" t="s">
        <v>525</v>
      </c>
      <c r="E16" s="387"/>
      <c r="F16" s="377"/>
    </row>
    <row r="17" spans="1:6" ht="16.2" thickBot="1" x14ac:dyDescent="0.35">
      <c r="A17" s="542" t="s">
        <v>26</v>
      </c>
      <c r="B17" s="374">
        <v>6415</v>
      </c>
      <c r="C17" s="374">
        <v>7500</v>
      </c>
      <c r="D17" s="387" t="s">
        <v>525</v>
      </c>
      <c r="E17" s="387"/>
      <c r="F17" s="377"/>
    </row>
    <row r="18" spans="1:6" ht="16.2" thickBot="1" x14ac:dyDescent="0.35">
      <c r="A18" s="542" t="s">
        <v>27</v>
      </c>
      <c r="B18" s="374">
        <v>0</v>
      </c>
      <c r="C18" s="374">
        <v>0</v>
      </c>
      <c r="D18" s="387"/>
      <c r="E18" s="387"/>
      <c r="F18" s="377"/>
    </row>
    <row r="19" spans="1:6" ht="16.2" thickBot="1" x14ac:dyDescent="0.35">
      <c r="A19" s="542" t="s">
        <v>28</v>
      </c>
      <c r="B19" s="374">
        <v>0</v>
      </c>
      <c r="C19" s="374">
        <v>0</v>
      </c>
      <c r="D19" s="387"/>
      <c r="E19" s="387"/>
      <c r="F19" s="377"/>
    </row>
    <row r="20" spans="1:6" ht="16.2" thickBot="1" x14ac:dyDescent="0.35">
      <c r="A20" s="542" t="s">
        <v>29</v>
      </c>
      <c r="B20" s="374">
        <v>0</v>
      </c>
      <c r="C20" s="374">
        <v>0</v>
      </c>
      <c r="D20" s="387"/>
      <c r="E20" s="387"/>
      <c r="F20" s="377"/>
    </row>
    <row r="21" spans="1:6" ht="16.2" thickBot="1" x14ac:dyDescent="0.35">
      <c r="A21" s="542" t="s">
        <v>30</v>
      </c>
      <c r="B21" s="374">
        <v>0</v>
      </c>
      <c r="C21" s="374">
        <v>0</v>
      </c>
      <c r="D21" s="387"/>
      <c r="E21" s="387"/>
      <c r="F21" s="377"/>
    </row>
    <row r="22" spans="1:6" ht="16.2" thickBot="1" x14ac:dyDescent="0.35">
      <c r="A22" s="544"/>
      <c r="B22" s="374">
        <v>0</v>
      </c>
      <c r="C22" s="374">
        <v>0</v>
      </c>
      <c r="D22" s="387"/>
      <c r="E22" s="387"/>
      <c r="F22" s="377"/>
    </row>
    <row r="23" spans="1:6" ht="16.2" thickBot="1" x14ac:dyDescent="0.35">
      <c r="A23" s="544"/>
      <c r="B23" s="374">
        <v>0</v>
      </c>
      <c r="C23" s="374">
        <v>0</v>
      </c>
      <c r="D23" s="387"/>
      <c r="E23" s="387"/>
      <c r="F23" s="377"/>
    </row>
    <row r="24" spans="1:6" ht="16.2" thickBot="1" x14ac:dyDescent="0.35">
      <c r="A24" s="544"/>
      <c r="B24" s="374">
        <v>0</v>
      </c>
      <c r="C24" s="374">
        <v>0</v>
      </c>
      <c r="D24" s="387"/>
      <c r="E24" s="387"/>
      <c r="F24" s="377"/>
    </row>
    <row r="25" spans="1:6" ht="16.2" thickBot="1" x14ac:dyDescent="0.35">
      <c r="A25" s="544"/>
      <c r="B25" s="374">
        <v>0</v>
      </c>
      <c r="C25" s="374">
        <v>0</v>
      </c>
      <c r="D25" s="387"/>
      <c r="E25" s="387"/>
      <c r="F25" s="377"/>
    </row>
    <row r="26" spans="1:6" ht="16.2" thickBot="1" x14ac:dyDescent="0.35">
      <c r="A26" s="544"/>
      <c r="B26" s="374">
        <v>0</v>
      </c>
      <c r="C26" s="374">
        <v>0</v>
      </c>
      <c r="D26" s="387"/>
      <c r="E26" s="387"/>
      <c r="F26" s="377"/>
    </row>
    <row r="27" spans="1:6" ht="16.2" thickBot="1" x14ac:dyDescent="0.35">
      <c r="A27" s="378"/>
      <c r="B27" s="374">
        <v>0</v>
      </c>
      <c r="C27" s="374">
        <v>0</v>
      </c>
      <c r="D27" s="387"/>
      <c r="E27" s="387"/>
      <c r="F27" s="377"/>
    </row>
    <row r="28" spans="1:6" ht="16.2" thickBot="1" x14ac:dyDescent="0.35">
      <c r="A28" s="543" t="s">
        <v>32</v>
      </c>
      <c r="B28" s="379">
        <f>SUM(B15:B27)</f>
        <v>7764</v>
      </c>
      <c r="C28" s="379">
        <f>SUM(C15:C27)</f>
        <v>10500</v>
      </c>
      <c r="D28" s="388"/>
      <c r="E28" s="388"/>
      <c r="F28" s="380"/>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C70D0-0BA3-4DC9-9589-3A49C78169B9}">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541</v>
      </c>
      <c r="B2" s="4">
        <v>1920110</v>
      </c>
      <c r="C2" s="3" t="s">
        <v>542</v>
      </c>
      <c r="D2" s="5">
        <v>3696954</v>
      </c>
      <c r="E2" s="3" t="s">
        <v>10</v>
      </c>
      <c r="F2" s="6" t="s">
        <v>10</v>
      </c>
      <c r="G2" s="5">
        <v>0</v>
      </c>
      <c r="H2" s="5">
        <v>0</v>
      </c>
    </row>
    <row r="4" spans="1:8" x14ac:dyDescent="0.3">
      <c r="A4" s="8" t="s">
        <v>11</v>
      </c>
    </row>
    <row r="6" spans="1:8" ht="16.2" thickBot="1" x14ac:dyDescent="0.35">
      <c r="A6" s="9" t="s">
        <v>12</v>
      </c>
      <c r="B6" s="10" t="s">
        <v>9</v>
      </c>
    </row>
    <row r="7" spans="1:8" ht="16.2" thickBot="1" x14ac:dyDescent="0.35">
      <c r="A7" s="11" t="s">
        <v>13</v>
      </c>
      <c r="B7" s="12">
        <v>1920110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1920110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1910</v>
      </c>
      <c r="C15" s="16">
        <v>3100</v>
      </c>
      <c r="D15" s="17" t="s">
        <v>543</v>
      </c>
      <c r="E15" s="17"/>
      <c r="F15" s="18"/>
    </row>
    <row r="16" spans="1:8" ht="16.2" thickBot="1" x14ac:dyDescent="0.35">
      <c r="A16" s="15" t="s">
        <v>25</v>
      </c>
      <c r="B16" s="12">
        <v>5300</v>
      </c>
      <c r="C16" s="12">
        <v>7500</v>
      </c>
      <c r="D16" s="19" t="s">
        <v>543</v>
      </c>
      <c r="E16" s="19"/>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2700</v>
      </c>
      <c r="C20" s="12">
        <v>3700</v>
      </c>
      <c r="D20" s="19" t="s">
        <v>543</v>
      </c>
      <c r="E20" s="19"/>
      <c r="F20" s="20"/>
    </row>
    <row r="21" spans="1:6" ht="16.2" thickBot="1" x14ac:dyDescent="0.35">
      <c r="A21" s="15" t="s">
        <v>30</v>
      </c>
      <c r="B21" s="12">
        <v>957</v>
      </c>
      <c r="C21" s="12">
        <v>2000</v>
      </c>
      <c r="D21" s="19" t="s">
        <v>543</v>
      </c>
      <c r="E21" s="19"/>
      <c r="F21" s="20"/>
    </row>
    <row r="22" spans="1:6" ht="16.2" thickBot="1" x14ac:dyDescent="0.35">
      <c r="A22" s="11" t="s">
        <v>544</v>
      </c>
      <c r="B22" s="12">
        <v>1800</v>
      </c>
      <c r="C22" s="12">
        <v>6500</v>
      </c>
      <c r="D22" s="19" t="s">
        <v>543</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12667</v>
      </c>
      <c r="C28" s="22">
        <v>22800</v>
      </c>
      <c r="D28" s="23"/>
      <c r="E28" s="23"/>
      <c r="F28" s="2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CD746-D99B-4BD9-967D-6ADF8C4CB8AA}">
  <sheetPr>
    <pageSetUpPr fitToPage="1"/>
  </sheetPr>
  <dimension ref="A1:H28"/>
  <sheetViews>
    <sheetView workbookViewId="0">
      <selection activeCell="A5" sqref="A5"/>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8</v>
      </c>
      <c r="B2" s="4">
        <v>0</v>
      </c>
      <c r="C2" s="3" t="s">
        <v>9</v>
      </c>
      <c r="D2" s="5">
        <v>3121327</v>
      </c>
      <c r="E2" s="3" t="s">
        <v>10</v>
      </c>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10214</v>
      </c>
      <c r="C8" s="7" t="s">
        <v>15</v>
      </c>
    </row>
    <row r="9" spans="1:8" ht="16.2" thickBot="1" x14ac:dyDescent="0.35">
      <c r="A9" s="11"/>
      <c r="B9" s="12">
        <v>9503</v>
      </c>
      <c r="C9" s="7" t="s">
        <v>16</v>
      </c>
    </row>
    <row r="10" spans="1:8" ht="16.2" thickBot="1" x14ac:dyDescent="0.35">
      <c r="A10" s="11"/>
      <c r="B10" s="12">
        <v>0</v>
      </c>
    </row>
    <row r="11" spans="1:8" ht="16.2" thickBot="1" x14ac:dyDescent="0.35">
      <c r="A11" s="11"/>
      <c r="B11" s="10"/>
      <c r="C11" s="12">
        <f>SUM(B7:B10)</f>
        <v>19717</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191</v>
      </c>
      <c r="C15" s="16">
        <v>0</v>
      </c>
      <c r="D15" s="17" t="s">
        <v>24</v>
      </c>
      <c r="E15" s="17"/>
      <c r="F15" s="18"/>
    </row>
    <row r="16" spans="1:8" ht="16.2" thickBot="1" x14ac:dyDescent="0.35">
      <c r="A16" s="15" t="s">
        <v>25</v>
      </c>
      <c r="B16" s="12">
        <v>1693</v>
      </c>
      <c r="C16" s="12">
        <v>0</v>
      </c>
      <c r="D16" s="19" t="s">
        <v>24</v>
      </c>
      <c r="E16" s="19"/>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2160</v>
      </c>
      <c r="C20" s="12">
        <v>2344</v>
      </c>
      <c r="D20" s="19" t="s">
        <v>24</v>
      </c>
      <c r="E20" s="19"/>
      <c r="F20" s="20"/>
    </row>
    <row r="21" spans="1:6" ht="16.2" thickBot="1" x14ac:dyDescent="0.35">
      <c r="A21" s="15" t="s">
        <v>30</v>
      </c>
      <c r="B21" s="12">
        <v>0</v>
      </c>
      <c r="C21" s="12">
        <v>150</v>
      </c>
      <c r="D21" s="19" t="s">
        <v>24</v>
      </c>
      <c r="E21" s="19"/>
      <c r="F21" s="20"/>
    </row>
    <row r="22" spans="1:6" ht="16.2" thickBot="1" x14ac:dyDescent="0.35">
      <c r="A22" s="15" t="s">
        <v>31</v>
      </c>
      <c r="B22" s="12">
        <v>1791</v>
      </c>
      <c r="C22" s="12">
        <v>4480</v>
      </c>
      <c r="D22" s="19" t="s">
        <v>24</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f>SUM(B15:B27)</f>
        <v>5835</v>
      </c>
      <c r="C28" s="22">
        <f>SUM(C15:C27)</f>
        <v>6974</v>
      </c>
      <c r="D28" s="23"/>
      <c r="E28" s="23"/>
      <c r="F28" s="24"/>
    </row>
  </sheetData>
  <pageMargins left="0.7" right="0.7" top="0.75" bottom="0.75" header="0.3" footer="0.3"/>
  <pageSetup scale="58"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67B4-F53B-4483-A622-D447F2D48A2C}">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545</v>
      </c>
      <c r="B2" s="4">
        <v>32363.95</v>
      </c>
      <c r="C2" s="3" t="s">
        <v>546</v>
      </c>
      <c r="D2" s="5"/>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c r="F11" s="62"/>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1760.97</v>
      </c>
      <c r="C16" s="16">
        <v>1760.97</v>
      </c>
      <c r="D16" s="17" t="s">
        <v>543</v>
      </c>
      <c r="E16" s="17"/>
      <c r="F16" s="18" t="s">
        <v>547</v>
      </c>
    </row>
    <row r="17" spans="1:6" ht="63" thickBot="1" x14ac:dyDescent="0.35">
      <c r="A17" s="15" t="s">
        <v>25</v>
      </c>
      <c r="B17" s="12">
        <v>7405.3</v>
      </c>
      <c r="C17" s="12">
        <v>7405.3</v>
      </c>
      <c r="D17" s="19" t="s">
        <v>543</v>
      </c>
      <c r="E17" s="19"/>
      <c r="F17" s="33" t="s">
        <v>548</v>
      </c>
    </row>
    <row r="18" spans="1:6" ht="16.2" thickBot="1" x14ac:dyDescent="0.35">
      <c r="A18" s="15" t="s">
        <v>26</v>
      </c>
      <c r="B18" s="12">
        <v>0</v>
      </c>
      <c r="C18" s="12">
        <v>0</v>
      </c>
      <c r="D18" s="19"/>
      <c r="E18" s="19"/>
      <c r="F18" s="20"/>
    </row>
    <row r="19" spans="1:6" ht="16.2" thickBot="1" x14ac:dyDescent="0.35">
      <c r="A19" s="15" t="s">
        <v>27</v>
      </c>
      <c r="B19" s="12">
        <v>1666.67</v>
      </c>
      <c r="C19" s="12">
        <v>1666.67</v>
      </c>
      <c r="D19" s="19" t="s">
        <v>543</v>
      </c>
      <c r="E19" s="19"/>
      <c r="F19" s="20" t="s">
        <v>549</v>
      </c>
    </row>
    <row r="20" spans="1:6" ht="16.2" thickBot="1" x14ac:dyDescent="0.35">
      <c r="A20" s="15" t="s">
        <v>28</v>
      </c>
      <c r="B20" s="12">
        <v>0</v>
      </c>
      <c r="C20" s="12">
        <v>0</v>
      </c>
      <c r="D20" s="19"/>
      <c r="E20" s="19"/>
      <c r="F20" s="20"/>
    </row>
    <row r="21" spans="1:6" ht="16.2" thickBot="1" x14ac:dyDescent="0.35">
      <c r="A21" s="15" t="s">
        <v>550</v>
      </c>
      <c r="B21" s="12">
        <v>20143.18</v>
      </c>
      <c r="C21" s="12">
        <v>20143.18</v>
      </c>
      <c r="D21" s="19" t="s">
        <v>24</v>
      </c>
      <c r="E21" s="19" t="s">
        <v>106</v>
      </c>
      <c r="F21" s="20" t="s">
        <v>551</v>
      </c>
    </row>
    <row r="22" spans="1:6" ht="16.2" thickBot="1" x14ac:dyDescent="0.35">
      <c r="A22" s="15" t="s">
        <v>30</v>
      </c>
      <c r="B22" s="12">
        <v>88.83</v>
      </c>
      <c r="C22" s="12">
        <v>88.83</v>
      </c>
      <c r="D22" s="19" t="s">
        <v>543</v>
      </c>
      <c r="E22" s="19"/>
      <c r="F22" s="20" t="s">
        <v>552</v>
      </c>
    </row>
    <row r="23" spans="1:6" ht="16.2" thickBot="1" x14ac:dyDescent="0.35">
      <c r="A23" s="15" t="s">
        <v>553</v>
      </c>
      <c r="B23" s="12">
        <v>779</v>
      </c>
      <c r="C23" s="12">
        <v>779</v>
      </c>
      <c r="D23" s="19"/>
      <c r="E23" s="19"/>
      <c r="F23" s="20" t="s">
        <v>554</v>
      </c>
    </row>
    <row r="24" spans="1:6" ht="31.8" thickBot="1" x14ac:dyDescent="0.35">
      <c r="A24" s="15" t="s">
        <v>555</v>
      </c>
      <c r="B24" s="12">
        <v>520</v>
      </c>
      <c r="C24" s="12">
        <v>520</v>
      </c>
      <c r="D24" s="19"/>
      <c r="E24" s="19"/>
      <c r="F24" s="33" t="s">
        <v>556</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32363.950000000004</v>
      </c>
      <c r="C29" s="22">
        <v>32363.950000000004</v>
      </c>
      <c r="D29" s="23"/>
      <c r="E29" s="23"/>
      <c r="F29" s="24"/>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6E33-050B-494C-88C2-8CEFAF0527AB}">
  <dimension ref="A1:J32"/>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59.88671875" style="372" customWidth="1"/>
    <col min="7" max="7" width="21.33203125" style="372" customWidth="1"/>
    <col min="8" max="8" width="20.6640625" style="372" customWidth="1"/>
    <col min="9" max="16384" width="9.109375" style="372"/>
  </cols>
  <sheetData>
    <row r="1" spans="1:10" s="375" customFormat="1" ht="31.8" thickBot="1" x14ac:dyDescent="0.35">
      <c r="A1" s="384" t="s">
        <v>0</v>
      </c>
      <c r="B1" s="384" t="s">
        <v>1</v>
      </c>
      <c r="C1" s="384" t="s">
        <v>2</v>
      </c>
      <c r="D1" s="384" t="s">
        <v>3</v>
      </c>
      <c r="E1" s="384" t="s">
        <v>4</v>
      </c>
      <c r="F1" s="384" t="s">
        <v>5</v>
      </c>
      <c r="G1" s="384" t="s">
        <v>6</v>
      </c>
      <c r="H1" s="384" t="s">
        <v>7</v>
      </c>
    </row>
    <row r="2" spans="1:10" ht="16.2" thickBot="1" x14ac:dyDescent="0.35">
      <c r="A2" s="389" t="s">
        <v>252</v>
      </c>
      <c r="B2" s="390">
        <v>0</v>
      </c>
      <c r="C2" s="389" t="s">
        <v>9</v>
      </c>
      <c r="D2" s="391">
        <v>4979266</v>
      </c>
      <c r="E2" s="389" t="s">
        <v>108</v>
      </c>
      <c r="F2" s="392"/>
      <c r="G2" s="391">
        <v>0</v>
      </c>
      <c r="H2" s="391">
        <v>0</v>
      </c>
      <c r="J2" s="372" t="s">
        <v>2139</v>
      </c>
    </row>
    <row r="4" spans="1:10" x14ac:dyDescent="0.3">
      <c r="A4" s="386" t="s">
        <v>11</v>
      </c>
    </row>
    <row r="6" spans="1:10" ht="16.2" thickBot="1" x14ac:dyDescent="0.35">
      <c r="A6" s="499" t="s">
        <v>12</v>
      </c>
      <c r="B6" s="10" t="s">
        <v>9</v>
      </c>
    </row>
    <row r="7" spans="1:10" ht="16.2" thickBot="1" x14ac:dyDescent="0.35">
      <c r="A7" s="498" t="s">
        <v>51</v>
      </c>
      <c r="B7" s="374">
        <v>0</v>
      </c>
      <c r="D7" s="372" t="s">
        <v>2140</v>
      </c>
    </row>
    <row r="8" spans="1:10" ht="16.2" thickBot="1" x14ac:dyDescent="0.35">
      <c r="A8" s="498" t="s">
        <v>53</v>
      </c>
      <c r="B8" s="374">
        <v>0</v>
      </c>
      <c r="D8" s="372" t="s">
        <v>2140</v>
      </c>
    </row>
    <row r="9" spans="1:10" ht="16.2" thickBot="1" x14ac:dyDescent="0.35">
      <c r="A9" s="498" t="s">
        <v>55</v>
      </c>
      <c r="B9" s="374">
        <v>0</v>
      </c>
      <c r="D9" s="372" t="s">
        <v>2141</v>
      </c>
    </row>
    <row r="10" spans="1:10" ht="16.2" thickBot="1" x14ac:dyDescent="0.35">
      <c r="A10" s="498" t="s">
        <v>57</v>
      </c>
      <c r="B10" s="374">
        <v>0</v>
      </c>
      <c r="D10" s="372" t="s">
        <v>2141</v>
      </c>
    </row>
    <row r="11" spans="1:10" ht="16.2" thickBot="1" x14ac:dyDescent="0.35">
      <c r="A11" s="498"/>
      <c r="B11" s="374">
        <v>0</v>
      </c>
    </row>
    <row r="12" spans="1:10" ht="16.2" thickBot="1" x14ac:dyDescent="0.35">
      <c r="A12" s="498"/>
      <c r="B12" s="10"/>
      <c r="C12" s="374">
        <f>SUM(B7:B11)</f>
        <v>0</v>
      </c>
    </row>
    <row r="13" spans="1:10" x14ac:dyDescent="0.3">
      <c r="A13" s="497"/>
      <c r="C13" s="10" t="s">
        <v>9</v>
      </c>
    </row>
    <row r="15" spans="1:10" ht="31.2" x14ac:dyDescent="0.3">
      <c r="A15" s="384" t="s">
        <v>17</v>
      </c>
      <c r="B15" s="385" t="s">
        <v>18</v>
      </c>
      <c r="C15" s="384" t="s">
        <v>19</v>
      </c>
      <c r="D15" s="384" t="s">
        <v>20</v>
      </c>
      <c r="E15" s="384" t="s">
        <v>21</v>
      </c>
      <c r="F15" s="384" t="s">
        <v>22</v>
      </c>
    </row>
    <row r="16" spans="1:10" ht="16.2" thickBot="1" x14ac:dyDescent="0.35">
      <c r="A16" s="496" t="s">
        <v>23</v>
      </c>
      <c r="B16" s="382">
        <v>0</v>
      </c>
      <c r="C16" s="382">
        <v>10000</v>
      </c>
      <c r="D16" s="359" t="s">
        <v>24</v>
      </c>
      <c r="E16" s="359"/>
      <c r="F16" s="383"/>
    </row>
    <row r="17" spans="1:6" ht="16.2" thickBot="1" x14ac:dyDescent="0.35">
      <c r="A17" s="496" t="s">
        <v>25</v>
      </c>
      <c r="B17" s="374">
        <v>0</v>
      </c>
      <c r="C17" s="374">
        <v>15000</v>
      </c>
      <c r="D17" s="387" t="s">
        <v>24</v>
      </c>
      <c r="E17" s="387"/>
      <c r="F17" s="377" t="s">
        <v>2142</v>
      </c>
    </row>
    <row r="18" spans="1:6" ht="16.2" thickBot="1" x14ac:dyDescent="0.35">
      <c r="A18" s="496" t="s">
        <v>26</v>
      </c>
      <c r="B18" s="374">
        <v>0</v>
      </c>
      <c r="C18" s="374">
        <v>30000</v>
      </c>
      <c r="D18" s="387" t="s">
        <v>24</v>
      </c>
      <c r="E18" s="387"/>
      <c r="F18" s="377"/>
    </row>
    <row r="19" spans="1:6" ht="16.2" thickBot="1" x14ac:dyDescent="0.35">
      <c r="A19" s="496" t="s">
        <v>27</v>
      </c>
      <c r="B19" s="374">
        <v>0</v>
      </c>
      <c r="C19" s="374">
        <v>0</v>
      </c>
      <c r="D19" s="387"/>
      <c r="E19" s="387"/>
      <c r="F19" s="377" t="s">
        <v>2143</v>
      </c>
    </row>
    <row r="20" spans="1:6" ht="16.2" thickBot="1" x14ac:dyDescent="0.35">
      <c r="A20" s="496" t="s">
        <v>28</v>
      </c>
      <c r="B20" s="374">
        <v>0</v>
      </c>
      <c r="C20" s="374">
        <v>0</v>
      </c>
      <c r="D20" s="387"/>
      <c r="E20" s="387"/>
      <c r="F20" s="377" t="s">
        <v>63</v>
      </c>
    </row>
    <row r="21" spans="1:6" ht="16.2" thickBot="1" x14ac:dyDescent="0.35">
      <c r="A21" s="496" t="s">
        <v>29</v>
      </c>
      <c r="B21" s="374">
        <v>0</v>
      </c>
      <c r="C21" s="374">
        <v>2500</v>
      </c>
      <c r="D21" s="387" t="s">
        <v>24</v>
      </c>
      <c r="E21" s="387"/>
      <c r="F21" s="377"/>
    </row>
    <row r="22" spans="1:6" ht="16.2" thickBot="1" x14ac:dyDescent="0.35">
      <c r="A22" s="496" t="s">
        <v>30</v>
      </c>
      <c r="B22" s="374">
        <v>0</v>
      </c>
      <c r="C22" s="374">
        <v>8000</v>
      </c>
      <c r="D22" s="387" t="s">
        <v>24</v>
      </c>
      <c r="E22" s="387"/>
      <c r="F22" s="377"/>
    </row>
    <row r="23" spans="1:6" ht="16.2" thickBot="1" x14ac:dyDescent="0.35">
      <c r="A23" s="496" t="s">
        <v>1429</v>
      </c>
      <c r="B23" s="374">
        <v>14421</v>
      </c>
      <c r="C23" s="374">
        <v>30000</v>
      </c>
      <c r="D23" s="387" t="s">
        <v>24</v>
      </c>
      <c r="E23" s="387"/>
      <c r="F23" s="377" t="s">
        <v>2144</v>
      </c>
    </row>
    <row r="24" spans="1:6" ht="16.2" thickBot="1" x14ac:dyDescent="0.35">
      <c r="A24" s="496" t="s">
        <v>2145</v>
      </c>
      <c r="B24" s="374">
        <v>0</v>
      </c>
      <c r="C24" s="374">
        <v>10000</v>
      </c>
      <c r="D24" s="387" t="s">
        <v>24</v>
      </c>
      <c r="E24" s="387"/>
      <c r="F24" s="377"/>
    </row>
    <row r="25" spans="1:6" ht="16.2" thickBot="1" x14ac:dyDescent="0.35">
      <c r="A25" s="496" t="s">
        <v>2146</v>
      </c>
      <c r="B25" s="374">
        <v>0</v>
      </c>
      <c r="C25" s="374">
        <v>20000</v>
      </c>
      <c r="D25" s="387" t="s">
        <v>24</v>
      </c>
      <c r="E25" s="387"/>
      <c r="F25" s="377"/>
    </row>
    <row r="26" spans="1:6" ht="16.2" thickBot="1" x14ac:dyDescent="0.35">
      <c r="A26" s="498"/>
      <c r="B26" s="374">
        <v>0</v>
      </c>
      <c r="C26" s="374">
        <v>0</v>
      </c>
      <c r="D26" s="387"/>
      <c r="E26" s="387"/>
      <c r="F26" s="377"/>
    </row>
    <row r="27" spans="1:6" ht="16.2" thickBot="1" x14ac:dyDescent="0.35">
      <c r="A27" s="498"/>
      <c r="B27" s="374">
        <v>0</v>
      </c>
      <c r="C27" s="374">
        <v>0</v>
      </c>
      <c r="D27" s="387"/>
      <c r="E27" s="387"/>
      <c r="F27" s="377"/>
    </row>
    <row r="28" spans="1:6" ht="16.2" thickBot="1" x14ac:dyDescent="0.35">
      <c r="A28" s="378"/>
      <c r="B28" s="374">
        <v>0</v>
      </c>
      <c r="C28" s="374">
        <v>0</v>
      </c>
      <c r="D28" s="387"/>
      <c r="E28" s="387"/>
      <c r="F28" s="377"/>
    </row>
    <row r="29" spans="1:6" ht="16.2" thickBot="1" x14ac:dyDescent="0.35">
      <c r="A29" s="497" t="s">
        <v>32</v>
      </c>
      <c r="B29" s="379">
        <f>SUM(B16:B28)</f>
        <v>14421</v>
      </c>
      <c r="C29" s="379">
        <f>SUM(C16:C28)</f>
        <v>125500</v>
      </c>
      <c r="D29" s="388"/>
      <c r="E29" s="388"/>
      <c r="F29" s="377"/>
    </row>
    <row r="30" spans="1:6" x14ac:dyDescent="0.3">
      <c r="C30" s="372">
        <v>-10000</v>
      </c>
    </row>
    <row r="31" spans="1:6" x14ac:dyDescent="0.3">
      <c r="C31" s="372">
        <v>-20000</v>
      </c>
    </row>
    <row r="32" spans="1:6" x14ac:dyDescent="0.3">
      <c r="C32" s="396">
        <f>SUM(C29:C31)</f>
        <v>95500</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B0CD-EE8A-430C-9C5B-9F4C49E2317B}">
  <dimension ref="A1:H32"/>
  <sheetViews>
    <sheetView topLeftCell="A10" workbookViewId="0">
      <selection activeCell="E11" sqref="E11:J11"/>
    </sheetView>
  </sheetViews>
  <sheetFormatPr defaultColWidth="9.109375" defaultRowHeight="15.6" x14ac:dyDescent="0.3"/>
  <cols>
    <col min="1" max="1" width="54.88671875" style="372"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2286</v>
      </c>
      <c r="B2" s="390"/>
      <c r="C2" s="389"/>
      <c r="D2" s="391">
        <v>5713344</v>
      </c>
      <c r="E2" s="389" t="s">
        <v>10</v>
      </c>
      <c r="F2" s="392"/>
      <c r="G2" s="391">
        <v>0</v>
      </c>
      <c r="H2" s="391">
        <v>0</v>
      </c>
    </row>
    <row r="4" spans="1:8" x14ac:dyDescent="0.3">
      <c r="A4" s="386" t="s">
        <v>11</v>
      </c>
    </row>
    <row r="6" spans="1:8" ht="16.2" thickBot="1" x14ac:dyDescent="0.35">
      <c r="A6" s="549" t="s">
        <v>12</v>
      </c>
      <c r="B6" s="10" t="s">
        <v>9</v>
      </c>
    </row>
    <row r="7" spans="1:8" ht="16.2" thickBot="1" x14ac:dyDescent="0.35">
      <c r="A7" s="548" t="s">
        <v>51</v>
      </c>
      <c r="B7" s="374">
        <v>0</v>
      </c>
    </row>
    <row r="8" spans="1:8" ht="16.2" thickBot="1" x14ac:dyDescent="0.35">
      <c r="A8" s="548" t="s">
        <v>53</v>
      </c>
      <c r="B8" s="374">
        <v>0</v>
      </c>
    </row>
    <row r="9" spans="1:8" ht="16.2" thickBot="1" x14ac:dyDescent="0.35">
      <c r="A9" s="548" t="s">
        <v>55</v>
      </c>
      <c r="B9" s="374">
        <v>71003</v>
      </c>
    </row>
    <row r="10" spans="1:8" ht="16.2" thickBot="1" x14ac:dyDescent="0.35">
      <c r="A10" s="548" t="s">
        <v>57</v>
      </c>
      <c r="B10" s="374">
        <v>17092</v>
      </c>
    </row>
    <row r="11" spans="1:8" ht="16.2" thickBot="1" x14ac:dyDescent="0.35">
      <c r="A11" s="548"/>
      <c r="B11" s="374">
        <v>0</v>
      </c>
    </row>
    <row r="12" spans="1:8" ht="16.2" thickBot="1" x14ac:dyDescent="0.35">
      <c r="A12" s="548"/>
      <c r="B12" s="10"/>
      <c r="C12" s="374">
        <f>SUM(B7:B11)</f>
        <v>88095</v>
      </c>
    </row>
    <row r="13" spans="1:8" x14ac:dyDescent="0.3">
      <c r="A13" s="547"/>
      <c r="C13" s="10" t="s">
        <v>9</v>
      </c>
    </row>
    <row r="15" spans="1:8" ht="31.2" x14ac:dyDescent="0.3">
      <c r="A15" s="384" t="s">
        <v>17</v>
      </c>
      <c r="B15" s="385" t="s">
        <v>18</v>
      </c>
      <c r="C15" s="384" t="s">
        <v>19</v>
      </c>
      <c r="D15" s="384" t="s">
        <v>20</v>
      </c>
      <c r="E15" s="384" t="s">
        <v>21</v>
      </c>
      <c r="F15" s="384" t="s">
        <v>22</v>
      </c>
    </row>
    <row r="16" spans="1:8" ht="16.2" thickBot="1" x14ac:dyDescent="0.35">
      <c r="A16" s="546" t="s">
        <v>23</v>
      </c>
      <c r="B16" s="382">
        <f>26.99</f>
        <v>26.99</v>
      </c>
      <c r="C16" s="382">
        <v>0</v>
      </c>
      <c r="D16" s="397" t="s">
        <v>24</v>
      </c>
      <c r="E16" s="359"/>
      <c r="F16" s="383"/>
    </row>
    <row r="17" spans="1:6" ht="16.2" thickBot="1" x14ac:dyDescent="0.35">
      <c r="A17" s="546" t="s">
        <v>25</v>
      </c>
      <c r="B17" s="374">
        <f>4094.32+674.61+3446.91+60+177.15+319.13+893.33</f>
        <v>9665.4499999999989</v>
      </c>
      <c r="C17" s="374">
        <v>2500</v>
      </c>
      <c r="D17" s="394" t="s">
        <v>24</v>
      </c>
      <c r="E17" s="387"/>
      <c r="F17" s="377"/>
    </row>
    <row r="18" spans="1:6" ht="16.2" thickBot="1" x14ac:dyDescent="0.35">
      <c r="A18" s="546" t="s">
        <v>26</v>
      </c>
      <c r="B18" s="374">
        <v>0</v>
      </c>
      <c r="C18" s="374">
        <v>0</v>
      </c>
      <c r="D18" s="394"/>
      <c r="E18" s="387"/>
      <c r="F18" s="377"/>
    </row>
    <row r="19" spans="1:6" ht="16.2" thickBot="1" x14ac:dyDescent="0.35">
      <c r="A19" s="546" t="s">
        <v>27</v>
      </c>
      <c r="B19" s="374">
        <v>0</v>
      </c>
      <c r="C19" s="374">
        <v>0</v>
      </c>
      <c r="D19" s="394"/>
      <c r="E19" s="387"/>
      <c r="F19" s="377"/>
    </row>
    <row r="20" spans="1:6" ht="16.2" thickBot="1" x14ac:dyDescent="0.35">
      <c r="A20" s="546" t="s">
        <v>28</v>
      </c>
      <c r="B20" s="374">
        <v>0</v>
      </c>
      <c r="C20" s="374">
        <v>0</v>
      </c>
      <c r="D20" s="394"/>
      <c r="E20" s="387"/>
      <c r="F20" s="377"/>
    </row>
    <row r="21" spans="1:6" ht="16.2" thickBot="1" x14ac:dyDescent="0.35">
      <c r="A21" s="546" t="s">
        <v>29</v>
      </c>
      <c r="B21" s="374">
        <v>0</v>
      </c>
      <c r="C21" s="374">
        <v>0</v>
      </c>
      <c r="D21" s="394"/>
      <c r="E21" s="387"/>
      <c r="F21" s="377"/>
    </row>
    <row r="22" spans="1:6" ht="16.2" thickBot="1" x14ac:dyDescent="0.35">
      <c r="A22" s="546" t="s">
        <v>30</v>
      </c>
      <c r="B22" s="374">
        <f>372.12+158+61.68</f>
        <v>591.79999999999995</v>
      </c>
      <c r="C22" s="374">
        <v>0</v>
      </c>
      <c r="D22" s="394" t="s">
        <v>24</v>
      </c>
      <c r="E22" s="387"/>
      <c r="F22" s="377"/>
    </row>
    <row r="23" spans="1:6" ht="16.2" thickBot="1" x14ac:dyDescent="0.35">
      <c r="A23" s="548" t="s">
        <v>2287</v>
      </c>
      <c r="B23" s="374"/>
      <c r="C23" s="374">
        <v>0</v>
      </c>
      <c r="D23" s="394"/>
      <c r="E23" s="387"/>
      <c r="F23" s="377"/>
    </row>
    <row r="24" spans="1:6" ht="16.2" thickBot="1" x14ac:dyDescent="0.35">
      <c r="A24" s="548" t="s">
        <v>2288</v>
      </c>
      <c r="B24" s="374">
        <v>1907</v>
      </c>
      <c r="C24" s="374">
        <v>0</v>
      </c>
      <c r="D24" s="394" t="s">
        <v>24</v>
      </c>
      <c r="E24" s="387"/>
      <c r="F24" s="377"/>
    </row>
    <row r="25" spans="1:6" ht="16.2" thickBot="1" x14ac:dyDescent="0.35">
      <c r="A25" s="548"/>
      <c r="B25" s="374">
        <v>0</v>
      </c>
      <c r="C25" s="374">
        <v>0</v>
      </c>
      <c r="D25" s="394"/>
      <c r="E25" s="387"/>
      <c r="F25" s="377"/>
    </row>
    <row r="26" spans="1:6" ht="16.2" thickBot="1" x14ac:dyDescent="0.35">
      <c r="A26" s="548"/>
      <c r="B26" s="374">
        <v>0</v>
      </c>
      <c r="C26" s="374">
        <v>0</v>
      </c>
      <c r="D26" s="394"/>
      <c r="E26" s="387"/>
      <c r="F26" s="377"/>
    </row>
    <row r="27" spans="1:6" ht="16.2" thickBot="1" x14ac:dyDescent="0.35">
      <c r="A27" s="548"/>
      <c r="B27" s="374">
        <v>0</v>
      </c>
      <c r="C27" s="374">
        <v>0</v>
      </c>
      <c r="D27" s="394"/>
      <c r="E27" s="387"/>
      <c r="F27" s="377"/>
    </row>
    <row r="28" spans="1:6" ht="16.2" thickBot="1" x14ac:dyDescent="0.35">
      <c r="A28" s="378"/>
      <c r="B28" s="374">
        <v>0</v>
      </c>
      <c r="C28" s="374">
        <v>0</v>
      </c>
      <c r="D28" s="387"/>
      <c r="E28" s="387"/>
      <c r="F28" s="377"/>
    </row>
    <row r="29" spans="1:6" ht="16.2" thickBot="1" x14ac:dyDescent="0.35">
      <c r="A29" s="547" t="s">
        <v>32</v>
      </c>
      <c r="B29" s="379">
        <f>SUM(B16:B28)</f>
        <v>12191.239999999998</v>
      </c>
      <c r="C29" s="379">
        <f>SUM(C16:C28)</f>
        <v>2500</v>
      </c>
      <c r="D29" s="388"/>
      <c r="E29" s="388"/>
      <c r="F29" s="380"/>
    </row>
    <row r="31" spans="1:6" x14ac:dyDescent="0.3">
      <c r="C31" s="396">
        <f>SUM(B29:C29)</f>
        <v>14691.239999999998</v>
      </c>
    </row>
    <row r="32" spans="1:6" x14ac:dyDescent="0.3">
      <c r="C32" s="372" t="s">
        <v>2320</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B5E5-8291-4177-9714-8A54265205F5}">
  <dimension ref="A1:H32"/>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557</v>
      </c>
      <c r="B2" s="4">
        <v>-950000</v>
      </c>
      <c r="C2" s="3" t="s">
        <v>558</v>
      </c>
      <c r="D2" s="5">
        <v>24410000</v>
      </c>
      <c r="E2" s="3" t="s">
        <v>10</v>
      </c>
      <c r="F2" s="6" t="s">
        <v>559</v>
      </c>
      <c r="G2" s="5">
        <v>0</v>
      </c>
      <c r="H2" s="5">
        <v>0</v>
      </c>
    </row>
    <row r="3" spans="1:8" x14ac:dyDescent="0.3">
      <c r="E3" s="7" t="s">
        <v>560</v>
      </c>
    </row>
    <row r="4" spans="1:8" x14ac:dyDescent="0.3">
      <c r="A4" s="8" t="s">
        <v>11</v>
      </c>
      <c r="E4" s="7" t="s">
        <v>561</v>
      </c>
    </row>
    <row r="6" spans="1:8" ht="16.2" thickBot="1" x14ac:dyDescent="0.35">
      <c r="A6" s="9" t="s">
        <v>12</v>
      </c>
      <c r="B6" s="10" t="s">
        <v>9</v>
      </c>
    </row>
    <row r="7" spans="1:8" ht="16.2" thickBot="1" x14ac:dyDescent="0.35">
      <c r="A7" s="11" t="s">
        <v>51</v>
      </c>
      <c r="B7" s="12">
        <v>0</v>
      </c>
      <c r="C7" s="7" t="s">
        <v>105</v>
      </c>
    </row>
    <row r="8" spans="1:8" ht="16.2" thickBot="1" x14ac:dyDescent="0.35">
      <c r="A8" s="11" t="s">
        <v>53</v>
      </c>
      <c r="B8" s="12"/>
      <c r="C8" s="7" t="s">
        <v>562</v>
      </c>
    </row>
    <row r="9" spans="1:8" ht="16.2" thickBot="1" x14ac:dyDescent="0.35">
      <c r="A9" s="11" t="s">
        <v>55</v>
      </c>
      <c r="B9" s="12">
        <v>0</v>
      </c>
      <c r="C9" s="7" t="s">
        <v>105</v>
      </c>
    </row>
    <row r="10" spans="1:8" ht="16.2" thickBot="1" x14ac:dyDescent="0.35">
      <c r="A10" s="11" t="s">
        <v>57</v>
      </c>
      <c r="B10" s="12">
        <v>0</v>
      </c>
      <c r="C10" s="7" t="s">
        <v>105</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8030.69</v>
      </c>
      <c r="C16" s="16">
        <v>16061.38</v>
      </c>
      <c r="D16" s="29" t="s">
        <v>24</v>
      </c>
      <c r="E16" s="29" t="s">
        <v>180</v>
      </c>
      <c r="F16" s="18"/>
    </row>
    <row r="17" spans="1:6" ht="16.2" thickBot="1" x14ac:dyDescent="0.35">
      <c r="A17" s="15" t="s">
        <v>25</v>
      </c>
      <c r="B17" s="12">
        <v>67084.070000000007</v>
      </c>
      <c r="C17" s="12">
        <v>323584.07</v>
      </c>
      <c r="D17" s="30" t="s">
        <v>24</v>
      </c>
      <c r="E17" s="29" t="s">
        <v>180</v>
      </c>
      <c r="F17" s="20"/>
    </row>
    <row r="18" spans="1:6" ht="16.2" thickBot="1" x14ac:dyDescent="0.35">
      <c r="A18" s="15" t="s">
        <v>26</v>
      </c>
      <c r="B18" s="12">
        <v>0</v>
      </c>
      <c r="C18" s="12">
        <v>38500</v>
      </c>
      <c r="D18" s="30" t="s">
        <v>24</v>
      </c>
      <c r="E18" s="29" t="s">
        <v>180</v>
      </c>
      <c r="F18" s="20"/>
    </row>
    <row r="19" spans="1:6" ht="16.2" thickBot="1" x14ac:dyDescent="0.35">
      <c r="A19" s="15" t="s">
        <v>27</v>
      </c>
      <c r="B19" s="12">
        <v>0</v>
      </c>
      <c r="C19" s="12">
        <v>2000</v>
      </c>
      <c r="D19" s="30" t="s">
        <v>24</v>
      </c>
      <c r="E19" s="29" t="s">
        <v>180</v>
      </c>
      <c r="F19" s="20"/>
    </row>
    <row r="20" spans="1:6" ht="16.2" thickBot="1" x14ac:dyDescent="0.35">
      <c r="A20" s="15" t="s">
        <v>28</v>
      </c>
      <c r="B20" s="12">
        <v>0</v>
      </c>
      <c r="C20" s="12">
        <v>0</v>
      </c>
      <c r="D20" s="30"/>
      <c r="E20" s="29"/>
      <c r="F20" s="20"/>
    </row>
    <row r="21" spans="1:6" ht="16.2" thickBot="1" x14ac:dyDescent="0.35">
      <c r="A21" s="15" t="s">
        <v>29</v>
      </c>
      <c r="B21" s="12">
        <v>176444.55</v>
      </c>
      <c r="C21" s="12">
        <v>466060.17</v>
      </c>
      <c r="D21" s="30" t="s">
        <v>24</v>
      </c>
      <c r="E21" s="29" t="s">
        <v>180</v>
      </c>
      <c r="F21" s="20"/>
    </row>
    <row r="22" spans="1:6" ht="16.2" thickBot="1" x14ac:dyDescent="0.35">
      <c r="A22" s="15" t="s">
        <v>30</v>
      </c>
      <c r="B22" s="12">
        <v>19855.34</v>
      </c>
      <c r="C22" s="12">
        <v>39710</v>
      </c>
      <c r="D22" s="30" t="s">
        <v>24</v>
      </c>
      <c r="E22" s="29" t="s">
        <v>180</v>
      </c>
      <c r="F22" s="20"/>
    </row>
    <row r="23" spans="1:6" ht="16.2" thickBot="1" x14ac:dyDescent="0.35">
      <c r="A23" s="15" t="s">
        <v>563</v>
      </c>
      <c r="B23" s="12">
        <v>4648.22</v>
      </c>
      <c r="C23" s="12">
        <v>9296</v>
      </c>
      <c r="D23" s="30" t="s">
        <v>24</v>
      </c>
      <c r="E23" s="29" t="s">
        <v>180</v>
      </c>
      <c r="F23" s="20"/>
    </row>
    <row r="24" spans="1:6" ht="16.2" thickBot="1" x14ac:dyDescent="0.35">
      <c r="A24" s="11"/>
      <c r="B24" s="12">
        <v>0</v>
      </c>
      <c r="C24" s="12">
        <v>0</v>
      </c>
      <c r="D24" s="30"/>
      <c r="E24" s="29"/>
      <c r="F24" s="20"/>
    </row>
    <row r="25" spans="1:6" ht="16.2" thickBot="1" x14ac:dyDescent="0.35">
      <c r="A25" s="11"/>
      <c r="B25" s="12">
        <v>0</v>
      </c>
      <c r="C25" s="12">
        <v>0</v>
      </c>
      <c r="D25" s="30"/>
      <c r="E25" s="29"/>
      <c r="F25" s="20"/>
    </row>
    <row r="26" spans="1:6" ht="16.2" thickBot="1" x14ac:dyDescent="0.35">
      <c r="A26" s="11"/>
      <c r="B26" s="12">
        <v>0</v>
      </c>
      <c r="C26" s="12">
        <v>0</v>
      </c>
      <c r="D26" s="30"/>
      <c r="E26" s="29"/>
      <c r="F26" s="20"/>
    </row>
    <row r="27" spans="1:6" ht="16.2" thickBot="1" x14ac:dyDescent="0.35">
      <c r="A27" s="11"/>
      <c r="B27" s="12">
        <v>0</v>
      </c>
      <c r="C27" s="12">
        <v>0</v>
      </c>
      <c r="D27" s="30"/>
      <c r="E27" s="29"/>
      <c r="F27" s="20"/>
    </row>
    <row r="28" spans="1:6" ht="16.2" thickBot="1" x14ac:dyDescent="0.35">
      <c r="A28" s="21"/>
      <c r="B28" s="12">
        <v>0</v>
      </c>
      <c r="C28" s="12">
        <v>0</v>
      </c>
      <c r="D28" s="30"/>
      <c r="E28" s="29"/>
      <c r="F28" s="20"/>
    </row>
    <row r="29" spans="1:6" ht="16.2" thickBot="1" x14ac:dyDescent="0.35">
      <c r="A29" s="13" t="s">
        <v>32</v>
      </c>
      <c r="B29" s="22">
        <v>276062.87</v>
      </c>
      <c r="C29" s="22">
        <v>895211.62</v>
      </c>
      <c r="D29" s="34"/>
      <c r="E29" s="23"/>
      <c r="F29" s="24"/>
    </row>
    <row r="30" spans="1:6" x14ac:dyDescent="0.3">
      <c r="D30" s="11"/>
    </row>
    <row r="31" spans="1:6" x14ac:dyDescent="0.3">
      <c r="B31" s="7" t="s">
        <v>2502</v>
      </c>
      <c r="C31" s="7">
        <v>-215000</v>
      </c>
    </row>
    <row r="32" spans="1:6" x14ac:dyDescent="0.3">
      <c r="B32" s="7" t="s">
        <v>2503</v>
      </c>
      <c r="C32" s="396">
        <f>SUM(C29:C31)</f>
        <v>680211.62</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37BA-B83A-4B9F-9988-5EE49DE8A346}">
  <dimension ref="A1:H28"/>
  <sheetViews>
    <sheetView topLeftCell="A19"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109375" style="11" customWidth="1"/>
    <col min="5" max="5" width="30.88671875" style="7" customWidth="1"/>
    <col min="6" max="6" width="28.109375" style="7" customWidth="1"/>
    <col min="7" max="7" width="21.109375" style="7" customWidth="1"/>
    <col min="8" max="8" width="20.8867187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564</v>
      </c>
      <c r="B2" s="4">
        <v>-859498</v>
      </c>
      <c r="C2" s="3" t="s">
        <v>565</v>
      </c>
      <c r="D2" s="5">
        <v>4663184</v>
      </c>
      <c r="E2" s="3" t="s">
        <v>423</v>
      </c>
      <c r="F2" s="6" t="s">
        <v>566</v>
      </c>
      <c r="G2" s="5">
        <v>-587376</v>
      </c>
      <c r="H2" s="5">
        <v>-1901907</v>
      </c>
    </row>
    <row r="4" spans="1:8" x14ac:dyDescent="0.3">
      <c r="A4" s="8" t="s">
        <v>11</v>
      </c>
    </row>
    <row r="5" spans="1:8" x14ac:dyDescent="0.3">
      <c r="C5" s="62"/>
    </row>
    <row r="6" spans="1:8" ht="16.2" thickBot="1" x14ac:dyDescent="0.35">
      <c r="A6" s="9" t="s">
        <v>12</v>
      </c>
      <c r="B6" s="10" t="s">
        <v>9</v>
      </c>
      <c r="C6" s="62"/>
      <c r="G6" s="62"/>
    </row>
    <row r="7" spans="1:8" ht="16.2" thickBot="1" x14ac:dyDescent="0.35">
      <c r="A7" s="11" t="s">
        <v>13</v>
      </c>
      <c r="B7" s="12">
        <v>0</v>
      </c>
      <c r="G7" s="62"/>
    </row>
    <row r="8" spans="1:8" ht="16.2" thickBot="1" x14ac:dyDescent="0.35">
      <c r="A8" s="11" t="s">
        <v>14</v>
      </c>
      <c r="B8" s="12">
        <v>220000</v>
      </c>
    </row>
    <row r="9" spans="1:8" ht="16.2" thickBot="1" x14ac:dyDescent="0.35">
      <c r="A9" s="11" t="s">
        <v>567</v>
      </c>
      <c r="B9" s="12">
        <v>639498</v>
      </c>
    </row>
    <row r="10" spans="1:8" ht="16.2" thickBot="1" x14ac:dyDescent="0.35">
      <c r="A10" s="11"/>
      <c r="B10" s="12">
        <v>0</v>
      </c>
    </row>
    <row r="11" spans="1:8" ht="16.2" thickBot="1" x14ac:dyDescent="0.35">
      <c r="A11" s="11"/>
      <c r="B11" s="10"/>
      <c r="C11" s="12">
        <v>859498</v>
      </c>
    </row>
    <row r="12" spans="1:8" x14ac:dyDescent="0.3">
      <c r="A12" s="13"/>
      <c r="C12" s="10" t="s">
        <v>9</v>
      </c>
    </row>
    <row r="14" spans="1:8" ht="31.2" x14ac:dyDescent="0.3">
      <c r="A14" s="1" t="s">
        <v>17</v>
      </c>
      <c r="B14" s="122" t="s">
        <v>18</v>
      </c>
      <c r="C14" s="123" t="s">
        <v>19</v>
      </c>
      <c r="D14" s="123" t="s">
        <v>20</v>
      </c>
      <c r="E14" s="123" t="s">
        <v>21</v>
      </c>
      <c r="F14" s="123" t="s">
        <v>22</v>
      </c>
    </row>
    <row r="15" spans="1:8" ht="84" x14ac:dyDescent="0.3">
      <c r="A15" s="15" t="s">
        <v>23</v>
      </c>
      <c r="B15" s="124">
        <v>14502.369999999999</v>
      </c>
      <c r="C15" s="124">
        <v>29502.37</v>
      </c>
      <c r="D15" s="125" t="s">
        <v>24</v>
      </c>
      <c r="E15" s="126" t="s">
        <v>568</v>
      </c>
      <c r="F15" s="127" t="s">
        <v>569</v>
      </c>
    </row>
    <row r="16" spans="1:8" ht="120" x14ac:dyDescent="0.3">
      <c r="A16" s="15" t="s">
        <v>25</v>
      </c>
      <c r="B16" s="124">
        <v>12153.050000000001</v>
      </c>
      <c r="C16" s="124">
        <v>27153.050000000003</v>
      </c>
      <c r="D16" s="125" t="s">
        <v>24</v>
      </c>
      <c r="E16" s="126" t="s">
        <v>570</v>
      </c>
      <c r="F16" s="127" t="s">
        <v>571</v>
      </c>
    </row>
    <row r="17" spans="1:6" ht="24.6" x14ac:dyDescent="0.3">
      <c r="A17" s="15" t="s">
        <v>26</v>
      </c>
      <c r="B17" s="124">
        <v>9139.7999999999993</v>
      </c>
      <c r="C17" s="124">
        <v>9139.7999999999993</v>
      </c>
      <c r="D17" s="125" t="s">
        <v>24</v>
      </c>
      <c r="E17" s="126" t="s">
        <v>570</v>
      </c>
      <c r="F17" s="128" t="s">
        <v>572</v>
      </c>
    </row>
    <row r="18" spans="1:6" x14ac:dyDescent="0.3">
      <c r="A18" s="15" t="s">
        <v>27</v>
      </c>
      <c r="B18" s="124">
        <v>0</v>
      </c>
      <c r="C18" s="124">
        <v>0</v>
      </c>
      <c r="D18" s="125"/>
      <c r="E18" s="126"/>
      <c r="F18" s="129"/>
    </row>
    <row r="19" spans="1:6" x14ac:dyDescent="0.3">
      <c r="A19" s="15" t="s">
        <v>28</v>
      </c>
      <c r="B19" s="124">
        <v>0</v>
      </c>
      <c r="C19" s="124">
        <v>0</v>
      </c>
      <c r="D19" s="125"/>
      <c r="E19" s="126" t="s">
        <v>573</v>
      </c>
      <c r="F19" s="129"/>
    </row>
    <row r="20" spans="1:6" x14ac:dyDescent="0.3">
      <c r="A20" s="15" t="s">
        <v>29</v>
      </c>
      <c r="B20" s="124">
        <v>119850.43</v>
      </c>
      <c r="C20" s="124">
        <v>298457.71999999997</v>
      </c>
      <c r="D20" s="125"/>
      <c r="E20" s="126" t="s">
        <v>570</v>
      </c>
      <c r="F20" s="129"/>
    </row>
    <row r="21" spans="1:6" ht="60.6" x14ac:dyDescent="0.3">
      <c r="A21" s="15" t="s">
        <v>30</v>
      </c>
      <c r="B21" s="124">
        <v>75780.390000000014</v>
      </c>
      <c r="C21" s="124">
        <v>90780.390000000014</v>
      </c>
      <c r="D21" s="125" t="s">
        <v>24</v>
      </c>
      <c r="E21" s="126" t="s">
        <v>574</v>
      </c>
      <c r="F21" s="130" t="s">
        <v>575</v>
      </c>
    </row>
    <row r="22" spans="1:6" x14ac:dyDescent="0.3">
      <c r="A22" s="11"/>
      <c r="B22" s="124">
        <v>0</v>
      </c>
      <c r="C22" s="124">
        <v>0</v>
      </c>
      <c r="D22" s="125"/>
      <c r="E22" s="126"/>
      <c r="F22" s="129"/>
    </row>
    <row r="23" spans="1:6" x14ac:dyDescent="0.3">
      <c r="A23" s="11"/>
      <c r="B23" s="124">
        <v>0</v>
      </c>
      <c r="C23" s="124">
        <v>0</v>
      </c>
      <c r="D23" s="125"/>
      <c r="E23" s="126"/>
      <c r="F23" s="129"/>
    </row>
    <row r="24" spans="1:6" x14ac:dyDescent="0.3">
      <c r="A24" s="11"/>
      <c r="B24" s="124">
        <v>0</v>
      </c>
      <c r="C24" s="124">
        <v>0</v>
      </c>
      <c r="D24" s="125"/>
      <c r="E24" s="126"/>
      <c r="F24" s="129"/>
    </row>
    <row r="25" spans="1:6" x14ac:dyDescent="0.3">
      <c r="A25" s="11"/>
      <c r="B25" s="124">
        <v>0</v>
      </c>
      <c r="C25" s="124">
        <v>0</v>
      </c>
      <c r="D25" s="125"/>
      <c r="E25" s="126"/>
      <c r="F25" s="129"/>
    </row>
    <row r="26" spans="1:6" x14ac:dyDescent="0.3">
      <c r="A26" s="11"/>
      <c r="B26" s="124">
        <v>0</v>
      </c>
      <c r="C26" s="124">
        <v>0</v>
      </c>
      <c r="D26" s="125"/>
      <c r="E26" s="126"/>
      <c r="F26" s="129"/>
    </row>
    <row r="27" spans="1:6" ht="16.2" thickBot="1" x14ac:dyDescent="0.35">
      <c r="A27" s="131"/>
      <c r="B27" s="124">
        <v>0</v>
      </c>
      <c r="C27" s="124">
        <v>0</v>
      </c>
      <c r="D27" s="125"/>
      <c r="E27" s="126"/>
      <c r="F27" s="129"/>
    </row>
    <row r="28" spans="1:6" x14ac:dyDescent="0.3">
      <c r="A28" s="13" t="s">
        <v>32</v>
      </c>
      <c r="B28" s="132">
        <v>231426.04</v>
      </c>
      <c r="C28" s="132">
        <v>455033.32999999996</v>
      </c>
      <c r="D28" s="133"/>
      <c r="E28" s="134"/>
      <c r="F28" s="135"/>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6DF3D-0DBE-4E02-B93B-0270ABB30AFC}">
  <dimension ref="A1:H35"/>
  <sheetViews>
    <sheetView topLeftCell="A13" workbookViewId="0">
      <selection activeCell="C35" sqref="C35"/>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95" t="s">
        <v>1944</v>
      </c>
      <c r="B2" s="390">
        <v>730518</v>
      </c>
      <c r="C2" s="389" t="s">
        <v>1945</v>
      </c>
      <c r="D2" s="391">
        <v>6261611</v>
      </c>
      <c r="E2" s="389" t="s">
        <v>1946</v>
      </c>
      <c r="F2" s="392" t="s">
        <v>1947</v>
      </c>
      <c r="G2" s="391">
        <v>0</v>
      </c>
      <c r="H2" s="391">
        <v>0</v>
      </c>
    </row>
    <row r="4" spans="1:8" x14ac:dyDescent="0.3">
      <c r="A4" s="386" t="s">
        <v>11</v>
      </c>
    </row>
    <row r="6" spans="1:8" ht="16.2" thickBot="1" x14ac:dyDescent="0.35">
      <c r="A6" s="381" t="s">
        <v>12</v>
      </c>
      <c r="B6" s="10" t="s">
        <v>9</v>
      </c>
    </row>
    <row r="7" spans="1:8" ht="16.2" thickBot="1" x14ac:dyDescent="0.35">
      <c r="A7" s="373" t="s">
        <v>51</v>
      </c>
      <c r="B7" s="374">
        <v>0</v>
      </c>
    </row>
    <row r="8" spans="1:8" ht="16.2" thickBot="1" x14ac:dyDescent="0.35">
      <c r="A8" s="373" t="s">
        <v>53</v>
      </c>
      <c r="B8" s="374">
        <v>27739.08</v>
      </c>
    </row>
    <row r="9" spans="1:8" ht="16.2" thickBot="1" x14ac:dyDescent="0.35">
      <c r="A9" s="373" t="s">
        <v>55</v>
      </c>
      <c r="B9" s="374">
        <v>0</v>
      </c>
    </row>
    <row r="10" spans="1:8" ht="16.2" thickBot="1" x14ac:dyDescent="0.35">
      <c r="A10" s="373" t="s">
        <v>57</v>
      </c>
      <c r="B10" s="374">
        <v>0</v>
      </c>
    </row>
    <row r="11" spans="1:8" ht="16.2" thickBot="1" x14ac:dyDescent="0.35">
      <c r="A11" s="373"/>
      <c r="B11" s="374">
        <v>0</v>
      </c>
    </row>
    <row r="12" spans="1:8" ht="16.2" thickBot="1" x14ac:dyDescent="0.35">
      <c r="A12" s="373"/>
      <c r="B12" s="10"/>
      <c r="C12" s="374">
        <f>SUM(B7:B11)</f>
        <v>27739.08</v>
      </c>
    </row>
    <row r="13" spans="1:8" x14ac:dyDescent="0.3">
      <c r="A13" s="371"/>
      <c r="C13" s="10" t="s">
        <v>9</v>
      </c>
    </row>
    <row r="15" spans="1:8" ht="31.8" thickBot="1" x14ac:dyDescent="0.35">
      <c r="A15" s="384" t="s">
        <v>17</v>
      </c>
      <c r="B15" s="385" t="s">
        <v>18</v>
      </c>
      <c r="C15" s="384" t="s">
        <v>19</v>
      </c>
      <c r="D15" s="384" t="s">
        <v>20</v>
      </c>
      <c r="E15" s="384" t="s">
        <v>21</v>
      </c>
      <c r="F15" s="384" t="s">
        <v>22</v>
      </c>
    </row>
    <row r="16" spans="1:8" ht="16.2" thickBot="1" x14ac:dyDescent="0.35">
      <c r="A16" s="376" t="s">
        <v>23</v>
      </c>
      <c r="B16" s="382">
        <v>1781</v>
      </c>
      <c r="C16" s="382">
        <v>0</v>
      </c>
      <c r="D16" s="397" t="s">
        <v>10</v>
      </c>
      <c r="E16" s="394" t="s">
        <v>423</v>
      </c>
      <c r="F16" s="383"/>
    </row>
    <row r="17" spans="1:6" ht="16.2" thickBot="1" x14ac:dyDescent="0.35">
      <c r="A17" s="376" t="s">
        <v>25</v>
      </c>
      <c r="B17" s="374">
        <v>10281.5</v>
      </c>
      <c r="C17" s="374">
        <v>0</v>
      </c>
      <c r="D17" s="394" t="s">
        <v>10</v>
      </c>
      <c r="E17" s="394" t="s">
        <v>423</v>
      </c>
      <c r="F17" s="377"/>
    </row>
    <row r="18" spans="1:6" ht="16.2" thickBot="1" x14ac:dyDescent="0.35">
      <c r="A18" s="376" t="s">
        <v>26</v>
      </c>
      <c r="B18" s="374">
        <v>210</v>
      </c>
      <c r="C18" s="374">
        <v>355</v>
      </c>
      <c r="D18" s="394" t="s">
        <v>10</v>
      </c>
      <c r="E18" s="394" t="s">
        <v>423</v>
      </c>
      <c r="F18" s="377"/>
    </row>
    <row r="19" spans="1:6" ht="16.2" thickBot="1" x14ac:dyDescent="0.35">
      <c r="A19" s="376" t="s">
        <v>27</v>
      </c>
      <c r="B19" s="374">
        <v>0</v>
      </c>
      <c r="C19" s="374">
        <v>0</v>
      </c>
      <c r="D19" s="394" t="s">
        <v>10</v>
      </c>
      <c r="E19" s="394" t="s">
        <v>423</v>
      </c>
      <c r="F19" s="377"/>
    </row>
    <row r="20" spans="1:6" ht="16.2" thickBot="1" x14ac:dyDescent="0.35">
      <c r="A20" s="376" t="s">
        <v>28</v>
      </c>
      <c r="B20" s="374">
        <v>0</v>
      </c>
      <c r="C20" s="374">
        <v>50000</v>
      </c>
      <c r="D20" s="394" t="s">
        <v>10</v>
      </c>
      <c r="E20" s="394" t="s">
        <v>423</v>
      </c>
      <c r="F20" s="393" t="s">
        <v>1948</v>
      </c>
    </row>
    <row r="21" spans="1:6" ht="16.2" thickBot="1" x14ac:dyDescent="0.35">
      <c r="A21" s="376" t="s">
        <v>29</v>
      </c>
      <c r="B21" s="374">
        <v>58648.959999999999</v>
      </c>
      <c r="C21" s="374">
        <v>29879.72</v>
      </c>
      <c r="D21" s="394" t="s">
        <v>10</v>
      </c>
      <c r="E21" s="394" t="s">
        <v>423</v>
      </c>
      <c r="F21" s="377"/>
    </row>
    <row r="22" spans="1:6" ht="16.2" thickBot="1" x14ac:dyDescent="0.35">
      <c r="A22" s="376" t="s">
        <v>30</v>
      </c>
      <c r="B22" s="374">
        <v>2488</v>
      </c>
      <c r="C22" s="374">
        <v>0</v>
      </c>
      <c r="D22" s="394" t="s">
        <v>10</v>
      </c>
      <c r="E22" s="394" t="s">
        <v>423</v>
      </c>
      <c r="F22" s="398" t="s">
        <v>1949</v>
      </c>
    </row>
    <row r="23" spans="1:6" ht="16.2" thickBot="1" x14ac:dyDescent="0.35">
      <c r="A23" s="705" t="s">
        <v>1950</v>
      </c>
      <c r="B23" s="509">
        <v>34557.85</v>
      </c>
      <c r="C23" s="509">
        <v>45080</v>
      </c>
      <c r="D23" s="394" t="s">
        <v>10</v>
      </c>
      <c r="E23" s="394" t="s">
        <v>423</v>
      </c>
      <c r="F23" s="377"/>
    </row>
    <row r="24" spans="1:6" ht="16.2" thickBot="1" x14ac:dyDescent="0.35">
      <c r="A24" s="705" t="s">
        <v>741</v>
      </c>
      <c r="B24" s="509">
        <v>0</v>
      </c>
      <c r="C24" s="509">
        <v>50000</v>
      </c>
      <c r="D24" s="394" t="s">
        <v>10</v>
      </c>
      <c r="E24" s="394" t="s">
        <v>423</v>
      </c>
      <c r="F24" s="706" t="s">
        <v>1951</v>
      </c>
    </row>
    <row r="25" spans="1:6" ht="16.2" thickBot="1" x14ac:dyDescent="0.35">
      <c r="A25" s="376" t="s">
        <v>658</v>
      </c>
      <c r="B25" s="374">
        <v>4446</v>
      </c>
      <c r="C25" s="374">
        <v>20000</v>
      </c>
      <c r="D25" s="394" t="s">
        <v>10</v>
      </c>
      <c r="E25" s="394" t="s">
        <v>423</v>
      </c>
      <c r="F25" s="706" t="s">
        <v>2557</v>
      </c>
    </row>
    <row r="26" spans="1:6" ht="16.2" thickBot="1" x14ac:dyDescent="0.35">
      <c r="A26" s="705" t="s">
        <v>1952</v>
      </c>
      <c r="B26" s="509">
        <v>84000</v>
      </c>
      <c r="C26" s="374">
        <v>0</v>
      </c>
      <c r="D26" s="394" t="s">
        <v>10</v>
      </c>
      <c r="E26" s="394" t="s">
        <v>423</v>
      </c>
      <c r="F26" s="377"/>
    </row>
    <row r="27" spans="1:6" ht="16.2" thickBot="1" x14ac:dyDescent="0.35">
      <c r="A27" s="376" t="s">
        <v>1953</v>
      </c>
      <c r="B27" s="374">
        <v>0</v>
      </c>
      <c r="C27" s="374">
        <v>0</v>
      </c>
      <c r="D27" s="387"/>
      <c r="E27" s="387"/>
      <c r="F27" s="377"/>
    </row>
    <row r="28" spans="1:6" ht="16.2" thickBot="1" x14ac:dyDescent="0.35">
      <c r="A28" s="378"/>
      <c r="B28" s="374">
        <v>0</v>
      </c>
      <c r="C28" s="374">
        <v>0</v>
      </c>
      <c r="D28" s="387"/>
      <c r="E28" s="387"/>
      <c r="F28" s="377"/>
    </row>
    <row r="29" spans="1:6" ht="16.2" thickBot="1" x14ac:dyDescent="0.35">
      <c r="A29" s="371" t="s">
        <v>32</v>
      </c>
      <c r="B29" s="379">
        <f>SUM(B16:B28)</f>
        <v>196413.31</v>
      </c>
      <c r="C29" s="379">
        <f>SUM(C16:C28)</f>
        <v>195314.72</v>
      </c>
      <c r="D29" s="388"/>
      <c r="E29" s="388"/>
      <c r="F29" s="380"/>
    </row>
    <row r="32" spans="1:6" x14ac:dyDescent="0.3">
      <c r="C32" s="396">
        <f>+B29+C29</f>
        <v>391728.03</v>
      </c>
      <c r="D32" s="372" t="s">
        <v>2556</v>
      </c>
    </row>
    <row r="33" spans="3:4" x14ac:dyDescent="0.3">
      <c r="C33" s="10">
        <v>-173637.85</v>
      </c>
      <c r="D33" s="372" t="s">
        <v>2555</v>
      </c>
    </row>
    <row r="34" spans="3:4" x14ac:dyDescent="0.3">
      <c r="C34" s="10">
        <v>-50000</v>
      </c>
      <c r="D34" s="372" t="s">
        <v>741</v>
      </c>
    </row>
    <row r="35" spans="3:4" x14ac:dyDescent="0.3">
      <c r="C35" s="396">
        <f>SUM(C32:C34)</f>
        <v>168090.18000000002</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1459-67E6-4349-ADB8-83160987B0B2}">
  <dimension ref="A1:H29"/>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257</v>
      </c>
      <c r="B2" s="390">
        <v>797500</v>
      </c>
      <c r="C2" s="389" t="s">
        <v>2213</v>
      </c>
      <c r="D2" s="391">
        <v>9506363</v>
      </c>
      <c r="E2" s="389" t="s">
        <v>10</v>
      </c>
      <c r="F2" s="392"/>
      <c r="G2" s="391">
        <v>0</v>
      </c>
      <c r="H2" s="391">
        <v>0</v>
      </c>
    </row>
    <row r="4" spans="1:8" x14ac:dyDescent="0.3">
      <c r="A4" s="386" t="s">
        <v>11</v>
      </c>
    </row>
    <row r="6" spans="1:8" ht="16.2" thickBot="1" x14ac:dyDescent="0.35">
      <c r="A6" s="524" t="s">
        <v>12</v>
      </c>
      <c r="B6" s="10" t="s">
        <v>9</v>
      </c>
    </row>
    <row r="7" spans="1:8" ht="16.2" thickBot="1" x14ac:dyDescent="0.35">
      <c r="A7" s="523" t="s">
        <v>13</v>
      </c>
      <c r="B7" s="374">
        <v>0</v>
      </c>
    </row>
    <row r="8" spans="1:8" ht="16.2" thickBot="1" x14ac:dyDescent="0.35">
      <c r="A8" s="523" t="s">
        <v>14</v>
      </c>
      <c r="B8" s="374">
        <v>0</v>
      </c>
    </row>
    <row r="9" spans="1:8" ht="16.2" thickBot="1" x14ac:dyDescent="0.35">
      <c r="A9" s="523"/>
      <c r="B9" s="374">
        <v>0</v>
      </c>
    </row>
    <row r="10" spans="1:8" ht="16.2" thickBot="1" x14ac:dyDescent="0.35">
      <c r="A10" s="523"/>
      <c r="B10" s="374">
        <v>0</v>
      </c>
    </row>
    <row r="11" spans="1:8" ht="16.2" thickBot="1" x14ac:dyDescent="0.35">
      <c r="A11" s="523"/>
      <c r="B11" s="10"/>
      <c r="C11" s="374">
        <f>SUM(B7:B10)</f>
        <v>0</v>
      </c>
    </row>
    <row r="12" spans="1:8" x14ac:dyDescent="0.3">
      <c r="A12" s="522"/>
      <c r="C12" s="10" t="s">
        <v>9</v>
      </c>
    </row>
    <row r="14" spans="1:8" ht="31.2" x14ac:dyDescent="0.3">
      <c r="A14" s="384" t="s">
        <v>17</v>
      </c>
      <c r="B14" s="385" t="s">
        <v>18</v>
      </c>
      <c r="C14" s="384" t="s">
        <v>19</v>
      </c>
      <c r="D14" s="384" t="s">
        <v>20</v>
      </c>
      <c r="E14" s="384" t="s">
        <v>21</v>
      </c>
      <c r="F14" s="384" t="s">
        <v>22</v>
      </c>
    </row>
    <row r="15" spans="1:8" ht="16.2" thickBot="1" x14ac:dyDescent="0.35">
      <c r="A15" s="521" t="s">
        <v>23</v>
      </c>
      <c r="B15" s="382">
        <v>667.92</v>
      </c>
      <c r="C15" s="382">
        <v>559.4</v>
      </c>
      <c r="D15" s="359" t="s">
        <v>24</v>
      </c>
      <c r="E15" s="359"/>
      <c r="F15" s="383"/>
    </row>
    <row r="16" spans="1:8" ht="16.2" thickBot="1" x14ac:dyDescent="0.35">
      <c r="A16" s="521" t="s">
        <v>25</v>
      </c>
      <c r="B16" s="374">
        <v>0</v>
      </c>
      <c r="C16" s="374">
        <v>0</v>
      </c>
      <c r="D16" s="387"/>
      <c r="E16" s="387"/>
      <c r="F16" s="377"/>
    </row>
    <row r="17" spans="1:6" ht="16.2" thickBot="1" x14ac:dyDescent="0.35">
      <c r="A17" s="521" t="s">
        <v>26</v>
      </c>
      <c r="B17" s="374">
        <v>0</v>
      </c>
      <c r="C17" s="374">
        <v>0</v>
      </c>
      <c r="D17" s="387"/>
      <c r="E17" s="387"/>
      <c r="F17" s="377"/>
    </row>
    <row r="18" spans="1:6" ht="16.2" thickBot="1" x14ac:dyDescent="0.35">
      <c r="A18" s="521" t="s">
        <v>27</v>
      </c>
      <c r="B18" s="374">
        <v>0</v>
      </c>
      <c r="C18" s="374">
        <v>0</v>
      </c>
      <c r="D18" s="387"/>
      <c r="E18" s="387"/>
      <c r="F18" s="377"/>
    </row>
    <row r="19" spans="1:6" ht="16.2" thickBot="1" x14ac:dyDescent="0.35">
      <c r="A19" s="521" t="s">
        <v>28</v>
      </c>
      <c r="B19" s="374">
        <v>0</v>
      </c>
      <c r="C19" s="374">
        <v>0</v>
      </c>
      <c r="D19" s="387"/>
      <c r="E19" s="387"/>
      <c r="F19" s="377"/>
    </row>
    <row r="20" spans="1:6" ht="16.2" thickBot="1" x14ac:dyDescent="0.35">
      <c r="A20" s="521" t="s">
        <v>29</v>
      </c>
      <c r="B20" s="374">
        <v>0</v>
      </c>
      <c r="C20" s="374">
        <v>0</v>
      </c>
      <c r="D20" s="387"/>
      <c r="E20" s="387"/>
      <c r="F20" s="377"/>
    </row>
    <row r="21" spans="1:6" ht="16.2" thickBot="1" x14ac:dyDescent="0.35">
      <c r="A21" s="521" t="s">
        <v>30</v>
      </c>
      <c r="B21" s="374">
        <v>600</v>
      </c>
      <c r="C21" s="374">
        <v>400</v>
      </c>
      <c r="D21" s="387" t="s">
        <v>24</v>
      </c>
      <c r="E21" s="387"/>
      <c r="F21" s="377"/>
    </row>
    <row r="22" spans="1:6" ht="16.2" thickBot="1" x14ac:dyDescent="0.35">
      <c r="A22" s="523"/>
      <c r="B22" s="374">
        <v>0</v>
      </c>
      <c r="C22" s="374">
        <v>0</v>
      </c>
      <c r="D22" s="387"/>
      <c r="E22" s="387"/>
      <c r="F22" s="377"/>
    </row>
    <row r="23" spans="1:6" ht="16.2" thickBot="1" x14ac:dyDescent="0.35">
      <c r="A23" s="523"/>
      <c r="B23" s="374">
        <v>0</v>
      </c>
      <c r="C23" s="374">
        <v>0</v>
      </c>
      <c r="D23" s="387"/>
      <c r="E23" s="387"/>
      <c r="F23" s="377"/>
    </row>
    <row r="24" spans="1:6" ht="16.2" thickBot="1" x14ac:dyDescent="0.35">
      <c r="A24" s="523"/>
      <c r="B24" s="374">
        <v>0</v>
      </c>
      <c r="C24" s="374">
        <v>0</v>
      </c>
      <c r="D24" s="387"/>
      <c r="E24" s="387"/>
      <c r="F24" s="377"/>
    </row>
    <row r="25" spans="1:6" ht="16.2" thickBot="1" x14ac:dyDescent="0.35">
      <c r="A25" s="523"/>
      <c r="B25" s="374">
        <v>0</v>
      </c>
      <c r="C25" s="374">
        <v>0</v>
      </c>
      <c r="D25" s="387"/>
      <c r="E25" s="387"/>
      <c r="F25" s="377"/>
    </row>
    <row r="26" spans="1:6" ht="16.2" thickBot="1" x14ac:dyDescent="0.35">
      <c r="A26" s="523"/>
      <c r="B26" s="374">
        <v>0</v>
      </c>
      <c r="C26" s="374">
        <v>0</v>
      </c>
      <c r="D26" s="387"/>
      <c r="E26" s="387"/>
      <c r="F26" s="377"/>
    </row>
    <row r="27" spans="1:6" ht="16.2" thickBot="1" x14ac:dyDescent="0.35">
      <c r="A27" s="378"/>
      <c r="B27" s="374">
        <v>0</v>
      </c>
      <c r="C27" s="374">
        <v>0</v>
      </c>
      <c r="D27" s="387"/>
      <c r="E27" s="387"/>
      <c r="F27" s="377"/>
    </row>
    <row r="28" spans="1:6" ht="16.2" thickBot="1" x14ac:dyDescent="0.35">
      <c r="A28" s="522" t="s">
        <v>32</v>
      </c>
      <c r="B28" s="379">
        <f>SUM(B15:B27)</f>
        <v>1267.92</v>
      </c>
      <c r="C28" s="379">
        <f>SUM(C15:C27)</f>
        <v>959.4</v>
      </c>
      <c r="D28" s="388"/>
      <c r="E28" s="388"/>
      <c r="F28" s="380"/>
    </row>
    <row r="29" spans="1:6" x14ac:dyDescent="0.3">
      <c r="C29" s="396">
        <f>SUM(B28:C28)</f>
        <v>2227.3200000000002</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C9C9-713B-4CCD-8A46-CFCCBBB492A8}">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2239</v>
      </c>
      <c r="B2" s="390">
        <v>8836350.2599999998</v>
      </c>
      <c r="C2" s="389" t="s">
        <v>2240</v>
      </c>
      <c r="D2" s="539">
        <f>10102364+500000</f>
        <v>10602364</v>
      </c>
      <c r="E2" s="389" t="s">
        <v>24</v>
      </c>
      <c r="F2" s="392" t="s">
        <v>2241</v>
      </c>
      <c r="G2" s="391">
        <v>0</v>
      </c>
      <c r="H2" s="391">
        <v>0</v>
      </c>
    </row>
    <row r="4" spans="1:8" x14ac:dyDescent="0.3">
      <c r="A4" s="386" t="s">
        <v>11</v>
      </c>
    </row>
    <row r="6" spans="1:8" ht="16.2" thickBot="1" x14ac:dyDescent="0.35">
      <c r="A6" s="538" t="s">
        <v>12</v>
      </c>
      <c r="B6" s="10" t="s">
        <v>9</v>
      </c>
    </row>
    <row r="7" spans="1:8" ht="16.2" thickBot="1" x14ac:dyDescent="0.35">
      <c r="A7" s="537" t="s">
        <v>51</v>
      </c>
      <c r="B7" s="374">
        <v>0</v>
      </c>
    </row>
    <row r="8" spans="1:8" ht="16.2" thickBot="1" x14ac:dyDescent="0.35">
      <c r="A8" s="537" t="s">
        <v>53</v>
      </c>
      <c r="B8" s="374">
        <v>8836350.2599999998</v>
      </c>
    </row>
    <row r="9" spans="1:8" ht="16.2" thickBot="1" x14ac:dyDescent="0.35">
      <c r="A9" s="537" t="s">
        <v>55</v>
      </c>
      <c r="B9" s="374">
        <v>0</v>
      </c>
    </row>
    <row r="10" spans="1:8" ht="16.2" thickBot="1" x14ac:dyDescent="0.35">
      <c r="A10" s="537" t="s">
        <v>57</v>
      </c>
      <c r="B10" s="374">
        <v>0</v>
      </c>
    </row>
    <row r="11" spans="1:8" ht="16.2" thickBot="1" x14ac:dyDescent="0.35">
      <c r="A11" s="537"/>
      <c r="B11" s="374">
        <v>0</v>
      </c>
    </row>
    <row r="12" spans="1:8" ht="16.2" thickBot="1" x14ac:dyDescent="0.35">
      <c r="A12" s="537"/>
      <c r="B12" s="10"/>
      <c r="C12" s="374">
        <f>SUM(B7:B11)</f>
        <v>8836350.2599999998</v>
      </c>
    </row>
    <row r="13" spans="1:8" x14ac:dyDescent="0.3">
      <c r="A13" s="536"/>
      <c r="C13" s="10" t="s">
        <v>9</v>
      </c>
    </row>
    <row r="15" spans="1:8" ht="31.2" x14ac:dyDescent="0.3">
      <c r="A15" s="384" t="s">
        <v>17</v>
      </c>
      <c r="B15" s="385" t="s">
        <v>18</v>
      </c>
      <c r="C15" s="384" t="s">
        <v>19</v>
      </c>
      <c r="D15" s="384" t="s">
        <v>20</v>
      </c>
      <c r="E15" s="384" t="s">
        <v>21</v>
      </c>
      <c r="F15" s="384" t="s">
        <v>22</v>
      </c>
    </row>
    <row r="16" spans="1:8" ht="16.2" thickBot="1" x14ac:dyDescent="0.35">
      <c r="A16" s="535" t="s">
        <v>2242</v>
      </c>
      <c r="B16" s="382">
        <v>2288.2600000000002</v>
      </c>
      <c r="C16" s="382">
        <v>0</v>
      </c>
      <c r="D16" s="397" t="s">
        <v>24</v>
      </c>
      <c r="E16" s="359"/>
      <c r="F16" s="383"/>
    </row>
    <row r="17" spans="1:6" ht="16.2" thickBot="1" x14ac:dyDescent="0.35">
      <c r="A17" s="535" t="s">
        <v>25</v>
      </c>
      <c r="B17" s="374">
        <v>31690.33</v>
      </c>
      <c r="C17" s="374">
        <v>0</v>
      </c>
      <c r="D17" s="397" t="s">
        <v>24</v>
      </c>
      <c r="E17" s="387"/>
      <c r="F17" s="377"/>
    </row>
    <row r="18" spans="1:6" ht="16.2" thickBot="1" x14ac:dyDescent="0.35">
      <c r="A18" s="535" t="s">
        <v>26</v>
      </c>
      <c r="B18" s="374">
        <f>SUM(12656.36+173.42+149.31+93+251.8+81+6032.16+1201.98+662.9+1146.82+9101.97)</f>
        <v>31550.720000000001</v>
      </c>
      <c r="C18" s="374">
        <v>0</v>
      </c>
      <c r="D18" s="397" t="s">
        <v>24</v>
      </c>
      <c r="E18" s="387"/>
      <c r="F18" s="377"/>
    </row>
    <row r="19" spans="1:6" ht="16.2" thickBot="1" x14ac:dyDescent="0.35">
      <c r="A19" s="535" t="s">
        <v>27</v>
      </c>
      <c r="B19" s="106" t="s">
        <v>420</v>
      </c>
      <c r="C19" s="374">
        <v>0</v>
      </c>
      <c r="D19" s="397"/>
      <c r="E19" s="387"/>
      <c r="F19" s="377"/>
    </row>
    <row r="20" spans="1:6" ht="16.2" thickBot="1" x14ac:dyDescent="0.35">
      <c r="A20" s="535" t="s">
        <v>28</v>
      </c>
      <c r="B20" s="106" t="s">
        <v>420</v>
      </c>
      <c r="C20" s="374">
        <v>0</v>
      </c>
      <c r="D20" s="397"/>
      <c r="E20" s="387"/>
      <c r="F20" s="377"/>
    </row>
    <row r="21" spans="1:6" ht="16.2" thickBot="1" x14ac:dyDescent="0.35">
      <c r="A21" s="535" t="s">
        <v>29</v>
      </c>
      <c r="B21" s="540"/>
      <c r="C21" s="374">
        <v>0</v>
      </c>
      <c r="D21" s="397" t="s">
        <v>24</v>
      </c>
      <c r="E21" s="387"/>
      <c r="F21" s="377"/>
    </row>
    <row r="22" spans="1:6" ht="16.2" thickBot="1" x14ac:dyDescent="0.35">
      <c r="A22" s="535" t="s">
        <v>30</v>
      </c>
      <c r="B22" s="374">
        <v>9542.61</v>
      </c>
      <c r="C22" s="374">
        <v>0</v>
      </c>
      <c r="D22" s="397" t="s">
        <v>24</v>
      </c>
      <c r="E22" s="387"/>
      <c r="F22" s="377"/>
    </row>
    <row r="23" spans="1:6" ht="16.2" thickBot="1" x14ac:dyDescent="0.35">
      <c r="A23" s="541" t="s">
        <v>2243</v>
      </c>
      <c r="B23" s="374">
        <f>77630.28+5128</f>
        <v>82758.28</v>
      </c>
      <c r="C23" s="374">
        <v>0</v>
      </c>
      <c r="D23" s="397" t="s">
        <v>10</v>
      </c>
      <c r="E23" s="387"/>
      <c r="F23" s="377"/>
    </row>
    <row r="24" spans="1:6" ht="16.2" thickBot="1" x14ac:dyDescent="0.35">
      <c r="A24" s="541" t="s">
        <v>2244</v>
      </c>
      <c r="B24" s="374">
        <f>165+96.77</f>
        <v>261.77</v>
      </c>
      <c r="C24" s="374">
        <v>0</v>
      </c>
      <c r="D24" s="397" t="s">
        <v>24</v>
      </c>
      <c r="E24" s="387"/>
      <c r="F24" s="377"/>
    </row>
    <row r="25" spans="1:6" ht="16.2" thickBot="1" x14ac:dyDescent="0.35">
      <c r="A25" s="572" t="s">
        <v>2349</v>
      </c>
      <c r="B25" s="374">
        <v>3244.5</v>
      </c>
      <c r="C25" s="374">
        <v>0</v>
      </c>
      <c r="D25" s="387"/>
      <c r="E25" s="387"/>
      <c r="F25" s="377"/>
    </row>
    <row r="26" spans="1:6" ht="16.2" thickBot="1" x14ac:dyDescent="0.35">
      <c r="A26" s="537"/>
      <c r="B26" s="374">
        <v>0</v>
      </c>
      <c r="C26" s="374">
        <v>0</v>
      </c>
      <c r="D26" s="387"/>
      <c r="E26" s="387"/>
      <c r="F26" s="377"/>
    </row>
    <row r="27" spans="1:6" ht="16.2" thickBot="1" x14ac:dyDescent="0.35">
      <c r="A27" s="537"/>
      <c r="B27" s="374">
        <v>0</v>
      </c>
      <c r="C27" s="374">
        <v>0</v>
      </c>
      <c r="D27" s="387"/>
      <c r="E27" s="387"/>
      <c r="F27" s="377"/>
    </row>
    <row r="28" spans="1:6" ht="16.2" thickBot="1" x14ac:dyDescent="0.35">
      <c r="A28" s="378"/>
      <c r="B28" s="374">
        <v>0</v>
      </c>
      <c r="C28" s="374">
        <v>0</v>
      </c>
      <c r="D28" s="387"/>
      <c r="E28" s="387"/>
      <c r="F28" s="377"/>
    </row>
    <row r="29" spans="1:6" ht="16.2" thickBot="1" x14ac:dyDescent="0.35">
      <c r="A29" s="536" t="s">
        <v>32</v>
      </c>
      <c r="B29" s="379">
        <f>SUM(B16:B28)</f>
        <v>161336.47</v>
      </c>
      <c r="C29" s="379">
        <f>SUM(C16:C28)</f>
        <v>0</v>
      </c>
      <c r="D29" s="388"/>
      <c r="E29" s="388"/>
      <c r="F29" s="380"/>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E627-E84F-4C31-BB9D-627B254D882D}">
  <dimension ref="A1:H29"/>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30.88671875" style="7" bestFit="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576</v>
      </c>
      <c r="B2" s="4">
        <v>88176</v>
      </c>
      <c r="C2" s="3" t="s">
        <v>577</v>
      </c>
      <c r="D2" s="5">
        <v>1113842</v>
      </c>
      <c r="E2" s="3" t="s">
        <v>108</v>
      </c>
      <c r="F2" s="6" t="s">
        <v>578</v>
      </c>
      <c r="G2" s="5">
        <v>0</v>
      </c>
      <c r="H2" s="5">
        <v>0</v>
      </c>
    </row>
    <row r="4" spans="1:8" x14ac:dyDescent="0.3">
      <c r="A4" s="8" t="s">
        <v>11</v>
      </c>
    </row>
    <row r="6" spans="1:8" ht="16.2" thickBot="1" x14ac:dyDescent="0.35">
      <c r="A6" s="9" t="s">
        <v>12</v>
      </c>
      <c r="B6" s="10" t="s">
        <v>9</v>
      </c>
    </row>
    <row r="7" spans="1:8" ht="16.2" thickBot="1" x14ac:dyDescent="0.35">
      <c r="A7" s="11" t="s">
        <v>51</v>
      </c>
      <c r="B7" s="12">
        <v>32054</v>
      </c>
    </row>
    <row r="8" spans="1:8" ht="16.2" thickBot="1" x14ac:dyDescent="0.35">
      <c r="A8" s="11" t="s">
        <v>53</v>
      </c>
      <c r="B8" s="12">
        <v>56122</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88176</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0</v>
      </c>
      <c r="C16" s="16">
        <v>500</v>
      </c>
      <c r="D16" s="29" t="s">
        <v>423</v>
      </c>
      <c r="E16" s="29" t="s">
        <v>79</v>
      </c>
      <c r="F16" s="18" t="s">
        <v>579</v>
      </c>
    </row>
    <row r="17" spans="1:6" ht="16.2" thickBot="1" x14ac:dyDescent="0.35">
      <c r="A17" s="15" t="s">
        <v>25</v>
      </c>
      <c r="B17" s="12">
        <v>5868</v>
      </c>
      <c r="C17" s="12">
        <v>5868</v>
      </c>
      <c r="D17" s="30" t="s">
        <v>423</v>
      </c>
      <c r="E17" s="29" t="s">
        <v>79</v>
      </c>
      <c r="F17" s="20" t="s">
        <v>580</v>
      </c>
    </row>
    <row r="18" spans="1:6" ht="16.2" thickBot="1" x14ac:dyDescent="0.35">
      <c r="A18" s="15" t="s">
        <v>26</v>
      </c>
      <c r="B18" s="12">
        <v>3310</v>
      </c>
      <c r="C18" s="12">
        <v>5000</v>
      </c>
      <c r="D18" s="30" t="s">
        <v>423</v>
      </c>
      <c r="E18" s="29" t="s">
        <v>79</v>
      </c>
      <c r="F18" s="20" t="s">
        <v>581</v>
      </c>
    </row>
    <row r="19" spans="1:6" ht="16.2" thickBot="1" x14ac:dyDescent="0.35">
      <c r="A19" s="15" t="s">
        <v>27</v>
      </c>
      <c r="B19" s="12">
        <v>0</v>
      </c>
      <c r="C19" s="12">
        <v>0</v>
      </c>
      <c r="D19" s="30" t="s">
        <v>420</v>
      </c>
      <c r="E19" s="30" t="s">
        <v>420</v>
      </c>
      <c r="F19" s="20" t="s">
        <v>420</v>
      </c>
    </row>
    <row r="20" spans="1:6" ht="16.2" thickBot="1" x14ac:dyDescent="0.35">
      <c r="A20" s="15" t="s">
        <v>28</v>
      </c>
      <c r="B20" s="12">
        <v>0</v>
      </c>
      <c r="C20" s="12">
        <v>100</v>
      </c>
      <c r="D20" s="30" t="s">
        <v>423</v>
      </c>
      <c r="E20" s="30" t="s">
        <v>79</v>
      </c>
      <c r="F20" s="20" t="s">
        <v>582</v>
      </c>
    </row>
    <row r="21" spans="1:6" ht="16.2" thickBot="1" x14ac:dyDescent="0.35">
      <c r="A21" s="15" t="s">
        <v>29</v>
      </c>
      <c r="B21" s="12">
        <v>0</v>
      </c>
      <c r="C21" s="12">
        <v>0</v>
      </c>
      <c r="D21" s="30" t="s">
        <v>420</v>
      </c>
      <c r="E21" s="30" t="s">
        <v>420</v>
      </c>
      <c r="F21" s="20" t="s">
        <v>420</v>
      </c>
    </row>
    <row r="22" spans="1:6" ht="16.2" thickBot="1" x14ac:dyDescent="0.35">
      <c r="A22" s="15" t="s">
        <v>30</v>
      </c>
      <c r="B22" s="12">
        <v>875</v>
      </c>
      <c r="C22" s="12">
        <v>1000</v>
      </c>
      <c r="D22" s="30" t="s">
        <v>423</v>
      </c>
      <c r="E22" s="30" t="s">
        <v>79</v>
      </c>
      <c r="F22" s="20" t="s">
        <v>583</v>
      </c>
    </row>
    <row r="23" spans="1:6" ht="16.2" thickBot="1" x14ac:dyDescent="0.35">
      <c r="A23" s="11" t="s">
        <v>584</v>
      </c>
      <c r="B23" s="12">
        <v>1260</v>
      </c>
      <c r="C23" s="12">
        <v>2000</v>
      </c>
      <c r="D23" s="30" t="s">
        <v>423</v>
      </c>
      <c r="E23" s="30" t="s">
        <v>79</v>
      </c>
      <c r="F23" s="20" t="s">
        <v>585</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11313</v>
      </c>
      <c r="C29" s="22">
        <v>14468</v>
      </c>
      <c r="D29" s="23"/>
      <c r="E29" s="23"/>
      <c r="F29" s="24"/>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4764-8389-4E18-BA72-55B21E5DDEA0}">
  <dimension ref="A1:H29"/>
  <sheetViews>
    <sheetView topLeftCell="A4"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586</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6643.01</v>
      </c>
      <c r="C16" s="16">
        <v>12500</v>
      </c>
      <c r="D16" s="17" t="s">
        <v>24</v>
      </c>
      <c r="E16" s="17" t="s">
        <v>79</v>
      </c>
      <c r="F16" s="18"/>
    </row>
    <row r="17" spans="1:6" ht="16.2" thickBot="1" x14ac:dyDescent="0.35">
      <c r="A17" s="15" t="s">
        <v>25</v>
      </c>
      <c r="B17" s="12">
        <v>29572.09</v>
      </c>
      <c r="C17" s="12">
        <v>40000</v>
      </c>
      <c r="D17" s="19" t="s">
        <v>24</v>
      </c>
      <c r="E17" s="19" t="s">
        <v>79</v>
      </c>
      <c r="F17" s="20"/>
    </row>
    <row r="18" spans="1:6" ht="16.2" thickBot="1" x14ac:dyDescent="0.35">
      <c r="A18" s="15" t="s">
        <v>26</v>
      </c>
      <c r="B18" s="12">
        <v>18480</v>
      </c>
      <c r="C18" s="12">
        <v>55440</v>
      </c>
      <c r="D18" s="19" t="s">
        <v>10</v>
      </c>
      <c r="E18" s="19"/>
      <c r="F18" s="20" t="s">
        <v>587</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2384</v>
      </c>
      <c r="C21" s="12">
        <v>5000</v>
      </c>
      <c r="D21" s="19" t="s">
        <v>24</v>
      </c>
      <c r="E21" s="19" t="s">
        <v>79</v>
      </c>
      <c r="F21" s="20"/>
    </row>
    <row r="22" spans="1:6" ht="16.2" thickBot="1" x14ac:dyDescent="0.35">
      <c r="A22" s="15" t="s">
        <v>30</v>
      </c>
      <c r="B22" s="12">
        <v>4654</v>
      </c>
      <c r="C22" s="12">
        <v>15000</v>
      </c>
      <c r="D22" s="19" t="s">
        <v>24</v>
      </c>
      <c r="E22" s="19"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61733.1</v>
      </c>
      <c r="C29" s="22">
        <v>127940</v>
      </c>
      <c r="D29" s="23"/>
      <c r="E29" s="23"/>
      <c r="F29" s="2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9C8BA-8DD6-4997-8E17-74413FCA03A7}">
  <sheetPr>
    <pageSetUpPr fitToPage="1"/>
  </sheetPr>
  <dimension ref="A1:H29"/>
  <sheetViews>
    <sheetView workbookViewId="0">
      <selection activeCell="D7" sqref="D7"/>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5.332031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2232</v>
      </c>
      <c r="B2" s="390">
        <f>C12</f>
        <v>21600</v>
      </c>
      <c r="C2" s="389" t="s">
        <v>2233</v>
      </c>
      <c r="D2" s="391">
        <v>4518214</v>
      </c>
      <c r="E2" s="389" t="s">
        <v>1309</v>
      </c>
      <c r="F2" s="392" t="s">
        <v>2234</v>
      </c>
      <c r="G2" s="391">
        <v>0</v>
      </c>
      <c r="H2" s="391">
        <v>0</v>
      </c>
    </row>
    <row r="4" spans="1:8" x14ac:dyDescent="0.3">
      <c r="A4" s="386" t="s">
        <v>11</v>
      </c>
    </row>
    <row r="6" spans="1:8" ht="16.2" thickBot="1" x14ac:dyDescent="0.35">
      <c r="A6" s="528" t="s">
        <v>12</v>
      </c>
      <c r="B6" s="10" t="s">
        <v>9</v>
      </c>
    </row>
    <row r="7" spans="1:8" ht="16.2" thickBot="1" x14ac:dyDescent="0.35">
      <c r="A7" s="527" t="s">
        <v>51</v>
      </c>
      <c r="B7" s="374">
        <v>0</v>
      </c>
    </row>
    <row r="8" spans="1:8" ht="16.2" thickBot="1" x14ac:dyDescent="0.35">
      <c r="A8" s="527" t="s">
        <v>53</v>
      </c>
      <c r="B8" s="374">
        <v>18000</v>
      </c>
    </row>
    <row r="9" spans="1:8" ht="16.2" thickBot="1" x14ac:dyDescent="0.35">
      <c r="A9" s="527" t="s">
        <v>55</v>
      </c>
      <c r="B9" s="374">
        <v>3600</v>
      </c>
    </row>
    <row r="10" spans="1:8" ht="16.2" thickBot="1" x14ac:dyDescent="0.35">
      <c r="A10" s="527" t="s">
        <v>57</v>
      </c>
      <c r="B10" s="374">
        <v>0</v>
      </c>
    </row>
    <row r="11" spans="1:8" ht="16.2" thickBot="1" x14ac:dyDescent="0.35">
      <c r="A11" s="527"/>
      <c r="B11" s="374">
        <v>0</v>
      </c>
    </row>
    <row r="12" spans="1:8" ht="16.2" thickBot="1" x14ac:dyDescent="0.35">
      <c r="A12" s="527"/>
      <c r="B12" s="10"/>
      <c r="C12" s="374">
        <f>SUM(B7:B11)</f>
        <v>21600</v>
      </c>
    </row>
    <row r="13" spans="1:8" x14ac:dyDescent="0.3">
      <c r="A13" s="526"/>
      <c r="C13" s="10" t="s">
        <v>9</v>
      </c>
    </row>
    <row r="15" spans="1:8" ht="31.2" x14ac:dyDescent="0.3">
      <c r="A15" s="384" t="s">
        <v>17</v>
      </c>
      <c r="B15" s="385" t="s">
        <v>18</v>
      </c>
      <c r="C15" s="384" t="s">
        <v>19</v>
      </c>
      <c r="D15" s="384" t="s">
        <v>20</v>
      </c>
      <c r="E15" s="384" t="s">
        <v>21</v>
      </c>
      <c r="F15" s="384" t="s">
        <v>22</v>
      </c>
    </row>
    <row r="16" spans="1:8" ht="16.2" thickBot="1" x14ac:dyDescent="0.35">
      <c r="A16" s="525" t="s">
        <v>23</v>
      </c>
      <c r="B16" s="382">
        <v>7047</v>
      </c>
      <c r="C16" s="382">
        <v>46000</v>
      </c>
      <c r="D16" s="359" t="s">
        <v>423</v>
      </c>
      <c r="E16" s="359" t="s">
        <v>2235</v>
      </c>
      <c r="F16" s="383"/>
    </row>
    <row r="17" spans="1:6" ht="16.2" thickBot="1" x14ac:dyDescent="0.35">
      <c r="A17" s="525" t="s">
        <v>25</v>
      </c>
      <c r="B17" s="374">
        <v>20101</v>
      </c>
      <c r="C17" s="374">
        <v>60000</v>
      </c>
      <c r="D17" s="387" t="s">
        <v>423</v>
      </c>
      <c r="E17" s="359" t="s">
        <v>2235</v>
      </c>
      <c r="F17" s="377"/>
    </row>
    <row r="18" spans="1:6" ht="16.2" thickBot="1" x14ac:dyDescent="0.35">
      <c r="A18" s="525" t="s">
        <v>26</v>
      </c>
      <c r="B18" s="374">
        <v>0</v>
      </c>
      <c r="C18" s="374">
        <v>0</v>
      </c>
      <c r="D18" s="387"/>
      <c r="E18" s="387"/>
      <c r="F18" s="377"/>
    </row>
    <row r="19" spans="1:6" ht="16.2" thickBot="1" x14ac:dyDescent="0.35">
      <c r="A19" s="525" t="s">
        <v>27</v>
      </c>
      <c r="B19" s="374">
        <v>0</v>
      </c>
      <c r="C19" s="374">
        <v>0</v>
      </c>
      <c r="D19" s="387"/>
      <c r="E19" s="387"/>
      <c r="F19" s="377"/>
    </row>
    <row r="20" spans="1:6" ht="16.2" thickBot="1" x14ac:dyDescent="0.35">
      <c r="A20" s="525" t="s">
        <v>28</v>
      </c>
      <c r="B20" s="374">
        <v>0</v>
      </c>
      <c r="C20" s="374">
        <v>0</v>
      </c>
      <c r="D20" s="387"/>
      <c r="E20" s="387"/>
      <c r="F20" s="377"/>
    </row>
    <row r="21" spans="1:6" ht="16.2" thickBot="1" x14ac:dyDescent="0.35">
      <c r="A21" s="525" t="s">
        <v>29</v>
      </c>
      <c r="B21" s="374">
        <v>30204.62</v>
      </c>
      <c r="C21" s="374">
        <v>100000</v>
      </c>
      <c r="D21" s="387" t="s">
        <v>423</v>
      </c>
      <c r="E21" s="359" t="s">
        <v>2235</v>
      </c>
      <c r="F21" s="377"/>
    </row>
    <row r="22" spans="1:6" ht="16.2" thickBot="1" x14ac:dyDescent="0.35">
      <c r="A22" s="525" t="s">
        <v>30</v>
      </c>
      <c r="B22" s="374">
        <v>15114</v>
      </c>
      <c r="C22" s="374">
        <v>45000</v>
      </c>
      <c r="D22" s="387" t="s">
        <v>423</v>
      </c>
      <c r="E22" s="359" t="s">
        <v>2235</v>
      </c>
      <c r="F22" s="377"/>
    </row>
    <row r="23" spans="1:6" ht="16.2" thickBot="1" x14ac:dyDescent="0.35">
      <c r="A23" s="527"/>
      <c r="B23" s="374">
        <v>0</v>
      </c>
      <c r="C23" s="374">
        <v>0</v>
      </c>
      <c r="D23" s="387"/>
      <c r="E23" s="387"/>
      <c r="F23" s="377"/>
    </row>
    <row r="24" spans="1:6" ht="16.2" thickBot="1" x14ac:dyDescent="0.35">
      <c r="A24" s="527"/>
      <c r="B24" s="374">
        <v>0</v>
      </c>
      <c r="C24" s="374">
        <v>0</v>
      </c>
      <c r="D24" s="387"/>
      <c r="E24" s="387"/>
      <c r="F24" s="377"/>
    </row>
    <row r="25" spans="1:6" ht="16.2" thickBot="1" x14ac:dyDescent="0.35">
      <c r="A25" s="527"/>
      <c r="B25" s="374">
        <v>0</v>
      </c>
      <c r="C25" s="374">
        <v>0</v>
      </c>
      <c r="D25" s="387"/>
      <c r="E25" s="387"/>
      <c r="F25" s="377"/>
    </row>
    <row r="26" spans="1:6" ht="16.2" thickBot="1" x14ac:dyDescent="0.35">
      <c r="A26" s="527"/>
      <c r="B26" s="374">
        <v>0</v>
      </c>
      <c r="C26" s="374">
        <v>0</v>
      </c>
      <c r="D26" s="387"/>
      <c r="E26" s="387"/>
      <c r="F26" s="377"/>
    </row>
    <row r="27" spans="1:6" ht="16.2" thickBot="1" x14ac:dyDescent="0.35">
      <c r="A27" s="527"/>
      <c r="B27" s="374">
        <v>0</v>
      </c>
      <c r="C27" s="374">
        <v>0</v>
      </c>
      <c r="D27" s="387"/>
      <c r="E27" s="387"/>
      <c r="F27" s="377"/>
    </row>
    <row r="28" spans="1:6" ht="16.2" thickBot="1" x14ac:dyDescent="0.35">
      <c r="A28" s="378"/>
      <c r="B28" s="374">
        <v>0</v>
      </c>
      <c r="C28" s="374">
        <v>0</v>
      </c>
      <c r="D28" s="387"/>
      <c r="E28" s="387"/>
      <c r="F28" s="377"/>
    </row>
    <row r="29" spans="1:6" ht="16.2" thickBot="1" x14ac:dyDescent="0.35">
      <c r="A29" s="526" t="s">
        <v>32</v>
      </c>
      <c r="B29" s="379">
        <f>SUM(B16:B28)</f>
        <v>72466.62</v>
      </c>
      <c r="C29" s="379">
        <f>SUM(C16:C28)</f>
        <v>251000</v>
      </c>
      <c r="D29" s="388"/>
      <c r="E29" s="388"/>
      <c r="F29" s="380"/>
    </row>
  </sheetData>
  <pageMargins left="0.7" right="0.7" top="0.75" bottom="0.75" header="0.3" footer="0.3"/>
  <pageSetup scale="54"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6460-6E44-449D-BB27-AD7AD099F987}">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2133</v>
      </c>
      <c r="B2" s="65">
        <v>1185800</v>
      </c>
      <c r="C2" s="389" t="s">
        <v>2130</v>
      </c>
      <c r="D2" s="391">
        <v>25660000</v>
      </c>
      <c r="E2" s="389"/>
      <c r="F2" s="392" t="s">
        <v>2134</v>
      </c>
      <c r="G2" s="391">
        <v>0</v>
      </c>
      <c r="H2" s="391">
        <v>0</v>
      </c>
    </row>
    <row r="4" spans="1:8" x14ac:dyDescent="0.3">
      <c r="A4" s="386" t="s">
        <v>11</v>
      </c>
    </row>
    <row r="6" spans="1:8" ht="16.2" thickBot="1" x14ac:dyDescent="0.35">
      <c r="A6" s="495" t="s">
        <v>12</v>
      </c>
      <c r="B6" s="10" t="s">
        <v>9</v>
      </c>
    </row>
    <row r="7" spans="1:8" ht="16.2" thickBot="1" x14ac:dyDescent="0.35">
      <c r="A7" s="494" t="s">
        <v>13</v>
      </c>
      <c r="B7" s="374">
        <v>50000</v>
      </c>
    </row>
    <row r="8" spans="1:8" ht="16.2" thickBot="1" x14ac:dyDescent="0.35">
      <c r="A8" s="494" t="s">
        <v>14</v>
      </c>
      <c r="B8" s="374">
        <v>0</v>
      </c>
    </row>
    <row r="9" spans="1:8" ht="16.2" thickBot="1" x14ac:dyDescent="0.35">
      <c r="A9" s="494"/>
      <c r="B9" s="374">
        <v>0</v>
      </c>
    </row>
    <row r="10" spans="1:8" ht="16.2" thickBot="1" x14ac:dyDescent="0.35">
      <c r="A10" s="494"/>
      <c r="B10" s="374">
        <v>0</v>
      </c>
    </row>
    <row r="11" spans="1:8" ht="16.2" thickBot="1" x14ac:dyDescent="0.35">
      <c r="A11" s="494"/>
      <c r="B11" s="10"/>
      <c r="C11" s="374">
        <f>SUM(B7:B10)</f>
        <v>50000</v>
      </c>
    </row>
    <row r="12" spans="1:8" x14ac:dyDescent="0.3">
      <c r="A12" s="493"/>
      <c r="C12" s="10" t="s">
        <v>9</v>
      </c>
    </row>
    <row r="14" spans="1:8" ht="31.2" x14ac:dyDescent="0.3">
      <c r="A14" s="384" t="s">
        <v>17</v>
      </c>
      <c r="B14" s="385" t="s">
        <v>18</v>
      </c>
      <c r="C14" s="384" t="s">
        <v>19</v>
      </c>
      <c r="D14" s="384" t="s">
        <v>20</v>
      </c>
      <c r="E14" s="384" t="s">
        <v>21</v>
      </c>
      <c r="F14" s="384" t="s">
        <v>22</v>
      </c>
    </row>
    <row r="15" spans="1:8" ht="16.2" thickBot="1" x14ac:dyDescent="0.35">
      <c r="A15" s="492" t="s">
        <v>23</v>
      </c>
      <c r="B15" s="382">
        <v>2486</v>
      </c>
      <c r="C15" s="382">
        <v>7500</v>
      </c>
      <c r="D15" s="359"/>
      <c r="E15" s="359"/>
      <c r="F15" s="383"/>
    </row>
    <row r="16" spans="1:8" ht="16.2" thickBot="1" x14ac:dyDescent="0.35">
      <c r="A16" s="492" t="s">
        <v>25</v>
      </c>
      <c r="B16" s="374">
        <v>26100</v>
      </c>
      <c r="C16" s="374">
        <v>32500</v>
      </c>
      <c r="D16" s="387"/>
      <c r="E16" s="387"/>
      <c r="F16" s="377"/>
    </row>
    <row r="17" spans="1:6" ht="16.2" thickBot="1" x14ac:dyDescent="0.35">
      <c r="A17" s="492" t="s">
        <v>26</v>
      </c>
      <c r="B17" s="374">
        <v>223000</v>
      </c>
      <c r="C17" s="374">
        <v>867900</v>
      </c>
      <c r="D17" s="387"/>
      <c r="E17" s="387"/>
      <c r="F17" s="377"/>
    </row>
    <row r="18" spans="1:6" ht="16.2" thickBot="1" x14ac:dyDescent="0.35">
      <c r="A18" s="492" t="s">
        <v>27</v>
      </c>
      <c r="B18" s="374">
        <v>0</v>
      </c>
      <c r="C18" s="374">
        <v>0</v>
      </c>
      <c r="D18" s="387"/>
      <c r="E18" s="387"/>
      <c r="F18" s="377"/>
    </row>
    <row r="19" spans="1:6" ht="16.2" thickBot="1" x14ac:dyDescent="0.35">
      <c r="A19" s="492" t="s">
        <v>28</v>
      </c>
      <c r="B19" s="374">
        <v>0</v>
      </c>
      <c r="C19" s="374">
        <v>0</v>
      </c>
      <c r="D19" s="387"/>
      <c r="E19" s="387"/>
      <c r="F19" s="377"/>
    </row>
    <row r="20" spans="1:6" ht="16.2" thickBot="1" x14ac:dyDescent="0.35">
      <c r="A20" s="492" t="s">
        <v>29</v>
      </c>
      <c r="B20" s="374">
        <v>66300</v>
      </c>
      <c r="C20" s="374">
        <v>185000</v>
      </c>
      <c r="D20" s="387"/>
      <c r="E20" s="387"/>
      <c r="F20" s="377"/>
    </row>
    <row r="21" spans="1:6" ht="16.2" thickBot="1" x14ac:dyDescent="0.35">
      <c r="A21" s="492" t="s">
        <v>30</v>
      </c>
      <c r="B21" s="374">
        <v>10350</v>
      </c>
      <c r="C21" s="374">
        <v>21100</v>
      </c>
      <c r="D21" s="387"/>
      <c r="E21" s="387"/>
      <c r="F21" s="377"/>
    </row>
    <row r="22" spans="1:6" ht="16.2" thickBot="1" x14ac:dyDescent="0.35">
      <c r="A22" s="494" t="s">
        <v>2131</v>
      </c>
      <c r="B22" s="374">
        <v>21500</v>
      </c>
      <c r="C22" s="374">
        <v>28000</v>
      </c>
      <c r="D22" s="387"/>
      <c r="E22" s="387"/>
      <c r="F22" s="377"/>
    </row>
    <row r="23" spans="1:6" ht="16.2" thickBot="1" x14ac:dyDescent="0.35">
      <c r="A23" s="494" t="s">
        <v>553</v>
      </c>
      <c r="B23" s="374">
        <v>4850</v>
      </c>
      <c r="C23" s="374">
        <v>4850</v>
      </c>
      <c r="D23" s="387"/>
      <c r="E23" s="387"/>
      <c r="F23" s="377"/>
    </row>
    <row r="24" spans="1:6" ht="16.2" thickBot="1" x14ac:dyDescent="0.35">
      <c r="A24" s="494" t="s">
        <v>929</v>
      </c>
      <c r="B24" s="374">
        <v>0</v>
      </c>
      <c r="C24" s="374">
        <v>500</v>
      </c>
      <c r="D24" s="387"/>
      <c r="E24" s="387"/>
      <c r="F24" s="377"/>
    </row>
    <row r="25" spans="1:6" ht="16.2" thickBot="1" x14ac:dyDescent="0.35">
      <c r="A25" s="494" t="s">
        <v>2132</v>
      </c>
      <c r="B25" s="374">
        <v>400</v>
      </c>
      <c r="C25" s="374">
        <v>1000</v>
      </c>
      <c r="D25" s="387"/>
      <c r="E25" s="387"/>
      <c r="F25" s="377"/>
    </row>
    <row r="26" spans="1:6" ht="16.2" thickBot="1" x14ac:dyDescent="0.35">
      <c r="A26" s="494"/>
      <c r="B26" s="374">
        <v>0</v>
      </c>
      <c r="C26" s="374">
        <v>0</v>
      </c>
      <c r="D26" s="387"/>
      <c r="E26" s="387"/>
      <c r="F26" s="377"/>
    </row>
    <row r="27" spans="1:6" ht="16.2" thickBot="1" x14ac:dyDescent="0.35">
      <c r="A27" s="378"/>
      <c r="B27" s="374">
        <v>0</v>
      </c>
      <c r="C27" s="374">
        <v>0</v>
      </c>
      <c r="D27" s="387"/>
      <c r="E27" s="387"/>
      <c r="F27" s="377"/>
    </row>
    <row r="28" spans="1:6" ht="16.2" thickBot="1" x14ac:dyDescent="0.35">
      <c r="A28" s="493" t="s">
        <v>32</v>
      </c>
      <c r="B28" s="379">
        <f>SUM(B15:B27)</f>
        <v>354986</v>
      </c>
      <c r="C28" s="379">
        <f>SUM(C15:C27)</f>
        <v>1148350</v>
      </c>
      <c r="D28" s="388"/>
      <c r="E28" s="388"/>
      <c r="F28" s="380"/>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0643A-B9CD-4CD6-B1B4-122E8CB3816E}">
  <dimension ref="A1:H39"/>
  <sheetViews>
    <sheetView topLeftCell="A10" workbookViewId="0">
      <selection activeCell="E11" sqref="E11:J11"/>
    </sheetView>
  </sheetViews>
  <sheetFormatPr defaultColWidth="9.109375" defaultRowHeight="15.6" x14ac:dyDescent="0.3"/>
  <cols>
    <col min="1" max="1" width="42.5546875" style="7" bestFit="1" customWidth="1"/>
    <col min="2" max="2" width="20.44140625" style="7" customWidth="1"/>
    <col min="3" max="3" width="26.88671875" style="7" customWidth="1"/>
    <col min="4" max="4" width="25.33203125" style="7" customWidth="1"/>
    <col min="5" max="5" width="30.6640625" style="7" customWidth="1"/>
    <col min="6" max="6" width="31.5546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136" t="s">
        <v>588</v>
      </c>
      <c r="B2" s="4" t="s">
        <v>589</v>
      </c>
      <c r="C2" s="3" t="s">
        <v>590</v>
      </c>
      <c r="D2" s="5">
        <v>3661555</v>
      </c>
      <c r="E2" s="3" t="s">
        <v>591</v>
      </c>
      <c r="F2" s="6" t="s">
        <v>592</v>
      </c>
      <c r="G2" s="5" t="s">
        <v>593</v>
      </c>
      <c r="H2" s="64" t="s">
        <v>594</v>
      </c>
    </row>
    <row r="4" spans="1:8" x14ac:dyDescent="0.3">
      <c r="A4" s="8" t="s">
        <v>11</v>
      </c>
    </row>
    <row r="6" spans="1:8" ht="16.2" thickBot="1" x14ac:dyDescent="0.35">
      <c r="A6" s="9" t="s">
        <v>12</v>
      </c>
      <c r="B6" s="10" t="s">
        <v>9</v>
      </c>
    </row>
    <row r="7" spans="1:8" ht="16.2" thickBot="1" x14ac:dyDescent="0.35">
      <c r="A7" s="11" t="s">
        <v>51</v>
      </c>
      <c r="B7" s="106" t="s">
        <v>63</v>
      </c>
    </row>
    <row r="8" spans="1:8" ht="16.2" thickBot="1" x14ac:dyDescent="0.35">
      <c r="A8" s="11" t="s">
        <v>53</v>
      </c>
      <c r="B8" s="106" t="s">
        <v>63</v>
      </c>
    </row>
    <row r="9" spans="1:8" ht="16.2" thickBot="1" x14ac:dyDescent="0.35">
      <c r="A9" s="11" t="s">
        <v>55</v>
      </c>
      <c r="B9" s="12">
        <v>1875</v>
      </c>
    </row>
    <row r="10" spans="1:8" ht="16.2" thickBot="1" x14ac:dyDescent="0.35">
      <c r="A10" s="11" t="s">
        <v>57</v>
      </c>
      <c r="B10" s="12">
        <v>29375</v>
      </c>
    </row>
    <row r="11" spans="1:8" ht="16.8" thickBot="1" x14ac:dyDescent="0.4">
      <c r="A11" s="137" t="s">
        <v>595</v>
      </c>
      <c r="B11" s="12">
        <v>16000</v>
      </c>
      <c r="C11" s="138" t="s">
        <v>596</v>
      </c>
    </row>
    <row r="12" spans="1:8" ht="16.8" thickBot="1" x14ac:dyDescent="0.4">
      <c r="A12" s="137" t="s">
        <v>597</v>
      </c>
      <c r="B12" s="12">
        <v>75000</v>
      </c>
      <c r="C12" s="138" t="s">
        <v>598</v>
      </c>
    </row>
    <row r="13" spans="1:8" ht="16.2" thickBot="1" x14ac:dyDescent="0.35">
      <c r="A13" s="11"/>
      <c r="B13" s="10"/>
      <c r="C13" s="12">
        <v>122250</v>
      </c>
    </row>
    <row r="14" spans="1:8" x14ac:dyDescent="0.3">
      <c r="A14" s="13"/>
      <c r="C14" s="10" t="s">
        <v>9</v>
      </c>
    </row>
    <row r="16" spans="1:8" ht="31.2" x14ac:dyDescent="0.3">
      <c r="A16" s="1" t="s">
        <v>17</v>
      </c>
      <c r="B16" s="14" t="s">
        <v>18</v>
      </c>
      <c r="C16" s="1" t="s">
        <v>19</v>
      </c>
      <c r="D16" s="1" t="s">
        <v>20</v>
      </c>
      <c r="E16" s="1" t="s">
        <v>21</v>
      </c>
      <c r="F16" s="1" t="s">
        <v>22</v>
      </c>
    </row>
    <row r="17" spans="1:6" ht="16.2" thickBot="1" x14ac:dyDescent="0.35">
      <c r="A17" s="15" t="s">
        <v>23</v>
      </c>
      <c r="B17" s="16">
        <v>1896.97</v>
      </c>
      <c r="C17" s="16">
        <v>3000</v>
      </c>
      <c r="D17" s="17" t="s">
        <v>599</v>
      </c>
      <c r="E17" s="139" t="s">
        <v>600</v>
      </c>
      <c r="F17" s="18" t="s">
        <v>601</v>
      </c>
    </row>
    <row r="18" spans="1:6" ht="16.2" thickBot="1" x14ac:dyDescent="0.35">
      <c r="A18" s="15" t="s">
        <v>25</v>
      </c>
      <c r="B18" s="12">
        <v>0</v>
      </c>
      <c r="C18" s="12">
        <v>0</v>
      </c>
      <c r="D18" s="19" t="s">
        <v>602</v>
      </c>
      <c r="E18" s="19" t="s">
        <v>63</v>
      </c>
      <c r="F18" s="20" t="s">
        <v>63</v>
      </c>
    </row>
    <row r="19" spans="1:6" ht="16.2" thickBot="1" x14ac:dyDescent="0.35">
      <c r="A19" s="15" t="s">
        <v>26</v>
      </c>
      <c r="B19" s="12">
        <v>4500</v>
      </c>
      <c r="C19" s="12">
        <v>4500</v>
      </c>
      <c r="D19" s="19" t="s">
        <v>423</v>
      </c>
      <c r="E19" s="139" t="s">
        <v>600</v>
      </c>
      <c r="F19" s="140" t="s">
        <v>603</v>
      </c>
    </row>
    <row r="20" spans="1:6" ht="16.2" thickBot="1" x14ac:dyDescent="0.35">
      <c r="A20" s="15" t="s">
        <v>27</v>
      </c>
      <c r="B20" s="12">
        <v>683.32</v>
      </c>
      <c r="C20" s="12">
        <v>1200</v>
      </c>
      <c r="D20" s="19" t="s">
        <v>423</v>
      </c>
      <c r="E20" s="139" t="s">
        <v>600</v>
      </c>
      <c r="F20" s="20" t="s">
        <v>604</v>
      </c>
    </row>
    <row r="21" spans="1:6" ht="16.2" thickBot="1" x14ac:dyDescent="0.35">
      <c r="A21" s="15" t="s">
        <v>28</v>
      </c>
      <c r="B21" s="12">
        <v>0</v>
      </c>
      <c r="C21" s="12">
        <v>0</v>
      </c>
      <c r="D21" s="19" t="s">
        <v>602</v>
      </c>
      <c r="E21" s="19" t="s">
        <v>63</v>
      </c>
      <c r="F21" s="20" t="s">
        <v>63</v>
      </c>
    </row>
    <row r="22" spans="1:6" ht="16.2" thickBot="1" x14ac:dyDescent="0.35">
      <c r="A22" s="15" t="s">
        <v>605</v>
      </c>
      <c r="B22" s="12">
        <v>7009.28</v>
      </c>
      <c r="C22" s="12">
        <v>11259</v>
      </c>
      <c r="D22" s="19" t="s">
        <v>423</v>
      </c>
      <c r="E22" s="139" t="s">
        <v>600</v>
      </c>
      <c r="F22" s="20" t="s">
        <v>606</v>
      </c>
    </row>
    <row r="23" spans="1:6" ht="16.2" thickBot="1" x14ac:dyDescent="0.35">
      <c r="A23" s="15" t="s">
        <v>30</v>
      </c>
      <c r="B23" s="12">
        <v>825</v>
      </c>
      <c r="C23" s="12">
        <v>1500</v>
      </c>
      <c r="D23" s="19" t="s">
        <v>423</v>
      </c>
      <c r="E23" s="139" t="s">
        <v>600</v>
      </c>
      <c r="F23" s="140" t="s">
        <v>607</v>
      </c>
    </row>
    <row r="24" spans="1:6" ht="16.2" thickBot="1" x14ac:dyDescent="0.35">
      <c r="A24" s="15" t="s">
        <v>608</v>
      </c>
      <c r="B24" s="12">
        <v>1200</v>
      </c>
      <c r="C24" s="12">
        <v>7500</v>
      </c>
      <c r="D24" s="19" t="s">
        <v>423</v>
      </c>
      <c r="E24" s="19" t="s">
        <v>609</v>
      </c>
      <c r="F24" s="140" t="s">
        <v>610</v>
      </c>
    </row>
    <row r="25" spans="1:6" ht="16.2" thickBot="1" x14ac:dyDescent="0.35">
      <c r="A25" s="15" t="s">
        <v>611</v>
      </c>
      <c r="B25" s="12">
        <v>1325</v>
      </c>
      <c r="C25" s="12">
        <v>2000</v>
      </c>
      <c r="D25" s="19" t="s">
        <v>423</v>
      </c>
      <c r="E25" s="139" t="s">
        <v>600</v>
      </c>
      <c r="F25" s="140" t="s">
        <v>612</v>
      </c>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11"/>
      <c r="B28" s="12">
        <v>0</v>
      </c>
      <c r="C28" s="12">
        <v>0</v>
      </c>
      <c r="D28" s="19"/>
      <c r="E28" s="19"/>
      <c r="F28" s="20"/>
    </row>
    <row r="29" spans="1:6" ht="16.2" thickBot="1" x14ac:dyDescent="0.35">
      <c r="A29" s="21"/>
      <c r="B29" s="12">
        <v>0</v>
      </c>
      <c r="C29" s="12">
        <v>0</v>
      </c>
      <c r="D29" s="19"/>
      <c r="E29" s="19"/>
      <c r="F29" s="20"/>
    </row>
    <row r="30" spans="1:6" ht="16.2" thickBot="1" x14ac:dyDescent="0.35">
      <c r="A30" s="13" t="s">
        <v>32</v>
      </c>
      <c r="B30" s="22">
        <v>17439.57</v>
      </c>
      <c r="C30" s="22">
        <v>30959</v>
      </c>
      <c r="D30" s="23"/>
      <c r="E30" s="23"/>
      <c r="F30" s="24"/>
    </row>
    <row r="32" spans="1:6" x14ac:dyDescent="0.3">
      <c r="A32" s="141" t="s">
        <v>613</v>
      </c>
      <c r="B32" s="7" t="s">
        <v>614</v>
      </c>
    </row>
    <row r="34" spans="1:2" x14ac:dyDescent="0.3">
      <c r="A34" s="141" t="s">
        <v>615</v>
      </c>
      <c r="B34" s="7" t="s">
        <v>616</v>
      </c>
    </row>
    <row r="39" spans="1:2" x14ac:dyDescent="0.3">
      <c r="A39" s="141"/>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035D-148F-4790-8BC5-17748A44EE68}">
  <dimension ref="A1:H28"/>
  <sheetViews>
    <sheetView topLeftCell="A13"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55.8" thickBot="1" x14ac:dyDescent="0.35">
      <c r="A2" s="389" t="s">
        <v>2486</v>
      </c>
      <c r="B2" s="390">
        <f>C11</f>
        <v>-581936</v>
      </c>
      <c r="C2" s="51" t="s">
        <v>2487</v>
      </c>
      <c r="D2" s="391">
        <v>34688000</v>
      </c>
      <c r="E2" s="389" t="s">
        <v>108</v>
      </c>
      <c r="F2" s="392" t="s">
        <v>2488</v>
      </c>
      <c r="G2" s="391">
        <v>0</v>
      </c>
      <c r="H2" s="391">
        <v>0</v>
      </c>
    </row>
    <row r="3" spans="1:8" x14ac:dyDescent="0.3">
      <c r="D3" s="372" t="s">
        <v>2489</v>
      </c>
    </row>
    <row r="4" spans="1:8" x14ac:dyDescent="0.3">
      <c r="A4" s="386" t="s">
        <v>11</v>
      </c>
    </row>
    <row r="6" spans="1:8" ht="16.2" thickBot="1" x14ac:dyDescent="0.35">
      <c r="A6" s="659" t="s">
        <v>12</v>
      </c>
      <c r="B6" s="10" t="s">
        <v>9</v>
      </c>
    </row>
    <row r="7" spans="1:8" ht="16.2" thickBot="1" x14ac:dyDescent="0.35">
      <c r="A7" s="658" t="s">
        <v>13</v>
      </c>
      <c r="B7" s="660">
        <v>-40625</v>
      </c>
    </row>
    <row r="8" spans="1:8" ht="16.2" thickBot="1" x14ac:dyDescent="0.35">
      <c r="A8" s="658" t="s">
        <v>14</v>
      </c>
      <c r="B8" s="374">
        <v>0</v>
      </c>
    </row>
    <row r="9" spans="1:8" ht="16.2" thickBot="1" x14ac:dyDescent="0.35">
      <c r="A9" s="658" t="s">
        <v>2490</v>
      </c>
      <c r="B9" s="660">
        <v>-541311</v>
      </c>
    </row>
    <row r="10" spans="1:8" ht="16.2" thickBot="1" x14ac:dyDescent="0.35">
      <c r="A10" s="658"/>
      <c r="B10" s="374"/>
    </row>
    <row r="11" spans="1:8" ht="16.2" thickBot="1" x14ac:dyDescent="0.35">
      <c r="A11" s="658"/>
      <c r="B11" s="10"/>
      <c r="C11" s="374">
        <f>SUM(B7:B10)</f>
        <v>-581936</v>
      </c>
    </row>
    <row r="12" spans="1:8" x14ac:dyDescent="0.3">
      <c r="A12" s="657"/>
      <c r="C12" s="10" t="s">
        <v>9</v>
      </c>
    </row>
    <row r="14" spans="1:8" ht="31.2" x14ac:dyDescent="0.3">
      <c r="A14" s="384" t="s">
        <v>17</v>
      </c>
      <c r="B14" s="385" t="s">
        <v>18</v>
      </c>
      <c r="C14" s="384" t="s">
        <v>19</v>
      </c>
      <c r="D14" s="384" t="s">
        <v>20</v>
      </c>
      <c r="E14" s="384" t="s">
        <v>21</v>
      </c>
      <c r="F14" s="384" t="s">
        <v>22</v>
      </c>
    </row>
    <row r="15" spans="1:8" ht="16.2" thickBot="1" x14ac:dyDescent="0.35">
      <c r="A15" s="656" t="s">
        <v>23</v>
      </c>
      <c r="B15" s="382">
        <f>55476.99+5787.9</f>
        <v>61264.89</v>
      </c>
      <c r="C15" s="382">
        <v>116027</v>
      </c>
      <c r="D15" s="359" t="s">
        <v>423</v>
      </c>
      <c r="E15" s="359" t="s">
        <v>79</v>
      </c>
      <c r="F15" s="383" t="s">
        <v>2491</v>
      </c>
    </row>
    <row r="16" spans="1:8" ht="16.2" thickBot="1" x14ac:dyDescent="0.35">
      <c r="A16" s="656" t="s">
        <v>25</v>
      </c>
      <c r="B16" s="661">
        <v>892.17</v>
      </c>
      <c r="C16" s="374">
        <v>1577.25</v>
      </c>
      <c r="D16" s="359" t="s">
        <v>423</v>
      </c>
      <c r="E16" s="359" t="s">
        <v>79</v>
      </c>
      <c r="F16" s="383" t="s">
        <v>2491</v>
      </c>
    </row>
    <row r="17" spans="1:6" ht="16.2" thickBot="1" x14ac:dyDescent="0.35">
      <c r="A17" s="656" t="s">
        <v>26</v>
      </c>
      <c r="B17" s="374">
        <v>2535</v>
      </c>
      <c r="C17" s="374">
        <v>7305</v>
      </c>
      <c r="D17" s="359" t="s">
        <v>423</v>
      </c>
      <c r="E17" s="359" t="s">
        <v>79</v>
      </c>
      <c r="F17" s="383" t="s">
        <v>2491</v>
      </c>
    </row>
    <row r="18" spans="1:6" ht="16.2" thickBot="1" x14ac:dyDescent="0.35">
      <c r="A18" s="656" t="s">
        <v>27</v>
      </c>
      <c r="B18" s="374">
        <v>0</v>
      </c>
      <c r="C18" s="374">
        <v>0</v>
      </c>
      <c r="D18" s="359" t="s">
        <v>423</v>
      </c>
      <c r="E18" s="359" t="s">
        <v>79</v>
      </c>
      <c r="F18" s="383" t="s">
        <v>2491</v>
      </c>
    </row>
    <row r="19" spans="1:6" ht="16.2" thickBot="1" x14ac:dyDescent="0.35">
      <c r="A19" s="656" t="s">
        <v>28</v>
      </c>
      <c r="B19" s="374">
        <v>0</v>
      </c>
      <c r="C19" s="374">
        <v>0</v>
      </c>
      <c r="D19" s="359" t="s">
        <v>423</v>
      </c>
      <c r="E19" s="359" t="s">
        <v>79</v>
      </c>
      <c r="F19" s="383" t="s">
        <v>2491</v>
      </c>
    </row>
    <row r="20" spans="1:6" ht="16.2" thickBot="1" x14ac:dyDescent="0.35">
      <c r="A20" s="656" t="s">
        <v>29</v>
      </c>
      <c r="B20" s="374">
        <f>68679.02+1717.92</f>
        <v>70396.94</v>
      </c>
      <c r="C20" s="374">
        <v>259931.37</v>
      </c>
      <c r="D20" s="359" t="s">
        <v>423</v>
      </c>
      <c r="E20" s="359" t="s">
        <v>79</v>
      </c>
      <c r="F20" s="383" t="s">
        <v>2491</v>
      </c>
    </row>
    <row r="21" spans="1:6" ht="16.2" thickBot="1" x14ac:dyDescent="0.35">
      <c r="A21" s="656" t="s">
        <v>30</v>
      </c>
      <c r="B21" s="374">
        <f>6164.11+6030</f>
        <v>12194.11</v>
      </c>
      <c r="C21" s="374">
        <f>12891.89+23296.91</f>
        <v>36188.800000000003</v>
      </c>
      <c r="D21" s="359" t="s">
        <v>423</v>
      </c>
      <c r="E21" s="359" t="s">
        <v>79</v>
      </c>
      <c r="F21" s="383" t="s">
        <v>2491</v>
      </c>
    </row>
    <row r="22" spans="1:6" ht="16.2" thickBot="1" x14ac:dyDescent="0.35">
      <c r="A22" s="656" t="s">
        <v>2492</v>
      </c>
      <c r="B22" s="374">
        <v>2068.5100000000002</v>
      </c>
      <c r="C22" s="374">
        <v>2068.5100000000002</v>
      </c>
      <c r="D22" s="359" t="s">
        <v>423</v>
      </c>
      <c r="E22" s="359" t="s">
        <v>79</v>
      </c>
      <c r="F22" s="383" t="s">
        <v>2491</v>
      </c>
    </row>
    <row r="23" spans="1:6" ht="16.2" thickBot="1" x14ac:dyDescent="0.35">
      <c r="A23" s="656" t="s">
        <v>2493</v>
      </c>
      <c r="B23" s="374">
        <v>22923.22</v>
      </c>
      <c r="C23" s="374">
        <v>55000</v>
      </c>
      <c r="D23" s="359" t="s">
        <v>423</v>
      </c>
      <c r="E23" s="359" t="s">
        <v>79</v>
      </c>
      <c r="F23" s="383" t="s">
        <v>2491</v>
      </c>
    </row>
    <row r="24" spans="1:6" ht="16.2" thickBot="1" x14ac:dyDescent="0.35">
      <c r="A24" s="656" t="s">
        <v>2494</v>
      </c>
      <c r="B24" s="374">
        <v>450</v>
      </c>
      <c r="C24" s="374">
        <v>1140</v>
      </c>
      <c r="D24" s="359" t="s">
        <v>423</v>
      </c>
      <c r="E24" s="359" t="s">
        <v>79</v>
      </c>
      <c r="F24" s="383" t="s">
        <v>2491</v>
      </c>
    </row>
    <row r="25" spans="1:6" ht="16.2" thickBot="1" x14ac:dyDescent="0.35">
      <c r="A25" s="656" t="s">
        <v>1088</v>
      </c>
      <c r="B25" s="374">
        <v>0</v>
      </c>
      <c r="C25" s="374">
        <v>387600</v>
      </c>
      <c r="D25" s="387" t="s">
        <v>423</v>
      </c>
      <c r="E25" s="387" t="s">
        <v>1124</v>
      </c>
      <c r="F25" s="383" t="s">
        <v>2495</v>
      </c>
    </row>
    <row r="26" spans="1:6" ht="16.2" thickBot="1" x14ac:dyDescent="0.35">
      <c r="A26" s="656" t="s">
        <v>2496</v>
      </c>
      <c r="B26" s="374">
        <v>2907</v>
      </c>
      <c r="C26" s="374">
        <v>5475.81</v>
      </c>
      <c r="D26" s="387" t="s">
        <v>423</v>
      </c>
      <c r="E26" s="359" t="s">
        <v>79</v>
      </c>
      <c r="F26" s="383" t="s">
        <v>2491</v>
      </c>
    </row>
    <row r="27" spans="1:6" ht="16.2" thickBot="1" x14ac:dyDescent="0.35">
      <c r="A27" s="378"/>
      <c r="B27" s="374">
        <v>0</v>
      </c>
      <c r="C27" s="374">
        <v>0</v>
      </c>
      <c r="D27" s="387"/>
      <c r="E27" s="387"/>
      <c r="F27" s="377"/>
    </row>
    <row r="28" spans="1:6" ht="16.2" thickBot="1" x14ac:dyDescent="0.35">
      <c r="A28" s="657" t="s">
        <v>32</v>
      </c>
      <c r="B28" s="379">
        <f>SUM(B15:B27)</f>
        <v>175631.84</v>
      </c>
      <c r="C28" s="379">
        <f>SUM(C15:C27)</f>
        <v>872313.74</v>
      </c>
      <c r="D28" s="388"/>
      <c r="E28" s="388"/>
      <c r="F28" s="380"/>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C4A1-945F-407D-8E83-BA9EEAB70834}">
  <dimension ref="A1:H28"/>
  <sheetViews>
    <sheetView topLeftCell="A10" workbookViewId="0">
      <selection activeCell="E11" sqref="E11:J11"/>
    </sheetView>
  </sheetViews>
  <sheetFormatPr defaultColWidth="9.109375" defaultRowHeight="15.6" x14ac:dyDescent="0.3"/>
  <cols>
    <col min="1" max="1" width="35.44140625" style="311" bestFit="1" customWidth="1"/>
    <col min="2" max="2" width="20.44140625" style="311" customWidth="1"/>
    <col min="3" max="3" width="26.88671875" style="311" customWidth="1"/>
    <col min="4" max="4" width="25.33203125" style="311" customWidth="1"/>
    <col min="5" max="5" width="30.6640625" style="311" customWidth="1"/>
    <col min="6" max="6" width="28.33203125" style="311" customWidth="1"/>
    <col min="7" max="7" width="21.33203125" style="311" customWidth="1"/>
    <col min="8" max="8" width="20.6640625" style="311" customWidth="1"/>
    <col min="9" max="16384" width="9.109375" style="311"/>
  </cols>
  <sheetData>
    <row r="1" spans="1:8" s="314" customFormat="1" ht="31.8" thickBot="1" x14ac:dyDescent="0.35">
      <c r="A1" s="323" t="s">
        <v>0</v>
      </c>
      <c r="B1" s="323" t="s">
        <v>1</v>
      </c>
      <c r="C1" s="323" t="s">
        <v>2</v>
      </c>
      <c r="D1" s="323" t="s">
        <v>3</v>
      </c>
      <c r="E1" s="323" t="s">
        <v>4</v>
      </c>
      <c r="F1" s="323" t="s">
        <v>5</v>
      </c>
      <c r="G1" s="323" t="s">
        <v>6</v>
      </c>
      <c r="H1" s="323" t="s">
        <v>7</v>
      </c>
    </row>
    <row r="2" spans="1:8" ht="63" thickBot="1" x14ac:dyDescent="0.35">
      <c r="A2" s="328" t="s">
        <v>262</v>
      </c>
      <c r="B2" s="271">
        <v>400000</v>
      </c>
      <c r="C2" s="328" t="s">
        <v>1533</v>
      </c>
      <c r="D2" s="330">
        <v>15227357</v>
      </c>
      <c r="E2" s="328" t="s">
        <v>1534</v>
      </c>
      <c r="F2" s="331" t="s">
        <v>1535</v>
      </c>
      <c r="G2" s="330" t="s">
        <v>420</v>
      </c>
      <c r="H2" s="330" t="s">
        <v>420</v>
      </c>
    </row>
    <row r="4" spans="1:8" x14ac:dyDescent="0.3">
      <c r="A4" s="325" t="s">
        <v>11</v>
      </c>
    </row>
    <row r="6" spans="1:8" ht="16.2" thickBot="1" x14ac:dyDescent="0.35">
      <c r="A6" s="320" t="s">
        <v>12</v>
      </c>
      <c r="B6" s="10" t="s">
        <v>9</v>
      </c>
    </row>
    <row r="7" spans="1:8" ht="16.2" thickBot="1" x14ac:dyDescent="0.35">
      <c r="A7" s="312" t="s">
        <v>13</v>
      </c>
      <c r="B7" s="313">
        <v>465000</v>
      </c>
      <c r="C7" s="311" t="s">
        <v>1536</v>
      </c>
    </row>
    <row r="8" spans="1:8" ht="16.2" thickBot="1" x14ac:dyDescent="0.35">
      <c r="A8" s="312" t="s">
        <v>14</v>
      </c>
      <c r="B8" s="313">
        <v>0</v>
      </c>
    </row>
    <row r="9" spans="1:8" ht="16.2" thickBot="1" x14ac:dyDescent="0.35">
      <c r="A9" s="312"/>
      <c r="B9" s="313">
        <v>0</v>
      </c>
    </row>
    <row r="10" spans="1:8" ht="16.2" thickBot="1" x14ac:dyDescent="0.35">
      <c r="A10" s="312"/>
      <c r="B10" s="313">
        <v>0</v>
      </c>
    </row>
    <row r="11" spans="1:8" ht="16.2" thickBot="1" x14ac:dyDescent="0.35">
      <c r="A11" s="312"/>
      <c r="B11" s="10"/>
      <c r="C11" s="313">
        <v>465000</v>
      </c>
    </row>
    <row r="12" spans="1:8" x14ac:dyDescent="0.3">
      <c r="A12" s="310"/>
      <c r="C12" s="10" t="s">
        <v>9</v>
      </c>
    </row>
    <row r="14" spans="1:8" ht="31.2" x14ac:dyDescent="0.3">
      <c r="A14" s="323" t="s">
        <v>17</v>
      </c>
      <c r="B14" s="324" t="s">
        <v>18</v>
      </c>
      <c r="C14" s="323" t="s">
        <v>19</v>
      </c>
      <c r="D14" s="323" t="s">
        <v>20</v>
      </c>
      <c r="E14" s="323" t="s">
        <v>21</v>
      </c>
      <c r="F14" s="323" t="s">
        <v>22</v>
      </c>
    </row>
    <row r="15" spans="1:8" ht="16.2" thickBot="1" x14ac:dyDescent="0.35">
      <c r="A15" s="315" t="s">
        <v>23</v>
      </c>
      <c r="B15" s="321">
        <v>6856</v>
      </c>
      <c r="C15" s="321">
        <v>12000</v>
      </c>
      <c r="D15" s="332" t="s">
        <v>423</v>
      </c>
      <c r="E15" s="17" t="s">
        <v>79</v>
      </c>
      <c r="F15" s="322" t="s">
        <v>1537</v>
      </c>
    </row>
    <row r="16" spans="1:8" ht="16.2" thickBot="1" x14ac:dyDescent="0.35">
      <c r="A16" s="315" t="s">
        <v>25</v>
      </c>
      <c r="B16" s="313">
        <v>508</v>
      </c>
      <c r="C16" s="313">
        <v>4500</v>
      </c>
      <c r="D16" s="30" t="s">
        <v>423</v>
      </c>
      <c r="E16" s="326" t="s">
        <v>1538</v>
      </c>
      <c r="F16" s="316" t="s">
        <v>1539</v>
      </c>
    </row>
    <row r="17" spans="1:6" ht="16.2" thickBot="1" x14ac:dyDescent="0.35">
      <c r="A17" s="315" t="s">
        <v>26</v>
      </c>
      <c r="B17" s="313">
        <v>0</v>
      </c>
      <c r="C17" s="313">
        <v>0</v>
      </c>
      <c r="D17" s="326"/>
      <c r="E17" s="326"/>
      <c r="F17" s="316"/>
    </row>
    <row r="18" spans="1:6" ht="16.2" thickBot="1" x14ac:dyDescent="0.35">
      <c r="A18" s="315" t="s">
        <v>27</v>
      </c>
      <c r="B18" s="313">
        <v>0</v>
      </c>
      <c r="C18" s="313">
        <v>0</v>
      </c>
      <c r="D18" s="326"/>
      <c r="E18" s="326"/>
      <c r="F18" s="316"/>
    </row>
    <row r="19" spans="1:6" ht="16.2" thickBot="1" x14ac:dyDescent="0.35">
      <c r="A19" s="315" t="s">
        <v>28</v>
      </c>
      <c r="B19" s="313">
        <v>0</v>
      </c>
      <c r="C19" s="313">
        <v>0</v>
      </c>
      <c r="D19" s="326"/>
      <c r="E19" s="326"/>
      <c r="F19" s="316"/>
    </row>
    <row r="20" spans="1:6" ht="16.2" thickBot="1" x14ac:dyDescent="0.35">
      <c r="A20" s="315" t="s">
        <v>29</v>
      </c>
      <c r="B20" s="313">
        <v>79767</v>
      </c>
      <c r="C20" s="313">
        <v>100000</v>
      </c>
      <c r="D20" s="30" t="s">
        <v>423</v>
      </c>
      <c r="E20" s="326" t="s">
        <v>1538</v>
      </c>
      <c r="F20" s="316" t="s">
        <v>1540</v>
      </c>
    </row>
    <row r="21" spans="1:6" ht="16.2" thickBot="1" x14ac:dyDescent="0.35">
      <c r="A21" s="315" t="s">
        <v>30</v>
      </c>
      <c r="B21" s="313">
        <v>4259</v>
      </c>
      <c r="C21" s="313">
        <v>50000</v>
      </c>
      <c r="D21" s="30" t="s">
        <v>423</v>
      </c>
      <c r="E21" s="326" t="s">
        <v>79</v>
      </c>
      <c r="F21" s="316" t="s">
        <v>1541</v>
      </c>
    </row>
    <row r="22" spans="1:6" ht="16.2" thickBot="1" x14ac:dyDescent="0.35">
      <c r="A22" s="315" t="s">
        <v>1542</v>
      </c>
      <c r="B22" s="313">
        <v>4648.78</v>
      </c>
      <c r="C22" s="313">
        <v>20000</v>
      </c>
      <c r="D22" s="30" t="s">
        <v>423</v>
      </c>
      <c r="E22" s="326" t="s">
        <v>79</v>
      </c>
      <c r="F22" s="316" t="s">
        <v>1543</v>
      </c>
    </row>
    <row r="23" spans="1:6" ht="16.2" thickBot="1" x14ac:dyDescent="0.35">
      <c r="A23" s="312"/>
      <c r="B23" s="313">
        <v>0</v>
      </c>
      <c r="C23" s="313">
        <v>0</v>
      </c>
      <c r="D23" s="326"/>
      <c r="E23" s="326"/>
      <c r="F23" s="316"/>
    </row>
    <row r="24" spans="1:6" ht="16.2" thickBot="1" x14ac:dyDescent="0.35">
      <c r="A24" s="312"/>
      <c r="B24" s="313">
        <v>0</v>
      </c>
      <c r="C24" s="313">
        <v>0</v>
      </c>
      <c r="D24" s="326"/>
      <c r="E24" s="326"/>
      <c r="F24" s="316"/>
    </row>
    <row r="25" spans="1:6" ht="16.2" thickBot="1" x14ac:dyDescent="0.35">
      <c r="A25" s="312"/>
      <c r="B25" s="313">
        <v>0</v>
      </c>
      <c r="C25" s="313">
        <v>0</v>
      </c>
      <c r="D25" s="326"/>
      <c r="E25" s="326"/>
      <c r="F25" s="316"/>
    </row>
    <row r="26" spans="1:6" ht="16.2" thickBot="1" x14ac:dyDescent="0.35">
      <c r="A26" s="312"/>
      <c r="B26" s="313">
        <v>0</v>
      </c>
      <c r="C26" s="313">
        <v>0</v>
      </c>
      <c r="D26" s="326"/>
      <c r="E26" s="326"/>
      <c r="F26" s="316"/>
    </row>
    <row r="27" spans="1:6" ht="16.2" thickBot="1" x14ac:dyDescent="0.35">
      <c r="A27" s="317"/>
      <c r="B27" s="313">
        <v>0</v>
      </c>
      <c r="C27" s="313">
        <v>0</v>
      </c>
      <c r="D27" s="326"/>
      <c r="E27" s="326"/>
      <c r="F27" s="316"/>
    </row>
    <row r="28" spans="1:6" ht="16.2" thickBot="1" x14ac:dyDescent="0.35">
      <c r="A28" s="310" t="s">
        <v>32</v>
      </c>
      <c r="B28" s="318">
        <v>96038.78</v>
      </c>
      <c r="C28" s="318">
        <v>186500</v>
      </c>
      <c r="D28" s="327"/>
      <c r="E28" s="327"/>
      <c r="F28" s="319"/>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ED67-5784-48E0-8E70-F005C6ED68BC}">
  <dimension ref="A1:H33"/>
  <sheetViews>
    <sheetView topLeftCell="A16" workbookViewId="0">
      <selection activeCell="B29" sqref="B29"/>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263</v>
      </c>
      <c r="B2" s="390" t="s">
        <v>2424</v>
      </c>
      <c r="C2" s="389" t="s">
        <v>2424</v>
      </c>
      <c r="D2" s="391">
        <v>2055845</v>
      </c>
      <c r="E2" s="389" t="s">
        <v>24</v>
      </c>
      <c r="F2" s="392" t="s">
        <v>2425</v>
      </c>
      <c r="G2" s="391" t="s">
        <v>2424</v>
      </c>
      <c r="H2" s="391" t="s">
        <v>2424</v>
      </c>
    </row>
    <row r="4" spans="1:8" x14ac:dyDescent="0.3">
      <c r="A4" s="386" t="s">
        <v>11</v>
      </c>
    </row>
    <row r="6" spans="1:8" ht="16.2" thickBot="1" x14ac:dyDescent="0.35">
      <c r="A6" s="701" t="s">
        <v>12</v>
      </c>
      <c r="B6" s="10" t="s">
        <v>9</v>
      </c>
    </row>
    <row r="7" spans="1:8" ht="16.2" thickBot="1" x14ac:dyDescent="0.35">
      <c r="A7" s="700" t="s">
        <v>51</v>
      </c>
      <c r="B7" s="611">
        <v>0</v>
      </c>
      <c r="C7" s="612"/>
      <c r="D7" s="612"/>
      <c r="E7" s="612"/>
      <c r="F7" s="612"/>
      <c r="G7" s="612"/>
      <c r="H7" s="612"/>
    </row>
    <row r="8" spans="1:8" ht="16.2" thickBot="1" x14ac:dyDescent="0.35">
      <c r="A8" s="700" t="s">
        <v>53</v>
      </c>
      <c r="B8" s="611">
        <v>0</v>
      </c>
      <c r="C8" s="612"/>
      <c r="D8" s="612"/>
      <c r="E8" s="612"/>
      <c r="F8" s="612"/>
      <c r="G8" s="612"/>
      <c r="H8" s="612"/>
    </row>
    <row r="9" spans="1:8" ht="16.2" thickBot="1" x14ac:dyDescent="0.35">
      <c r="A9" s="700" t="s">
        <v>55</v>
      </c>
      <c r="B9" s="611">
        <v>0</v>
      </c>
      <c r="C9" s="612"/>
      <c r="D9" s="612"/>
      <c r="E9" s="612"/>
      <c r="F9" s="612"/>
      <c r="G9" s="612"/>
      <c r="H9" s="612"/>
    </row>
    <row r="10" spans="1:8" ht="16.2" thickBot="1" x14ac:dyDescent="0.35">
      <c r="A10" s="700" t="s">
        <v>57</v>
      </c>
      <c r="B10" s="611">
        <v>0</v>
      </c>
      <c r="C10" s="612"/>
      <c r="D10" s="612"/>
      <c r="E10" s="612"/>
      <c r="F10" s="612"/>
      <c r="G10" s="612"/>
      <c r="H10" s="612"/>
    </row>
    <row r="11" spans="1:8" ht="16.2" thickBot="1" x14ac:dyDescent="0.35">
      <c r="A11" s="700"/>
      <c r="B11" s="611">
        <v>0</v>
      </c>
      <c r="C11" s="612"/>
      <c r="D11" s="612"/>
      <c r="E11" s="612"/>
      <c r="F11" s="612"/>
      <c r="G11" s="612"/>
      <c r="H11" s="612"/>
    </row>
    <row r="12" spans="1:8" ht="16.2" thickBot="1" x14ac:dyDescent="0.35">
      <c r="A12" s="700"/>
      <c r="B12" s="10"/>
      <c r="C12" s="374">
        <f>SUM(B7:B11)</f>
        <v>0</v>
      </c>
    </row>
    <row r="13" spans="1:8" x14ac:dyDescent="0.3">
      <c r="A13" s="699"/>
      <c r="C13" s="10" t="s">
        <v>9</v>
      </c>
    </row>
    <row r="15" spans="1:8" ht="31.2" x14ac:dyDescent="0.3">
      <c r="A15" s="384" t="s">
        <v>17</v>
      </c>
      <c r="B15" s="385" t="s">
        <v>18</v>
      </c>
      <c r="C15" s="384" t="s">
        <v>19</v>
      </c>
      <c r="D15" s="384" t="s">
        <v>20</v>
      </c>
      <c r="E15" s="384" t="s">
        <v>21</v>
      </c>
      <c r="F15" s="384" t="s">
        <v>22</v>
      </c>
    </row>
    <row r="16" spans="1:8" x14ac:dyDescent="0.3">
      <c r="A16" s="613" t="s">
        <v>2426</v>
      </c>
      <c r="B16" s="702">
        <v>0</v>
      </c>
      <c r="C16" s="703">
        <v>13300</v>
      </c>
      <c r="D16" s="614" t="s">
        <v>24</v>
      </c>
      <c r="E16" s="614" t="s">
        <v>2530</v>
      </c>
      <c r="F16" s="614" t="s">
        <v>2426</v>
      </c>
    </row>
    <row r="17" spans="1:6" x14ac:dyDescent="0.3">
      <c r="A17" s="613" t="s">
        <v>2427</v>
      </c>
      <c r="B17" s="702">
        <v>1500</v>
      </c>
      <c r="C17" s="703">
        <v>4500</v>
      </c>
      <c r="D17" s="614" t="s">
        <v>24</v>
      </c>
      <c r="E17" s="614" t="s">
        <v>2530</v>
      </c>
      <c r="F17" s="614" t="s">
        <v>2427</v>
      </c>
    </row>
    <row r="18" spans="1:6" ht="16.2" thickBot="1" x14ac:dyDescent="0.35">
      <c r="A18" s="698" t="s">
        <v>23</v>
      </c>
      <c r="B18" s="615">
        <v>1500</v>
      </c>
      <c r="C18" s="555">
        <v>3000</v>
      </c>
      <c r="D18" s="614" t="s">
        <v>24</v>
      </c>
      <c r="E18" s="614" t="s">
        <v>2530</v>
      </c>
      <c r="F18" s="700" t="s">
        <v>23</v>
      </c>
    </row>
    <row r="19" spans="1:6" ht="16.2" thickBot="1" x14ac:dyDescent="0.35">
      <c r="A19" s="698" t="s">
        <v>25</v>
      </c>
      <c r="B19" s="611">
        <v>3000</v>
      </c>
      <c r="C19" s="556">
        <v>10000</v>
      </c>
      <c r="D19" s="614" t="s">
        <v>24</v>
      </c>
      <c r="E19" s="614" t="s">
        <v>2530</v>
      </c>
      <c r="F19" s="700" t="s">
        <v>25</v>
      </c>
    </row>
    <row r="20" spans="1:6" ht="16.2" thickBot="1" x14ac:dyDescent="0.35">
      <c r="A20" s="698" t="s">
        <v>26</v>
      </c>
      <c r="B20" s="611">
        <v>0</v>
      </c>
      <c r="C20" s="556">
        <v>0</v>
      </c>
      <c r="D20" s="614" t="s">
        <v>24</v>
      </c>
      <c r="E20" s="614" t="s">
        <v>2530</v>
      </c>
      <c r="F20" s="700"/>
    </row>
    <row r="21" spans="1:6" ht="16.2" thickBot="1" x14ac:dyDescent="0.35">
      <c r="A21" s="698" t="s">
        <v>2428</v>
      </c>
      <c r="B21" s="611">
        <v>0</v>
      </c>
      <c r="C21" s="556">
        <v>0</v>
      </c>
      <c r="D21" s="614" t="s">
        <v>24</v>
      </c>
      <c r="E21" s="614" t="s">
        <v>2530</v>
      </c>
      <c r="F21" s="700"/>
    </row>
    <row r="22" spans="1:6" ht="16.2" thickBot="1" x14ac:dyDescent="0.35">
      <c r="A22" s="698" t="s">
        <v>1326</v>
      </c>
      <c r="B22" s="611">
        <v>2000</v>
      </c>
      <c r="C22" s="556">
        <v>9120</v>
      </c>
      <c r="D22" s="614" t="s">
        <v>24</v>
      </c>
      <c r="E22" s="614" t="s">
        <v>2530</v>
      </c>
      <c r="F22" s="700" t="s">
        <v>2429</v>
      </c>
    </row>
    <row r="23" spans="1:6" ht="16.2" thickBot="1" x14ac:dyDescent="0.35">
      <c r="A23" s="698" t="s">
        <v>2430</v>
      </c>
      <c r="B23" s="611">
        <v>0</v>
      </c>
      <c r="C23" s="556">
        <v>0</v>
      </c>
      <c r="D23" s="614" t="s">
        <v>24</v>
      </c>
      <c r="E23" s="614" t="s">
        <v>2530</v>
      </c>
      <c r="F23" s="700"/>
    </row>
    <row r="24" spans="1:6" ht="16.2" thickBot="1" x14ac:dyDescent="0.35">
      <c r="A24" s="698" t="s">
        <v>30</v>
      </c>
      <c r="B24" s="611">
        <v>0</v>
      </c>
      <c r="C24" s="556">
        <v>2500</v>
      </c>
      <c r="D24" s="614" t="s">
        <v>24</v>
      </c>
      <c r="E24" s="614" t="s">
        <v>2530</v>
      </c>
      <c r="F24" s="700" t="s">
        <v>30</v>
      </c>
    </row>
    <row r="25" spans="1:6" ht="16.2" thickBot="1" x14ac:dyDescent="0.35">
      <c r="A25" s="698" t="s">
        <v>2432</v>
      </c>
      <c r="B25" s="611">
        <v>0</v>
      </c>
      <c r="C25" s="556">
        <v>3000</v>
      </c>
      <c r="D25" s="614" t="s">
        <v>24</v>
      </c>
      <c r="E25" s="614" t="s">
        <v>2530</v>
      </c>
      <c r="F25" s="700" t="s">
        <v>2433</v>
      </c>
    </row>
    <row r="26" spans="1:6" ht="16.2" thickBot="1" x14ac:dyDescent="0.35">
      <c r="A26" s="700" t="s">
        <v>2434</v>
      </c>
      <c r="B26" s="611">
        <v>0</v>
      </c>
      <c r="C26" s="556">
        <v>0</v>
      </c>
      <c r="D26" s="614" t="s">
        <v>24</v>
      </c>
      <c r="E26" s="614" t="s">
        <v>2530</v>
      </c>
      <c r="F26" s="227"/>
    </row>
    <row r="27" spans="1:6" ht="16.2" thickBot="1" x14ac:dyDescent="0.35">
      <c r="A27" s="700" t="s">
        <v>2436</v>
      </c>
      <c r="B27" s="611">
        <v>0</v>
      </c>
      <c r="C27" s="556">
        <v>0</v>
      </c>
      <c r="D27" s="614" t="s">
        <v>24</v>
      </c>
      <c r="E27" s="614" t="s">
        <v>2530</v>
      </c>
      <c r="F27" s="700"/>
    </row>
    <row r="28" spans="1:6" ht="16.2" thickBot="1" x14ac:dyDescent="0.35">
      <c r="A28" s="700" t="s">
        <v>2437</v>
      </c>
      <c r="B28" s="611">
        <v>0</v>
      </c>
      <c r="C28" s="556"/>
      <c r="D28" s="614" t="s">
        <v>24</v>
      </c>
      <c r="E28" s="614" t="s">
        <v>2530</v>
      </c>
      <c r="F28" s="227"/>
    </row>
    <row r="29" spans="1:6" ht="16.2" thickBot="1" x14ac:dyDescent="0.35">
      <c r="A29" s="700" t="s">
        <v>2439</v>
      </c>
      <c r="B29" s="611">
        <v>0</v>
      </c>
      <c r="C29" s="556">
        <v>0</v>
      </c>
      <c r="D29" s="614" t="s">
        <v>24</v>
      </c>
      <c r="E29" s="614" t="s">
        <v>2530</v>
      </c>
      <c r="F29" s="700"/>
    </row>
    <row r="30" spans="1:6" ht="16.2" thickBot="1" x14ac:dyDescent="0.35">
      <c r="A30" s="700" t="s">
        <v>2440</v>
      </c>
      <c r="B30" s="611">
        <v>0</v>
      </c>
      <c r="C30" s="556">
        <v>0</v>
      </c>
      <c r="D30" s="614" t="s">
        <v>10</v>
      </c>
      <c r="E30" s="614" t="s">
        <v>2530</v>
      </c>
      <c r="F30" s="700"/>
    </row>
    <row r="31" spans="1:6" ht="16.2" thickBot="1" x14ac:dyDescent="0.35">
      <c r="A31" s="700" t="s">
        <v>2441</v>
      </c>
      <c r="B31" s="611">
        <v>0</v>
      </c>
      <c r="C31" s="556">
        <v>0</v>
      </c>
      <c r="D31" s="614" t="s">
        <v>24</v>
      </c>
      <c r="E31" s="614" t="s">
        <v>2530</v>
      </c>
      <c r="F31" s="700"/>
    </row>
    <row r="32" spans="1:6" ht="16.2" thickBot="1" x14ac:dyDescent="0.35">
      <c r="A32" s="378" t="s">
        <v>1324</v>
      </c>
      <c r="B32" s="611">
        <v>0</v>
      </c>
      <c r="C32" s="556">
        <v>0</v>
      </c>
      <c r="D32" s="614" t="s">
        <v>24</v>
      </c>
      <c r="E32" s="614" t="s">
        <v>2530</v>
      </c>
      <c r="F32" s="378"/>
    </row>
    <row r="33" spans="1:6" ht="16.2" thickBot="1" x14ac:dyDescent="0.35">
      <c r="A33" s="699" t="s">
        <v>32</v>
      </c>
      <c r="B33" s="616">
        <f>SUM(B18:B32)</f>
        <v>6500</v>
      </c>
      <c r="C33" s="704">
        <f>SUM(C18:C32)</f>
        <v>27620</v>
      </c>
      <c r="D33" s="388"/>
      <c r="E33" s="388"/>
      <c r="F33" s="380"/>
    </row>
  </sheetData>
  <pageMargins left="0.7" right="0.7" top="0.75" bottom="0.75" header="0.3" footer="0.3"/>
  <pageSetup paperSize="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1376-D219-4AD5-8717-68ACA26B267E}">
  <dimension ref="A1:H33"/>
  <sheetViews>
    <sheetView workbookViewId="0">
      <selection activeCell="D7" sqref="D7"/>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263</v>
      </c>
      <c r="B2" s="390" t="s">
        <v>2424</v>
      </c>
      <c r="C2" s="389" t="s">
        <v>2424</v>
      </c>
      <c r="D2" s="391">
        <v>2055845</v>
      </c>
      <c r="E2" s="389" t="s">
        <v>24</v>
      </c>
      <c r="F2" s="392" t="s">
        <v>2425</v>
      </c>
      <c r="G2" s="391" t="s">
        <v>2424</v>
      </c>
      <c r="H2" s="391" t="s">
        <v>2424</v>
      </c>
    </row>
    <row r="4" spans="1:8" x14ac:dyDescent="0.3">
      <c r="A4" s="386" t="s">
        <v>11</v>
      </c>
    </row>
    <row r="6" spans="1:8" ht="16.2" thickBot="1" x14ac:dyDescent="0.35">
      <c r="A6" s="701" t="s">
        <v>12</v>
      </c>
      <c r="B6" s="10" t="s">
        <v>9</v>
      </c>
    </row>
    <row r="7" spans="1:8" ht="16.2" thickBot="1" x14ac:dyDescent="0.35">
      <c r="A7" s="700" t="s">
        <v>51</v>
      </c>
      <c r="B7" s="611">
        <v>0</v>
      </c>
      <c r="C7" s="612"/>
      <c r="D7" s="612"/>
      <c r="E7" s="612"/>
      <c r="F7" s="612"/>
      <c r="G7" s="612"/>
      <c r="H7" s="612"/>
    </row>
    <row r="8" spans="1:8" ht="16.2" thickBot="1" x14ac:dyDescent="0.35">
      <c r="A8" s="700" t="s">
        <v>53</v>
      </c>
      <c r="B8" s="611">
        <v>0</v>
      </c>
      <c r="C8" s="612"/>
      <c r="D8" s="612"/>
      <c r="E8" s="612"/>
      <c r="F8" s="612"/>
      <c r="G8" s="612"/>
      <c r="H8" s="612"/>
    </row>
    <row r="9" spans="1:8" ht="16.2" thickBot="1" x14ac:dyDescent="0.35">
      <c r="A9" s="700" t="s">
        <v>55</v>
      </c>
      <c r="B9" s="611">
        <v>0</v>
      </c>
      <c r="C9" s="612"/>
      <c r="D9" s="612"/>
      <c r="E9" s="612"/>
      <c r="F9" s="612"/>
      <c r="G9" s="612"/>
      <c r="H9" s="612"/>
    </row>
    <row r="10" spans="1:8" ht="16.2" thickBot="1" x14ac:dyDescent="0.35">
      <c r="A10" s="700" t="s">
        <v>57</v>
      </c>
      <c r="B10" s="611">
        <v>0</v>
      </c>
      <c r="C10" s="612"/>
      <c r="D10" s="612"/>
      <c r="E10" s="612"/>
      <c r="F10" s="612"/>
      <c r="G10" s="612"/>
      <c r="H10" s="612"/>
    </row>
    <row r="11" spans="1:8" ht="16.2" thickBot="1" x14ac:dyDescent="0.35">
      <c r="A11" s="700"/>
      <c r="B11" s="611">
        <v>0</v>
      </c>
      <c r="C11" s="612"/>
      <c r="D11" s="612"/>
      <c r="E11" s="612"/>
      <c r="F11" s="612"/>
      <c r="G11" s="612"/>
      <c r="H11" s="612"/>
    </row>
    <row r="12" spans="1:8" ht="16.2" thickBot="1" x14ac:dyDescent="0.35">
      <c r="A12" s="700"/>
      <c r="B12" s="10"/>
      <c r="C12" s="374">
        <f>SUM(B7:B11)</f>
        <v>0</v>
      </c>
    </row>
    <row r="13" spans="1:8" x14ac:dyDescent="0.3">
      <c r="A13" s="699"/>
      <c r="C13" s="10" t="s">
        <v>9</v>
      </c>
    </row>
    <row r="15" spans="1:8" ht="31.2" x14ac:dyDescent="0.3">
      <c r="A15" s="384" t="s">
        <v>17</v>
      </c>
      <c r="B15" s="385" t="s">
        <v>18</v>
      </c>
      <c r="C15" s="384" t="s">
        <v>19</v>
      </c>
      <c r="D15" s="384" t="s">
        <v>20</v>
      </c>
      <c r="E15" s="384" t="s">
        <v>21</v>
      </c>
      <c r="F15" s="384" t="s">
        <v>22</v>
      </c>
    </row>
    <row r="16" spans="1:8" x14ac:dyDescent="0.3">
      <c r="A16" s="613" t="s">
        <v>2426</v>
      </c>
      <c r="B16" s="702">
        <v>0</v>
      </c>
      <c r="C16" s="703">
        <v>6700</v>
      </c>
      <c r="D16" s="614" t="s">
        <v>24</v>
      </c>
      <c r="E16" s="614" t="s">
        <v>2529</v>
      </c>
      <c r="F16" s="614" t="s">
        <v>2426</v>
      </c>
    </row>
    <row r="17" spans="1:6" x14ac:dyDescent="0.3">
      <c r="A17" s="613" t="s">
        <v>2427</v>
      </c>
      <c r="B17" s="702">
        <v>1500</v>
      </c>
      <c r="C17" s="703">
        <v>3000</v>
      </c>
      <c r="D17" s="614" t="s">
        <v>24</v>
      </c>
      <c r="E17" s="614" t="s">
        <v>2529</v>
      </c>
      <c r="F17" s="613" t="s">
        <v>2427</v>
      </c>
    </row>
    <row r="18" spans="1:6" ht="16.2" thickBot="1" x14ac:dyDescent="0.35">
      <c r="A18" s="698" t="s">
        <v>23</v>
      </c>
      <c r="B18" s="615">
        <v>0</v>
      </c>
      <c r="C18" s="555">
        <v>3000</v>
      </c>
      <c r="D18" s="614" t="s">
        <v>24</v>
      </c>
      <c r="E18" s="614" t="s">
        <v>2529</v>
      </c>
      <c r="F18" s="698" t="s">
        <v>23</v>
      </c>
    </row>
    <row r="19" spans="1:6" ht="16.2" thickBot="1" x14ac:dyDescent="0.35">
      <c r="A19" s="698" t="s">
        <v>25</v>
      </c>
      <c r="B19" s="611">
        <v>0</v>
      </c>
      <c r="C19" s="556">
        <v>10000</v>
      </c>
      <c r="D19" s="614" t="s">
        <v>24</v>
      </c>
      <c r="E19" s="614" t="s">
        <v>2529</v>
      </c>
      <c r="F19" s="698" t="s">
        <v>25</v>
      </c>
    </row>
    <row r="20" spans="1:6" ht="16.2" thickBot="1" x14ac:dyDescent="0.35">
      <c r="A20" s="698" t="s">
        <v>26</v>
      </c>
      <c r="B20" s="611">
        <v>745</v>
      </c>
      <c r="C20" s="556">
        <v>1100</v>
      </c>
      <c r="D20" s="614" t="s">
        <v>24</v>
      </c>
      <c r="E20" s="614" t="s">
        <v>2529</v>
      </c>
      <c r="F20" s="698" t="s">
        <v>26</v>
      </c>
    </row>
    <row r="21" spans="1:6" ht="16.2" thickBot="1" x14ac:dyDescent="0.35">
      <c r="A21" s="698" t="s">
        <v>2428</v>
      </c>
      <c r="B21" s="611">
        <v>0</v>
      </c>
      <c r="C21" s="556">
        <v>1000</v>
      </c>
      <c r="D21" s="614" t="s">
        <v>24</v>
      </c>
      <c r="E21" s="614" t="s">
        <v>2529</v>
      </c>
      <c r="F21" s="698" t="s">
        <v>2428</v>
      </c>
    </row>
    <row r="22" spans="1:6" ht="16.2" thickBot="1" x14ac:dyDescent="0.35">
      <c r="A22" s="698" t="s">
        <v>1326</v>
      </c>
      <c r="B22" s="611">
        <v>8800</v>
      </c>
      <c r="C22" s="556">
        <v>18000</v>
      </c>
      <c r="D22" s="614" t="s">
        <v>24</v>
      </c>
      <c r="E22" s="614" t="s">
        <v>2529</v>
      </c>
      <c r="F22" s="698" t="s">
        <v>2429</v>
      </c>
    </row>
    <row r="23" spans="1:6" ht="16.2" thickBot="1" x14ac:dyDescent="0.35">
      <c r="A23" s="698" t="s">
        <v>2430</v>
      </c>
      <c r="B23" s="611">
        <v>0</v>
      </c>
      <c r="C23" s="556">
        <v>15000</v>
      </c>
      <c r="D23" s="614" t="s">
        <v>24</v>
      </c>
      <c r="E23" s="614" t="s">
        <v>2529</v>
      </c>
      <c r="F23" s="698" t="s">
        <v>2431</v>
      </c>
    </row>
    <row r="24" spans="1:6" ht="16.2" thickBot="1" x14ac:dyDescent="0.35">
      <c r="A24" s="698" t="s">
        <v>30</v>
      </c>
      <c r="B24" s="611">
        <v>0</v>
      </c>
      <c r="C24" s="556">
        <v>5000</v>
      </c>
      <c r="D24" s="614" t="s">
        <v>24</v>
      </c>
      <c r="E24" s="614" t="s">
        <v>2529</v>
      </c>
      <c r="F24" s="698" t="s">
        <v>30</v>
      </c>
    </row>
    <row r="25" spans="1:6" ht="16.2" thickBot="1" x14ac:dyDescent="0.35">
      <c r="A25" s="698" t="s">
        <v>2432</v>
      </c>
      <c r="B25" s="611">
        <v>0</v>
      </c>
      <c r="C25" s="556">
        <v>3000</v>
      </c>
      <c r="D25" s="614" t="s">
        <v>10</v>
      </c>
      <c r="E25" s="614" t="s">
        <v>2529</v>
      </c>
      <c r="F25" s="698" t="s">
        <v>2433</v>
      </c>
    </row>
    <row r="26" spans="1:6" ht="16.2" thickBot="1" x14ac:dyDescent="0.35">
      <c r="A26" s="700" t="s">
        <v>2434</v>
      </c>
      <c r="B26" s="611">
        <v>8000</v>
      </c>
      <c r="C26" s="556">
        <v>8000</v>
      </c>
      <c r="D26" s="614" t="s">
        <v>24</v>
      </c>
      <c r="E26" s="614" t="s">
        <v>2529</v>
      </c>
      <c r="F26" s="377" t="s">
        <v>2435</v>
      </c>
    </row>
    <row r="27" spans="1:6" ht="16.2" thickBot="1" x14ac:dyDescent="0.35">
      <c r="A27" s="700" t="s">
        <v>2436</v>
      </c>
      <c r="B27" s="611">
        <v>8535</v>
      </c>
      <c r="C27" s="556">
        <v>8535</v>
      </c>
      <c r="D27" s="614" t="s">
        <v>24</v>
      </c>
      <c r="E27" s="614" t="s">
        <v>2529</v>
      </c>
      <c r="F27" s="700" t="s">
        <v>2436</v>
      </c>
    </row>
    <row r="28" spans="1:6" ht="16.2" thickBot="1" x14ac:dyDescent="0.35">
      <c r="A28" s="700" t="s">
        <v>2437</v>
      </c>
      <c r="B28" s="611">
        <v>6850</v>
      </c>
      <c r="C28" s="556">
        <v>6850</v>
      </c>
      <c r="D28" s="614" t="s">
        <v>24</v>
      </c>
      <c r="E28" s="614" t="s">
        <v>2529</v>
      </c>
      <c r="F28" s="377" t="s">
        <v>2438</v>
      </c>
    </row>
    <row r="29" spans="1:6" ht="16.2" thickBot="1" x14ac:dyDescent="0.35">
      <c r="A29" s="700" t="s">
        <v>2439</v>
      </c>
      <c r="B29" s="611">
        <v>0</v>
      </c>
      <c r="C29" s="556">
        <v>5343</v>
      </c>
      <c r="D29" s="614" t="s">
        <v>24</v>
      </c>
      <c r="E29" s="614" t="s">
        <v>2529</v>
      </c>
      <c r="F29" s="700" t="s">
        <v>2439</v>
      </c>
    </row>
    <row r="30" spans="1:6" ht="16.2" thickBot="1" x14ac:dyDescent="0.35">
      <c r="A30" s="700" t="s">
        <v>2440</v>
      </c>
      <c r="B30" s="611">
        <v>24975</v>
      </c>
      <c r="C30" s="556">
        <v>44550</v>
      </c>
      <c r="D30" s="614" t="s">
        <v>10</v>
      </c>
      <c r="E30" s="614" t="s">
        <v>2529</v>
      </c>
      <c r="F30" s="700" t="s">
        <v>2440</v>
      </c>
    </row>
    <row r="31" spans="1:6" ht="16.2" thickBot="1" x14ac:dyDescent="0.35">
      <c r="A31" s="700" t="s">
        <v>2441</v>
      </c>
      <c r="B31" s="611">
        <v>1527</v>
      </c>
      <c r="C31" s="556">
        <v>1947</v>
      </c>
      <c r="D31" s="614" t="s">
        <v>24</v>
      </c>
      <c r="E31" s="614" t="s">
        <v>2529</v>
      </c>
      <c r="F31" s="700" t="s">
        <v>2441</v>
      </c>
    </row>
    <row r="32" spans="1:6" ht="16.2" thickBot="1" x14ac:dyDescent="0.35">
      <c r="A32" s="378" t="s">
        <v>1324</v>
      </c>
      <c r="B32" s="611">
        <v>566</v>
      </c>
      <c r="C32" s="556">
        <v>1100</v>
      </c>
      <c r="D32" s="614" t="s">
        <v>24</v>
      </c>
      <c r="E32" s="614" t="s">
        <v>2529</v>
      </c>
      <c r="F32" s="378" t="s">
        <v>1324</v>
      </c>
    </row>
    <row r="33" spans="1:6" ht="16.2" thickBot="1" x14ac:dyDescent="0.35">
      <c r="A33" s="699" t="s">
        <v>32</v>
      </c>
      <c r="B33" s="616">
        <f>SUM(B18:B32)</f>
        <v>59998</v>
      </c>
      <c r="C33" s="704">
        <f>SUM(C18:C32)</f>
        <v>132425</v>
      </c>
      <c r="D33" s="388"/>
      <c r="E33" s="388"/>
      <c r="F33" s="380"/>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6A79-4D82-4253-B4D8-323FE8713A21}">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617</v>
      </c>
      <c r="B2" s="4">
        <v>1593000</v>
      </c>
      <c r="C2" s="3" t="s">
        <v>618</v>
      </c>
      <c r="D2" s="5">
        <v>27601660</v>
      </c>
      <c r="E2" s="3" t="s">
        <v>108</v>
      </c>
      <c r="F2" s="6" t="s">
        <v>619</v>
      </c>
      <c r="G2" s="5">
        <v>0</v>
      </c>
      <c r="H2" s="5">
        <v>818000</v>
      </c>
    </row>
    <row r="3" spans="1:8" x14ac:dyDescent="0.3">
      <c r="D3" s="7" t="s">
        <v>620</v>
      </c>
      <c r="G3" s="7" t="s">
        <v>621</v>
      </c>
      <c r="H3" s="7" t="s">
        <v>622</v>
      </c>
    </row>
    <row r="4" spans="1:8" x14ac:dyDescent="0.3">
      <c r="A4" s="8" t="s">
        <v>11</v>
      </c>
      <c r="G4" s="7" t="s">
        <v>623</v>
      </c>
      <c r="H4" s="7" t="s">
        <v>624</v>
      </c>
    </row>
    <row r="6" spans="1:8" ht="16.2" thickBot="1" x14ac:dyDescent="0.35">
      <c r="A6" s="9" t="s">
        <v>12</v>
      </c>
      <c r="B6" s="10" t="s">
        <v>9</v>
      </c>
    </row>
    <row r="7" spans="1:8" ht="16.2" thickBot="1" x14ac:dyDescent="0.35">
      <c r="A7" s="11" t="s">
        <v>51</v>
      </c>
      <c r="B7" s="12">
        <v>0</v>
      </c>
    </row>
    <row r="8" spans="1:8" ht="16.2" thickBot="1" x14ac:dyDescent="0.35">
      <c r="A8" s="11" t="s">
        <v>53</v>
      </c>
      <c r="B8" s="12">
        <v>100000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25668.013992999997</v>
      </c>
      <c r="C16" s="16">
        <v>1000</v>
      </c>
      <c r="D16" s="17" t="s">
        <v>423</v>
      </c>
      <c r="E16" s="17" t="s">
        <v>79</v>
      </c>
      <c r="F16" s="18" t="s">
        <v>625</v>
      </c>
    </row>
    <row r="17" spans="1:6" ht="16.2" thickBot="1" x14ac:dyDescent="0.35">
      <c r="A17" s="15" t="s">
        <v>25</v>
      </c>
      <c r="B17" s="12">
        <v>43458.58</v>
      </c>
      <c r="C17" s="12">
        <v>175800</v>
      </c>
      <c r="D17" s="19" t="s">
        <v>423</v>
      </c>
      <c r="E17" s="19" t="s">
        <v>79</v>
      </c>
      <c r="F17" s="20" t="s">
        <v>626</v>
      </c>
    </row>
    <row r="18" spans="1:6" ht="16.2" thickBot="1" x14ac:dyDescent="0.35">
      <c r="A18" s="15" t="s">
        <v>26</v>
      </c>
      <c r="B18" s="12">
        <v>500</v>
      </c>
      <c r="C18" s="12">
        <v>0</v>
      </c>
      <c r="D18" s="19" t="s">
        <v>108</v>
      </c>
      <c r="E18" s="19"/>
      <c r="F18" s="20" t="s">
        <v>627</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493.25</v>
      </c>
      <c r="C21" s="12">
        <v>0</v>
      </c>
      <c r="D21" s="19" t="s">
        <v>423</v>
      </c>
      <c r="E21" s="19" t="s">
        <v>79</v>
      </c>
      <c r="F21" s="20" t="s">
        <v>628</v>
      </c>
    </row>
    <row r="22" spans="1:6" ht="16.2" thickBot="1" x14ac:dyDescent="0.35">
      <c r="A22" s="15" t="s">
        <v>30</v>
      </c>
      <c r="B22" s="12">
        <v>15634.21</v>
      </c>
      <c r="C22" s="12">
        <v>2000</v>
      </c>
      <c r="D22" s="19" t="s">
        <v>423</v>
      </c>
      <c r="E22" s="19" t="s">
        <v>79</v>
      </c>
      <c r="F22" s="20" t="s">
        <v>629</v>
      </c>
    </row>
    <row r="23" spans="1:6" ht="16.2" thickBot="1" x14ac:dyDescent="0.35">
      <c r="A23" s="15" t="s">
        <v>630</v>
      </c>
      <c r="B23" s="12">
        <v>628.06999999999994</v>
      </c>
      <c r="C23" s="12">
        <v>0</v>
      </c>
      <c r="D23" s="19" t="s">
        <v>423</v>
      </c>
      <c r="E23" s="19" t="s">
        <v>79</v>
      </c>
      <c r="F23" s="20" t="s">
        <v>631</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86382.123993000016</v>
      </c>
      <c r="C29" s="22">
        <v>178800</v>
      </c>
      <c r="D29" s="23"/>
      <c r="E29" s="23"/>
      <c r="F29" s="24"/>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7478-73DF-4B3B-A2D1-3D867BA0CB1B}">
  <dimension ref="A1:H31"/>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264</v>
      </c>
      <c r="B2" s="390">
        <v>346224</v>
      </c>
      <c r="C2" s="389" t="s">
        <v>2179</v>
      </c>
      <c r="D2" s="391">
        <v>2224540</v>
      </c>
      <c r="E2" s="389" t="s">
        <v>543</v>
      </c>
      <c r="F2" s="392" t="s">
        <v>2180</v>
      </c>
      <c r="G2" s="391">
        <v>406862</v>
      </c>
      <c r="H2" s="391">
        <v>197780</v>
      </c>
    </row>
    <row r="3" spans="1:8" ht="124.8" x14ac:dyDescent="0.3">
      <c r="G3" s="510" t="s">
        <v>2181</v>
      </c>
      <c r="H3" s="511" t="s">
        <v>2182</v>
      </c>
    </row>
    <row r="4" spans="1:8" x14ac:dyDescent="0.3">
      <c r="A4" s="386" t="s">
        <v>11</v>
      </c>
    </row>
    <row r="6" spans="1:8" ht="16.2" thickBot="1" x14ac:dyDescent="0.35">
      <c r="A6" s="507" t="s">
        <v>12</v>
      </c>
      <c r="B6" s="10" t="s">
        <v>9</v>
      </c>
    </row>
    <row r="7" spans="1:8" ht="16.2" thickBot="1" x14ac:dyDescent="0.35">
      <c r="A7" s="506" t="s">
        <v>51</v>
      </c>
      <c r="B7" s="374">
        <v>0</v>
      </c>
    </row>
    <row r="8" spans="1:8" ht="16.2" thickBot="1" x14ac:dyDescent="0.35">
      <c r="A8" s="506" t="s">
        <v>53</v>
      </c>
      <c r="B8" s="374">
        <v>0</v>
      </c>
    </row>
    <row r="9" spans="1:8" ht="16.2" thickBot="1" x14ac:dyDescent="0.35">
      <c r="A9" s="506" t="s">
        <v>55</v>
      </c>
      <c r="B9" s="374">
        <v>2000</v>
      </c>
    </row>
    <row r="10" spans="1:8" ht="16.2" thickBot="1" x14ac:dyDescent="0.35">
      <c r="A10" s="506" t="s">
        <v>57</v>
      </c>
      <c r="B10" s="374">
        <v>5000</v>
      </c>
    </row>
    <row r="11" spans="1:8" ht="16.2" thickBot="1" x14ac:dyDescent="0.35">
      <c r="A11" s="506"/>
      <c r="B11" s="374">
        <v>0</v>
      </c>
    </row>
    <row r="12" spans="1:8" ht="16.2" thickBot="1" x14ac:dyDescent="0.35">
      <c r="A12" s="506"/>
      <c r="B12" s="10"/>
      <c r="C12" s="374">
        <f>SUM(B7:B11)</f>
        <v>7000</v>
      </c>
    </row>
    <row r="13" spans="1:8" x14ac:dyDescent="0.3">
      <c r="A13" s="505"/>
      <c r="C13" s="10" t="s">
        <v>9</v>
      </c>
    </row>
    <row r="15" spans="1:8" ht="31.2" x14ac:dyDescent="0.3">
      <c r="A15" s="384" t="s">
        <v>17</v>
      </c>
      <c r="B15" s="385" t="s">
        <v>18</v>
      </c>
      <c r="C15" s="384" t="s">
        <v>19</v>
      </c>
      <c r="D15" s="384" t="s">
        <v>20</v>
      </c>
      <c r="E15" s="384" t="s">
        <v>21</v>
      </c>
      <c r="F15" s="384" t="s">
        <v>22</v>
      </c>
    </row>
    <row r="16" spans="1:8" ht="31.8" thickBot="1" x14ac:dyDescent="0.35">
      <c r="A16" s="504" t="s">
        <v>23</v>
      </c>
      <c r="B16" s="382">
        <v>2864</v>
      </c>
      <c r="C16" s="382">
        <v>1500</v>
      </c>
      <c r="D16" s="359" t="s">
        <v>543</v>
      </c>
      <c r="E16" s="359" t="s">
        <v>79</v>
      </c>
      <c r="F16" s="32" t="s">
        <v>2183</v>
      </c>
    </row>
    <row r="17" spans="1:6" ht="16.2" thickBot="1" x14ac:dyDescent="0.35">
      <c r="A17" s="504" t="s">
        <v>25</v>
      </c>
      <c r="B17" s="374">
        <v>5615.64</v>
      </c>
      <c r="C17" s="374">
        <v>400</v>
      </c>
      <c r="D17" s="387"/>
      <c r="E17" s="387"/>
      <c r="F17" s="377" t="s">
        <v>2184</v>
      </c>
    </row>
    <row r="18" spans="1:6" ht="16.2" thickBot="1" x14ac:dyDescent="0.35">
      <c r="A18" s="504" t="s">
        <v>26</v>
      </c>
      <c r="B18" s="374">
        <v>0</v>
      </c>
      <c r="C18" s="374">
        <v>0</v>
      </c>
      <c r="D18" s="387"/>
      <c r="E18" s="387"/>
      <c r="F18" s="377"/>
    </row>
    <row r="19" spans="1:6" ht="16.2" thickBot="1" x14ac:dyDescent="0.35">
      <c r="A19" s="504" t="s">
        <v>27</v>
      </c>
      <c r="B19" s="374">
        <v>0</v>
      </c>
      <c r="C19" s="374">
        <v>0</v>
      </c>
      <c r="D19" s="387"/>
      <c r="E19" s="387"/>
      <c r="F19" s="377"/>
    </row>
    <row r="20" spans="1:6" ht="16.2" thickBot="1" x14ac:dyDescent="0.35">
      <c r="A20" s="504" t="s">
        <v>28</v>
      </c>
      <c r="B20" s="374">
        <v>0</v>
      </c>
      <c r="C20" s="374">
        <v>0</v>
      </c>
      <c r="D20" s="387"/>
      <c r="E20" s="387"/>
      <c r="F20" s="377"/>
    </row>
    <row r="21" spans="1:6" ht="16.2" thickBot="1" x14ac:dyDescent="0.35">
      <c r="A21" s="504" t="s">
        <v>29</v>
      </c>
      <c r="B21" s="374">
        <v>2988.82</v>
      </c>
      <c r="C21" s="374">
        <v>1200</v>
      </c>
      <c r="D21" s="387"/>
      <c r="E21" s="387"/>
      <c r="F21" s="377"/>
    </row>
    <row r="22" spans="1:6" ht="16.2" thickBot="1" x14ac:dyDescent="0.35">
      <c r="A22" s="504" t="s">
        <v>30</v>
      </c>
      <c r="B22" s="374">
        <v>1193.98</v>
      </c>
      <c r="C22" s="374">
        <v>0</v>
      </c>
      <c r="D22" s="387"/>
      <c r="E22" s="387"/>
      <c r="F22" s="377"/>
    </row>
    <row r="23" spans="1:6" ht="16.2" thickBot="1" x14ac:dyDescent="0.35">
      <c r="A23" s="506"/>
      <c r="B23" s="374">
        <v>0</v>
      </c>
      <c r="C23" s="374">
        <v>0</v>
      </c>
      <c r="D23" s="387"/>
      <c r="E23" s="387"/>
      <c r="F23" s="377"/>
    </row>
    <row r="24" spans="1:6" ht="16.2" thickBot="1" x14ac:dyDescent="0.35">
      <c r="A24" s="506"/>
      <c r="B24" s="374">
        <v>0</v>
      </c>
      <c r="C24" s="374">
        <v>0</v>
      </c>
      <c r="D24" s="387"/>
      <c r="E24" s="387"/>
      <c r="F24" s="377"/>
    </row>
    <row r="25" spans="1:6" ht="16.2" thickBot="1" x14ac:dyDescent="0.35">
      <c r="A25" s="506"/>
      <c r="B25" s="374">
        <v>0</v>
      </c>
      <c r="C25" s="374">
        <v>0</v>
      </c>
      <c r="D25" s="387"/>
      <c r="E25" s="387"/>
      <c r="F25" s="377"/>
    </row>
    <row r="26" spans="1:6" ht="16.2" thickBot="1" x14ac:dyDescent="0.35">
      <c r="A26" s="506"/>
      <c r="B26" s="374">
        <v>0</v>
      </c>
      <c r="C26" s="374">
        <v>0</v>
      </c>
      <c r="D26" s="387"/>
      <c r="E26" s="387"/>
      <c r="F26" s="377"/>
    </row>
    <row r="27" spans="1:6" ht="16.2" thickBot="1" x14ac:dyDescent="0.35">
      <c r="A27" s="506"/>
      <c r="B27" s="374">
        <v>0</v>
      </c>
      <c r="C27" s="374">
        <v>0</v>
      </c>
      <c r="D27" s="387"/>
      <c r="E27" s="387"/>
      <c r="F27" s="377"/>
    </row>
    <row r="28" spans="1:6" ht="16.2" thickBot="1" x14ac:dyDescent="0.35">
      <c r="A28" s="378"/>
      <c r="B28" s="374">
        <v>0</v>
      </c>
      <c r="C28" s="374">
        <v>0</v>
      </c>
      <c r="D28" s="387"/>
      <c r="E28" s="387"/>
      <c r="F28" s="377"/>
    </row>
    <row r="29" spans="1:6" ht="16.2" thickBot="1" x14ac:dyDescent="0.35">
      <c r="A29" s="505" t="s">
        <v>32</v>
      </c>
      <c r="B29" s="379">
        <f>SUM(B16:B28)</f>
        <v>12662.439999999999</v>
      </c>
      <c r="C29" s="379">
        <f>SUM(C16:C28)</f>
        <v>3100</v>
      </c>
      <c r="D29" s="388"/>
      <c r="E29" s="388"/>
      <c r="F29" s="380"/>
    </row>
    <row r="31" spans="1:6" x14ac:dyDescent="0.3">
      <c r="C31" s="396">
        <f>SUM(B29:C29)</f>
        <v>15762.439999999999</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DC20-6475-4F62-B4F8-4B884242D6C5}">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2.6640625" style="7" customWidth="1"/>
    <col min="4" max="4" width="25.33203125" style="7" customWidth="1"/>
    <col min="5" max="5" width="30.6640625" style="7" customWidth="1"/>
    <col min="6" max="6" width="57.5546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09.8" thickBot="1" x14ac:dyDescent="0.35">
      <c r="A2" s="3" t="s">
        <v>632</v>
      </c>
      <c r="B2" s="4">
        <v>106000</v>
      </c>
      <c r="C2" s="3" t="s">
        <v>633</v>
      </c>
      <c r="D2" s="5">
        <v>6665234</v>
      </c>
      <c r="E2" s="3" t="s">
        <v>634</v>
      </c>
      <c r="F2" s="6" t="s">
        <v>635</v>
      </c>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7000</v>
      </c>
    </row>
    <row r="9" spans="1:8" ht="16.2" thickBot="1" x14ac:dyDescent="0.35">
      <c r="A9" s="11"/>
      <c r="B9" s="12">
        <v>0</v>
      </c>
    </row>
    <row r="10" spans="1:8" ht="16.2" thickBot="1" x14ac:dyDescent="0.35">
      <c r="A10" s="11"/>
      <c r="B10" s="12">
        <v>0</v>
      </c>
    </row>
    <row r="11" spans="1:8" ht="16.2" thickBot="1" x14ac:dyDescent="0.35">
      <c r="A11" s="11"/>
      <c r="B11" s="10"/>
      <c r="C11" s="12">
        <v>7000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12599.85</v>
      </c>
      <c r="C15" s="16">
        <v>17599.849999999999</v>
      </c>
      <c r="D15" s="29" t="s">
        <v>24</v>
      </c>
      <c r="E15" s="29" t="s">
        <v>636</v>
      </c>
      <c r="F15" s="18" t="s">
        <v>637</v>
      </c>
    </row>
    <row r="16" spans="1:8" ht="31.8" thickBot="1" x14ac:dyDescent="0.35">
      <c r="A16" s="15" t="s">
        <v>25</v>
      </c>
      <c r="B16" s="12">
        <v>45327.53</v>
      </c>
      <c r="C16" s="12">
        <v>52327.53</v>
      </c>
      <c r="D16" s="29" t="s">
        <v>24</v>
      </c>
      <c r="E16" s="29" t="s">
        <v>636</v>
      </c>
      <c r="F16" s="33" t="s">
        <v>638</v>
      </c>
    </row>
    <row r="17" spans="1:6" ht="16.2" thickBot="1" x14ac:dyDescent="0.35">
      <c r="A17" s="15" t="s">
        <v>26</v>
      </c>
      <c r="B17" s="12">
        <v>0</v>
      </c>
      <c r="C17" s="12">
        <v>0</v>
      </c>
      <c r="D17" s="30"/>
      <c r="E17" s="19"/>
      <c r="F17" s="20"/>
    </row>
    <row r="18" spans="1:6" ht="16.2" thickBot="1" x14ac:dyDescent="0.35">
      <c r="A18" s="15" t="s">
        <v>27</v>
      </c>
      <c r="B18" s="12">
        <v>0</v>
      </c>
      <c r="C18" s="12">
        <v>0</v>
      </c>
      <c r="D18" s="30"/>
      <c r="E18" s="19"/>
      <c r="F18" s="20"/>
    </row>
    <row r="19" spans="1:6" ht="31.8" thickBot="1" x14ac:dyDescent="0.35">
      <c r="A19" s="15" t="s">
        <v>28</v>
      </c>
      <c r="B19" s="12">
        <v>488</v>
      </c>
      <c r="C19" s="12">
        <v>8400</v>
      </c>
      <c r="D19" s="29" t="s">
        <v>24</v>
      </c>
      <c r="E19" s="29" t="s">
        <v>636</v>
      </c>
      <c r="F19" s="33" t="s">
        <v>639</v>
      </c>
    </row>
    <row r="20" spans="1:6" ht="16.2" thickBot="1" x14ac:dyDescent="0.35">
      <c r="A20" s="15" t="s">
        <v>29</v>
      </c>
      <c r="B20" s="12">
        <v>1619.01</v>
      </c>
      <c r="C20" s="12">
        <v>1619.01</v>
      </c>
      <c r="D20" s="29" t="s">
        <v>24</v>
      </c>
      <c r="E20" s="29" t="s">
        <v>636</v>
      </c>
      <c r="F20" s="20" t="s">
        <v>640</v>
      </c>
    </row>
    <row r="21" spans="1:6" ht="16.2" thickBot="1" x14ac:dyDescent="0.35">
      <c r="A21" s="15" t="s">
        <v>30</v>
      </c>
      <c r="B21" s="12">
        <v>2377.9699999999998</v>
      </c>
      <c r="C21" s="12">
        <v>7377.9699999999993</v>
      </c>
      <c r="D21" s="29" t="s">
        <v>24</v>
      </c>
      <c r="E21" s="29" t="s">
        <v>636</v>
      </c>
      <c r="F21" s="20" t="s">
        <v>40</v>
      </c>
    </row>
    <row r="22" spans="1:6" ht="16.2" thickBot="1" x14ac:dyDescent="0.35">
      <c r="A22" s="15" t="s">
        <v>132</v>
      </c>
      <c r="B22" s="12">
        <v>200</v>
      </c>
      <c r="C22" s="12">
        <v>6700</v>
      </c>
      <c r="D22" s="29" t="s">
        <v>24</v>
      </c>
      <c r="E22" s="29" t="s">
        <v>636</v>
      </c>
      <c r="F22" s="20" t="s">
        <v>641</v>
      </c>
    </row>
    <row r="23" spans="1:6" ht="16.2" thickBot="1" x14ac:dyDescent="0.35">
      <c r="A23" s="15" t="s">
        <v>642</v>
      </c>
      <c r="B23" s="12">
        <v>331.12</v>
      </c>
      <c r="C23" s="12">
        <v>4400</v>
      </c>
      <c r="D23" s="29" t="s">
        <v>24</v>
      </c>
      <c r="E23" s="29" t="s">
        <v>636</v>
      </c>
      <c r="F23" s="20" t="s">
        <v>643</v>
      </c>
    </row>
    <row r="24" spans="1:6" ht="16.2" thickBot="1" x14ac:dyDescent="0.35">
      <c r="A24" s="15" t="s">
        <v>644</v>
      </c>
      <c r="B24" s="12">
        <v>634.17999999999995</v>
      </c>
      <c r="C24" s="12">
        <v>2634.18</v>
      </c>
      <c r="D24" s="29" t="s">
        <v>24</v>
      </c>
      <c r="E24" s="29" t="s">
        <v>636</v>
      </c>
      <c r="F24" s="20" t="s">
        <v>645</v>
      </c>
    </row>
    <row r="25" spans="1:6" ht="16.2" thickBot="1" x14ac:dyDescent="0.35">
      <c r="A25" s="15" t="s">
        <v>646</v>
      </c>
      <c r="B25" s="12">
        <v>490</v>
      </c>
      <c r="C25" s="12">
        <v>490</v>
      </c>
      <c r="D25" s="29" t="s">
        <v>24</v>
      </c>
      <c r="E25" s="29" t="s">
        <v>636</v>
      </c>
      <c r="F25" s="20" t="s">
        <v>647</v>
      </c>
    </row>
    <row r="26" spans="1:6" ht="31.8" thickBot="1" x14ac:dyDescent="0.35">
      <c r="A26" s="15" t="s">
        <v>648</v>
      </c>
      <c r="B26" s="12">
        <v>5871.23</v>
      </c>
      <c r="C26" s="12">
        <v>7442.13</v>
      </c>
      <c r="D26" s="29" t="s">
        <v>24</v>
      </c>
      <c r="E26" s="29" t="s">
        <v>636</v>
      </c>
      <c r="F26" s="33" t="s">
        <v>649</v>
      </c>
    </row>
    <row r="27" spans="1:6" ht="16.2" thickBot="1" x14ac:dyDescent="0.35">
      <c r="A27" s="21"/>
      <c r="B27" s="12">
        <v>0</v>
      </c>
      <c r="C27" s="12">
        <v>0</v>
      </c>
      <c r="D27" s="30"/>
      <c r="E27" s="19"/>
      <c r="F27" s="20"/>
    </row>
    <row r="28" spans="1:6" ht="16.2" thickBot="1" x14ac:dyDescent="0.35">
      <c r="A28" s="13" t="s">
        <v>32</v>
      </c>
      <c r="B28" s="22">
        <v>69938.89</v>
      </c>
      <c r="C28" s="22">
        <v>108990.67</v>
      </c>
      <c r="D28" s="34"/>
      <c r="E28" s="23"/>
      <c r="F28" s="24"/>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E304-B6D9-484F-8ABF-A93172D5F9FE}">
  <dimension ref="A1:H28"/>
  <sheetViews>
    <sheetView topLeftCell="A7" workbookViewId="0">
      <selection activeCell="E11" sqref="E11:J11"/>
    </sheetView>
  </sheetViews>
  <sheetFormatPr defaultColWidth="9.109375" defaultRowHeight="15.6" x14ac:dyDescent="0.3"/>
  <cols>
    <col min="1" max="1" width="56.3320312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650</v>
      </c>
      <c r="B2" s="4">
        <v>1000000</v>
      </c>
      <c r="C2" s="3" t="s">
        <v>651</v>
      </c>
      <c r="D2" s="5">
        <v>62816389</v>
      </c>
      <c r="E2" s="3" t="s">
        <v>108</v>
      </c>
      <c r="F2" s="6"/>
      <c r="G2" s="5">
        <v>0</v>
      </c>
      <c r="H2" s="5">
        <v>0</v>
      </c>
    </row>
    <row r="4" spans="1:8" x14ac:dyDescent="0.3">
      <c r="A4" s="8" t="s">
        <v>11</v>
      </c>
    </row>
    <row r="6" spans="1:8" ht="16.2" thickBot="1" x14ac:dyDescent="0.35">
      <c r="A6" s="9" t="s">
        <v>12</v>
      </c>
      <c r="B6" s="10" t="s">
        <v>9</v>
      </c>
    </row>
    <row r="7" spans="1:8" ht="16.2" thickBot="1" x14ac:dyDescent="0.35">
      <c r="A7" s="11" t="s">
        <v>13</v>
      </c>
      <c r="B7" s="12">
        <v>175000</v>
      </c>
    </row>
    <row r="8" spans="1:8" ht="16.2" thickBot="1" x14ac:dyDescent="0.35">
      <c r="A8" s="11" t="s">
        <v>14</v>
      </c>
      <c r="B8" s="12">
        <v>0</v>
      </c>
    </row>
    <row r="9" spans="1:8" ht="16.2" thickBot="1" x14ac:dyDescent="0.35">
      <c r="A9" s="11"/>
      <c r="B9" s="12">
        <v>0</v>
      </c>
    </row>
    <row r="10" spans="1:8" ht="16.2" thickBot="1" x14ac:dyDescent="0.35">
      <c r="A10" s="11" t="s">
        <v>652</v>
      </c>
      <c r="B10" s="12">
        <v>1000000</v>
      </c>
    </row>
    <row r="11" spans="1:8" ht="16.2" thickBot="1" x14ac:dyDescent="0.35">
      <c r="A11" s="11"/>
      <c r="B11" s="10"/>
      <c r="C11" s="12">
        <v>1175000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196635.59</v>
      </c>
      <c r="D15" s="50" t="s">
        <v>653</v>
      </c>
      <c r="E15" s="50" t="s">
        <v>79</v>
      </c>
      <c r="F15" s="18"/>
    </row>
    <row r="16" spans="1:8" ht="16.2" thickBot="1" x14ac:dyDescent="0.35">
      <c r="A16" s="15" t="s">
        <v>25</v>
      </c>
      <c r="B16" s="12">
        <v>0</v>
      </c>
      <c r="C16" s="12">
        <v>3400</v>
      </c>
      <c r="D16" s="50" t="s">
        <v>653</v>
      </c>
      <c r="E16" s="50" t="s">
        <v>79</v>
      </c>
      <c r="F16" s="20"/>
    </row>
    <row r="17" spans="1:6" ht="16.2" thickBot="1" x14ac:dyDescent="0.35">
      <c r="A17" s="15" t="s">
        <v>26</v>
      </c>
      <c r="B17" s="12">
        <v>0</v>
      </c>
      <c r="C17" s="12">
        <v>0</v>
      </c>
      <c r="D17" s="50" t="s">
        <v>9</v>
      </c>
      <c r="E17" s="50" t="s">
        <v>9</v>
      </c>
      <c r="F17" s="20"/>
    </row>
    <row r="18" spans="1:6" ht="16.2" thickBot="1" x14ac:dyDescent="0.35">
      <c r="A18" s="15" t="s">
        <v>27</v>
      </c>
      <c r="B18" s="12">
        <v>0</v>
      </c>
      <c r="C18" s="12">
        <v>25078.66</v>
      </c>
      <c r="D18" s="50" t="s">
        <v>24</v>
      </c>
      <c r="E18" s="50" t="s">
        <v>79</v>
      </c>
      <c r="F18" s="20"/>
    </row>
    <row r="19" spans="1:6" ht="16.2" thickBot="1" x14ac:dyDescent="0.35">
      <c r="A19" s="15" t="s">
        <v>28</v>
      </c>
      <c r="B19" s="12">
        <v>0</v>
      </c>
      <c r="C19" s="12">
        <v>0</v>
      </c>
      <c r="D19" s="50" t="s">
        <v>9</v>
      </c>
      <c r="E19" s="50" t="s">
        <v>9</v>
      </c>
      <c r="F19" s="20"/>
    </row>
    <row r="20" spans="1:6" ht="16.2" thickBot="1" x14ac:dyDescent="0.35">
      <c r="A20" s="15" t="s">
        <v>29</v>
      </c>
      <c r="B20" s="12">
        <v>0</v>
      </c>
      <c r="C20" s="12">
        <v>15000</v>
      </c>
      <c r="D20" s="50" t="s">
        <v>24</v>
      </c>
      <c r="E20" s="50" t="s">
        <v>79</v>
      </c>
      <c r="F20" s="20"/>
    </row>
    <row r="21" spans="1:6" ht="16.2" thickBot="1" x14ac:dyDescent="0.35">
      <c r="A21" s="15" t="s">
        <v>30</v>
      </c>
      <c r="B21" s="12">
        <v>0</v>
      </c>
      <c r="C21" s="12">
        <v>47882.73</v>
      </c>
      <c r="D21" s="50" t="s">
        <v>653</v>
      </c>
      <c r="E21" s="50" t="s">
        <v>79</v>
      </c>
      <c r="F21" s="20"/>
    </row>
    <row r="22" spans="1:6" ht="16.2" thickBot="1" x14ac:dyDescent="0.35">
      <c r="A22" s="11"/>
      <c r="B22" s="12">
        <v>0</v>
      </c>
      <c r="C22" s="12">
        <v>0</v>
      </c>
      <c r="D22" s="50" t="s">
        <v>9</v>
      </c>
      <c r="E22" s="50" t="s">
        <v>9</v>
      </c>
      <c r="F22" s="20"/>
    </row>
    <row r="23" spans="1:6" ht="16.2" thickBot="1" x14ac:dyDescent="0.35">
      <c r="A23" s="15" t="s">
        <v>654</v>
      </c>
      <c r="B23" s="12">
        <v>0</v>
      </c>
      <c r="C23" s="12">
        <v>794110</v>
      </c>
      <c r="D23" s="50" t="s">
        <v>24</v>
      </c>
      <c r="E23" s="50" t="s">
        <v>79</v>
      </c>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0</v>
      </c>
      <c r="C28" s="22">
        <v>1082106.98</v>
      </c>
      <c r="D28" s="23"/>
      <c r="E28" s="23"/>
      <c r="F28" s="2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41FF-ABDF-472C-B2C4-0D5C96D6008A}">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5.332031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2232</v>
      </c>
      <c r="B2" s="390">
        <f>C12</f>
        <v>21600</v>
      </c>
      <c r="C2" s="389" t="s">
        <v>2233</v>
      </c>
      <c r="D2" s="391">
        <v>4518214</v>
      </c>
      <c r="E2" s="389" t="s">
        <v>1309</v>
      </c>
      <c r="F2" s="392" t="s">
        <v>2234</v>
      </c>
      <c r="G2" s="391">
        <v>0</v>
      </c>
      <c r="H2" s="391">
        <v>0</v>
      </c>
    </row>
    <row r="4" spans="1:8" x14ac:dyDescent="0.3">
      <c r="A4" s="386" t="s">
        <v>11</v>
      </c>
    </row>
    <row r="6" spans="1:8" ht="16.2" thickBot="1" x14ac:dyDescent="0.35">
      <c r="A6" s="640" t="s">
        <v>12</v>
      </c>
      <c r="B6" s="10" t="s">
        <v>9</v>
      </c>
    </row>
    <row r="7" spans="1:8" ht="16.2" thickBot="1" x14ac:dyDescent="0.35">
      <c r="A7" s="639" t="s">
        <v>51</v>
      </c>
      <c r="B7" s="374">
        <v>0</v>
      </c>
    </row>
    <row r="8" spans="1:8" ht="16.2" thickBot="1" x14ac:dyDescent="0.35">
      <c r="A8" s="639" t="s">
        <v>53</v>
      </c>
      <c r="B8" s="374">
        <v>18000</v>
      </c>
    </row>
    <row r="9" spans="1:8" ht="16.2" thickBot="1" x14ac:dyDescent="0.35">
      <c r="A9" s="639" t="s">
        <v>55</v>
      </c>
      <c r="B9" s="374">
        <v>3600</v>
      </c>
    </row>
    <row r="10" spans="1:8" ht="16.2" thickBot="1" x14ac:dyDescent="0.35">
      <c r="A10" s="639" t="s">
        <v>57</v>
      </c>
      <c r="B10" s="374">
        <v>0</v>
      </c>
    </row>
    <row r="11" spans="1:8" ht="16.2" thickBot="1" x14ac:dyDescent="0.35">
      <c r="A11" s="639"/>
      <c r="B11" s="374">
        <v>0</v>
      </c>
    </row>
    <row r="12" spans="1:8" ht="16.2" thickBot="1" x14ac:dyDescent="0.35">
      <c r="A12" s="639"/>
      <c r="B12" s="10"/>
      <c r="C12" s="374">
        <f>SUM(B7:B11)</f>
        <v>21600</v>
      </c>
    </row>
    <row r="13" spans="1:8" x14ac:dyDescent="0.3">
      <c r="A13" s="638"/>
      <c r="C13" s="10" t="s">
        <v>9</v>
      </c>
    </row>
    <row r="15" spans="1:8" ht="31.2" x14ac:dyDescent="0.3">
      <c r="A15" s="384" t="s">
        <v>17</v>
      </c>
      <c r="B15" s="385" t="s">
        <v>18</v>
      </c>
      <c r="C15" s="384" t="s">
        <v>19</v>
      </c>
      <c r="D15" s="384" t="s">
        <v>20</v>
      </c>
      <c r="E15" s="384" t="s">
        <v>21</v>
      </c>
      <c r="F15" s="384" t="s">
        <v>22</v>
      </c>
    </row>
    <row r="16" spans="1:8" ht="16.2" thickBot="1" x14ac:dyDescent="0.35">
      <c r="A16" s="637" t="s">
        <v>23</v>
      </c>
      <c r="B16" s="382">
        <f>13331.51+4082.06</f>
        <v>17413.57</v>
      </c>
      <c r="C16" s="382">
        <v>50000</v>
      </c>
      <c r="D16" s="359" t="s">
        <v>423</v>
      </c>
      <c r="E16" s="359" t="s">
        <v>2235</v>
      </c>
      <c r="F16" s="383"/>
    </row>
    <row r="17" spans="1:6" ht="16.2" thickBot="1" x14ac:dyDescent="0.35">
      <c r="A17" s="637" t="s">
        <v>25</v>
      </c>
      <c r="B17" s="374">
        <v>38410.43</v>
      </c>
      <c r="C17" s="374">
        <v>60000</v>
      </c>
      <c r="D17" s="387" t="s">
        <v>423</v>
      </c>
      <c r="E17" s="359" t="s">
        <v>2235</v>
      </c>
      <c r="F17" s="377"/>
    </row>
    <row r="18" spans="1:6" ht="16.2" thickBot="1" x14ac:dyDescent="0.35">
      <c r="A18" s="637" t="s">
        <v>26</v>
      </c>
      <c r="B18" s="374">
        <v>0</v>
      </c>
      <c r="C18" s="374">
        <v>0</v>
      </c>
      <c r="D18" s="387"/>
      <c r="E18" s="387"/>
      <c r="F18" s="377"/>
    </row>
    <row r="19" spans="1:6" ht="16.2" thickBot="1" x14ac:dyDescent="0.35">
      <c r="A19" s="637" t="s">
        <v>27</v>
      </c>
      <c r="B19" s="374">
        <v>0</v>
      </c>
      <c r="C19" s="374">
        <v>0</v>
      </c>
      <c r="D19" s="387"/>
      <c r="E19" s="387"/>
      <c r="F19" s="377"/>
    </row>
    <row r="20" spans="1:6" ht="16.2" thickBot="1" x14ac:dyDescent="0.35">
      <c r="A20" s="637" t="s">
        <v>28</v>
      </c>
      <c r="B20" s="374">
        <v>0</v>
      </c>
      <c r="C20" s="374">
        <v>0</v>
      </c>
      <c r="D20" s="387"/>
      <c r="E20" s="387"/>
      <c r="F20" s="377"/>
    </row>
    <row r="21" spans="1:6" ht="16.2" thickBot="1" x14ac:dyDescent="0.35">
      <c r="A21" s="637" t="s">
        <v>29</v>
      </c>
      <c r="B21" s="374">
        <v>36174.975124999997</v>
      </c>
      <c r="C21" s="374">
        <v>100000</v>
      </c>
      <c r="D21" s="387" t="s">
        <v>423</v>
      </c>
      <c r="E21" s="359" t="s">
        <v>2235</v>
      </c>
      <c r="F21" s="377"/>
    </row>
    <row r="22" spans="1:6" ht="16.2" thickBot="1" x14ac:dyDescent="0.35">
      <c r="A22" s="637" t="s">
        <v>30</v>
      </c>
      <c r="B22" s="374">
        <v>23933.959999999995</v>
      </c>
      <c r="C22" s="374">
        <v>45000</v>
      </c>
      <c r="D22" s="387" t="s">
        <v>423</v>
      </c>
      <c r="E22" s="359" t="s">
        <v>2235</v>
      </c>
      <c r="F22" s="377"/>
    </row>
    <row r="23" spans="1:6" ht="16.2" thickBot="1" x14ac:dyDescent="0.35">
      <c r="A23" s="266" t="s">
        <v>2469</v>
      </c>
      <c r="B23" s="374">
        <v>3038.1</v>
      </c>
      <c r="C23" s="374">
        <v>6500</v>
      </c>
      <c r="D23" s="387"/>
      <c r="E23" s="359" t="s">
        <v>2235</v>
      </c>
      <c r="F23" s="377"/>
    </row>
    <row r="24" spans="1:6" ht="16.2" thickBot="1" x14ac:dyDescent="0.35">
      <c r="A24" s="266" t="s">
        <v>2470</v>
      </c>
      <c r="B24" s="374">
        <f>47144.78+65575.52</f>
        <v>112720.3</v>
      </c>
      <c r="C24" s="374">
        <f>175000</f>
        <v>175000</v>
      </c>
      <c r="D24" s="387"/>
      <c r="E24" s="359" t="s">
        <v>2235</v>
      </c>
      <c r="F24" s="377"/>
    </row>
    <row r="25" spans="1:6" ht="16.2" thickBot="1" x14ac:dyDescent="0.35">
      <c r="A25" s="637" t="s">
        <v>658</v>
      </c>
      <c r="B25" s="374">
        <v>9362.85</v>
      </c>
      <c r="C25" s="374">
        <v>18725.7</v>
      </c>
      <c r="D25" s="387"/>
      <c r="E25" s="387"/>
      <c r="F25" s="377"/>
    </row>
    <row r="26" spans="1:6" ht="16.2" thickBot="1" x14ac:dyDescent="0.35">
      <c r="A26" s="639"/>
      <c r="B26" s="374">
        <v>0</v>
      </c>
      <c r="C26" s="374">
        <v>0</v>
      </c>
      <c r="D26" s="387"/>
      <c r="E26" s="387"/>
      <c r="F26" s="377"/>
    </row>
    <row r="27" spans="1:6" ht="16.2" thickBot="1" x14ac:dyDescent="0.35">
      <c r="A27" s="639"/>
      <c r="B27" s="374">
        <v>0</v>
      </c>
      <c r="C27" s="374">
        <v>0</v>
      </c>
      <c r="D27" s="387"/>
      <c r="E27" s="387"/>
      <c r="F27" s="377"/>
    </row>
    <row r="28" spans="1:6" ht="16.2" thickBot="1" x14ac:dyDescent="0.35">
      <c r="A28" s="378"/>
      <c r="B28" s="374">
        <v>0</v>
      </c>
      <c r="C28" s="374">
        <v>0</v>
      </c>
      <c r="D28" s="387"/>
      <c r="E28" s="387"/>
      <c r="F28" s="377"/>
    </row>
    <row r="29" spans="1:6" ht="16.2" thickBot="1" x14ac:dyDescent="0.35">
      <c r="A29" s="638" t="s">
        <v>32</v>
      </c>
      <c r="B29" s="645">
        <f>SUM(B16:B28)</f>
        <v>241054.18512499999</v>
      </c>
      <c r="C29" s="379">
        <f>SUM(C16:C28)</f>
        <v>455225.7</v>
      </c>
      <c r="D29" s="388"/>
      <c r="E29" s="388"/>
      <c r="F29" s="380"/>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5CFE-BEFC-41C8-A38B-7154C875798F}">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1982</v>
      </c>
      <c r="B2" s="390">
        <v>0</v>
      </c>
      <c r="C2" s="389" t="s">
        <v>9</v>
      </c>
      <c r="D2" s="391">
        <v>0</v>
      </c>
      <c r="E2" s="389"/>
      <c r="F2" s="392"/>
      <c r="G2" s="391">
        <v>0</v>
      </c>
      <c r="H2" s="391">
        <v>0</v>
      </c>
    </row>
    <row r="4" spans="1:8" x14ac:dyDescent="0.3">
      <c r="A4" s="386" t="s">
        <v>11</v>
      </c>
    </row>
    <row r="6" spans="1:8" ht="16.2" thickBot="1" x14ac:dyDescent="0.35">
      <c r="A6" s="381" t="s">
        <v>12</v>
      </c>
      <c r="B6" s="10" t="s">
        <v>9</v>
      </c>
    </row>
    <row r="7" spans="1:8" ht="16.2" thickBot="1" x14ac:dyDescent="0.35">
      <c r="A7" s="373" t="s">
        <v>51</v>
      </c>
      <c r="B7" s="374">
        <v>0</v>
      </c>
    </row>
    <row r="8" spans="1:8" ht="16.2" thickBot="1" x14ac:dyDescent="0.35">
      <c r="A8" s="373" t="s">
        <v>53</v>
      </c>
      <c r="B8" s="374">
        <v>0</v>
      </c>
    </row>
    <row r="9" spans="1:8" ht="16.2" thickBot="1" x14ac:dyDescent="0.35">
      <c r="A9" s="373" t="s">
        <v>55</v>
      </c>
      <c r="B9" s="374">
        <v>0</v>
      </c>
    </row>
    <row r="10" spans="1:8" ht="16.2" thickBot="1" x14ac:dyDescent="0.35">
      <c r="A10" s="373" t="s">
        <v>57</v>
      </c>
      <c r="B10" s="374">
        <v>0</v>
      </c>
    </row>
    <row r="11" spans="1:8" ht="16.2" thickBot="1" x14ac:dyDescent="0.35">
      <c r="A11" s="373"/>
      <c r="B11" s="374">
        <v>0</v>
      </c>
    </row>
    <row r="12" spans="1:8" ht="16.2" thickBot="1" x14ac:dyDescent="0.35">
      <c r="A12" s="373"/>
      <c r="B12" s="10"/>
      <c r="C12" s="374">
        <f>SUM(B7:B11)</f>
        <v>0</v>
      </c>
    </row>
    <row r="13" spans="1:8" x14ac:dyDescent="0.3">
      <c r="A13" s="371"/>
      <c r="C13" s="10" t="s">
        <v>9</v>
      </c>
    </row>
    <row r="15" spans="1:8" ht="31.2" x14ac:dyDescent="0.3">
      <c r="A15" s="384" t="s">
        <v>17</v>
      </c>
      <c r="B15" s="385" t="s">
        <v>18</v>
      </c>
      <c r="C15" s="384" t="s">
        <v>19</v>
      </c>
      <c r="D15" s="384" t="s">
        <v>20</v>
      </c>
      <c r="E15" s="384" t="s">
        <v>21</v>
      </c>
      <c r="F15" s="384" t="s">
        <v>22</v>
      </c>
    </row>
    <row r="16" spans="1:8" ht="16.2" thickBot="1" x14ac:dyDescent="0.35">
      <c r="A16" s="376" t="s">
        <v>23</v>
      </c>
      <c r="B16" s="382">
        <v>0</v>
      </c>
      <c r="C16" s="382">
        <v>0</v>
      </c>
      <c r="D16" s="359"/>
      <c r="E16" s="359"/>
      <c r="F16" s="383"/>
    </row>
    <row r="17" spans="1:6" ht="16.2" thickBot="1" x14ac:dyDescent="0.35">
      <c r="A17" s="376" t="s">
        <v>25</v>
      </c>
      <c r="B17" s="374">
        <v>0</v>
      </c>
      <c r="C17" s="374">
        <v>0</v>
      </c>
      <c r="D17" s="387"/>
      <c r="E17" s="387"/>
      <c r="F17" s="377"/>
    </row>
    <row r="18" spans="1:6" ht="16.2" thickBot="1" x14ac:dyDescent="0.35">
      <c r="A18" s="376" t="s">
        <v>26</v>
      </c>
      <c r="B18" s="374">
        <v>0</v>
      </c>
      <c r="C18" s="374">
        <v>41200</v>
      </c>
      <c r="D18" s="387"/>
      <c r="E18" s="387"/>
      <c r="F18" s="377" t="s">
        <v>1978</v>
      </c>
    </row>
    <row r="19" spans="1:6" ht="16.2" thickBot="1" x14ac:dyDescent="0.35">
      <c r="A19" s="376" t="s">
        <v>27</v>
      </c>
      <c r="B19" s="374">
        <v>0</v>
      </c>
      <c r="C19" s="374">
        <v>0</v>
      </c>
      <c r="D19" s="387"/>
      <c r="E19" s="387"/>
      <c r="F19" s="377"/>
    </row>
    <row r="20" spans="1:6" ht="16.2" thickBot="1" x14ac:dyDescent="0.35">
      <c r="A20" s="376" t="s">
        <v>28</v>
      </c>
      <c r="B20" s="374">
        <v>0</v>
      </c>
      <c r="C20" s="374">
        <v>0</v>
      </c>
      <c r="D20" s="387"/>
      <c r="E20" s="387"/>
      <c r="F20" s="377"/>
    </row>
    <row r="21" spans="1:6" ht="16.2" thickBot="1" x14ac:dyDescent="0.35">
      <c r="A21" s="376" t="s">
        <v>29</v>
      </c>
      <c r="B21" s="374">
        <v>0</v>
      </c>
      <c r="C21" s="374">
        <v>555300</v>
      </c>
      <c r="D21" s="387"/>
      <c r="E21" s="387"/>
      <c r="F21" s="377" t="s">
        <v>1981</v>
      </c>
    </row>
    <row r="22" spans="1:6" ht="16.2" thickBot="1" x14ac:dyDescent="0.35">
      <c r="A22" s="376" t="s">
        <v>30</v>
      </c>
      <c r="B22" s="374">
        <v>0</v>
      </c>
      <c r="C22" s="374">
        <v>182160</v>
      </c>
      <c r="D22" s="387"/>
      <c r="E22" s="387"/>
      <c r="F22" s="377" t="s">
        <v>1980</v>
      </c>
    </row>
    <row r="23" spans="1:6" ht="16.2" thickBot="1" x14ac:dyDescent="0.35">
      <c r="A23" s="373"/>
      <c r="B23" s="374">
        <v>0</v>
      </c>
      <c r="C23" s="374">
        <v>15000</v>
      </c>
      <c r="D23" s="387"/>
      <c r="E23" s="387"/>
      <c r="F23" s="377" t="s">
        <v>1979</v>
      </c>
    </row>
    <row r="24" spans="1:6" ht="16.2" thickBot="1" x14ac:dyDescent="0.35">
      <c r="A24" s="373"/>
      <c r="B24" s="374">
        <v>0</v>
      </c>
      <c r="C24" s="374">
        <v>0</v>
      </c>
      <c r="D24" s="387"/>
      <c r="E24" s="387"/>
      <c r="F24" s="377"/>
    </row>
    <row r="25" spans="1:6" ht="16.2" thickBot="1" x14ac:dyDescent="0.35">
      <c r="A25" s="373"/>
      <c r="B25" s="374">
        <v>0</v>
      </c>
      <c r="C25" s="374">
        <v>0</v>
      </c>
      <c r="D25" s="387"/>
      <c r="E25" s="387"/>
      <c r="F25" s="377"/>
    </row>
    <row r="26" spans="1:6" ht="16.2" thickBot="1" x14ac:dyDescent="0.35">
      <c r="A26" s="373"/>
      <c r="B26" s="374">
        <v>0</v>
      </c>
      <c r="C26" s="374">
        <v>0</v>
      </c>
      <c r="D26" s="387"/>
      <c r="E26" s="387"/>
      <c r="F26" s="377"/>
    </row>
    <row r="27" spans="1:6" ht="16.2" thickBot="1" x14ac:dyDescent="0.35">
      <c r="A27" s="373"/>
      <c r="B27" s="374">
        <v>0</v>
      </c>
      <c r="C27" s="374">
        <v>0</v>
      </c>
      <c r="D27" s="387"/>
      <c r="E27" s="387"/>
      <c r="F27" s="377"/>
    </row>
    <row r="28" spans="1:6" ht="16.2" thickBot="1" x14ac:dyDescent="0.35">
      <c r="A28" s="378"/>
      <c r="B28" s="374">
        <v>0</v>
      </c>
      <c r="C28" s="374">
        <v>0</v>
      </c>
      <c r="D28" s="387"/>
      <c r="E28" s="387"/>
      <c r="F28" s="377"/>
    </row>
    <row r="29" spans="1:6" ht="16.2" thickBot="1" x14ac:dyDescent="0.35">
      <c r="A29" s="371" t="s">
        <v>32</v>
      </c>
      <c r="B29" s="379">
        <f>SUM(B16:B28)</f>
        <v>0</v>
      </c>
      <c r="C29" s="379">
        <f>SUM(C16:C28)</f>
        <v>793660</v>
      </c>
      <c r="D29" s="388"/>
      <c r="E29" s="388"/>
      <c r="F29" s="380"/>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DD25-F94A-4D27-8556-6169E38325B1}">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655</v>
      </c>
      <c r="B2" s="4">
        <v>0</v>
      </c>
      <c r="C2" s="3" t="s">
        <v>656</v>
      </c>
      <c r="D2" s="5">
        <v>4696375</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1145.75</v>
      </c>
      <c r="C15" s="16">
        <v>500</v>
      </c>
      <c r="D15" s="17" t="s">
        <v>24</v>
      </c>
      <c r="E15" s="17" t="s">
        <v>657</v>
      </c>
      <c r="F15" s="18"/>
    </row>
    <row r="16" spans="1:8" ht="16.2" thickBot="1" x14ac:dyDescent="0.35">
      <c r="A16" s="15" t="s">
        <v>25</v>
      </c>
      <c r="B16" s="12">
        <v>0</v>
      </c>
      <c r="C16" s="12">
        <v>0</v>
      </c>
      <c r="D16" s="19"/>
      <c r="E16" s="19"/>
      <c r="F16" s="20"/>
    </row>
    <row r="17" spans="1:6" ht="16.2" thickBot="1" x14ac:dyDescent="0.35">
      <c r="A17" s="15" t="s">
        <v>26</v>
      </c>
      <c r="B17" s="12">
        <v>120</v>
      </c>
      <c r="C17" s="12">
        <v>120</v>
      </c>
      <c r="D17" s="19" t="s">
        <v>24</v>
      </c>
      <c r="E17" s="19" t="s">
        <v>657</v>
      </c>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236.21</v>
      </c>
      <c r="C21" s="12">
        <v>500</v>
      </c>
      <c r="D21" s="19" t="s">
        <v>24</v>
      </c>
      <c r="E21" s="19" t="s">
        <v>657</v>
      </c>
      <c r="F21" s="20"/>
    </row>
    <row r="22" spans="1:6" ht="16.2" thickBot="1" x14ac:dyDescent="0.35">
      <c r="A22" s="11" t="s">
        <v>658</v>
      </c>
      <c r="B22" s="12">
        <v>2142.5</v>
      </c>
      <c r="C22" s="12">
        <v>750</v>
      </c>
      <c r="D22" s="19" t="s">
        <v>24</v>
      </c>
      <c r="E22" s="19" t="s">
        <v>657</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3644.46</v>
      </c>
      <c r="C28" s="22">
        <v>1870</v>
      </c>
      <c r="D28" s="23"/>
      <c r="E28" s="23"/>
      <c r="F28" s="24"/>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1C2-CBF3-4135-A72F-A54E6059CC3D}">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4.33203125" style="7" customWidth="1"/>
    <col min="5" max="5" width="38.6640625" style="7" bestFit="1" customWidth="1"/>
    <col min="6" max="6" width="44.88671875" style="7" bestFit="1" customWidth="1"/>
    <col min="7" max="7" width="16.88671875" style="7" customWidth="1"/>
    <col min="8" max="8" width="15.8867187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659</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765.55</v>
      </c>
      <c r="C15" s="16">
        <v>86849.35</v>
      </c>
      <c r="D15" s="17" t="s">
        <v>24</v>
      </c>
      <c r="E15" s="17"/>
      <c r="F15" s="18"/>
    </row>
    <row r="16" spans="1:8" ht="16.2" thickBot="1" x14ac:dyDescent="0.35">
      <c r="A16" s="15" t="s">
        <v>25</v>
      </c>
      <c r="B16" s="12">
        <v>46316.23</v>
      </c>
      <c r="C16" s="12">
        <v>70000</v>
      </c>
      <c r="D16" s="19" t="s">
        <v>24</v>
      </c>
      <c r="E16" s="19"/>
      <c r="F16" s="20"/>
    </row>
    <row r="17" spans="1:6" ht="16.2" thickBot="1" x14ac:dyDescent="0.35">
      <c r="A17" s="15" t="s">
        <v>26</v>
      </c>
      <c r="B17" s="12">
        <v>10735.1</v>
      </c>
      <c r="C17" s="12">
        <v>6000</v>
      </c>
      <c r="D17" s="19" t="s">
        <v>24</v>
      </c>
      <c r="E17" s="19" t="s">
        <v>660</v>
      </c>
      <c r="F17" s="20" t="s">
        <v>661</v>
      </c>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6730.21</v>
      </c>
      <c r="C20" s="12">
        <v>22055</v>
      </c>
      <c r="D20" s="19" t="s">
        <v>24</v>
      </c>
      <c r="E20" s="19" t="s">
        <v>660</v>
      </c>
      <c r="F20" s="20" t="s">
        <v>661</v>
      </c>
    </row>
    <row r="21" spans="1:6" ht="16.2" thickBot="1" x14ac:dyDescent="0.35">
      <c r="A21" s="15" t="s">
        <v>30</v>
      </c>
      <c r="B21" s="12">
        <v>489.93</v>
      </c>
      <c r="C21" s="12">
        <v>17758.400000000001</v>
      </c>
      <c r="D21" s="19" t="s">
        <v>24</v>
      </c>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65037.020000000004</v>
      </c>
      <c r="C28" s="22">
        <v>202662.75</v>
      </c>
      <c r="D28" s="23"/>
      <c r="E28" s="23"/>
      <c r="F28" s="24"/>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24A3-25FF-4EB5-ABD5-362E044E6439}">
  <dimension ref="A1:H33"/>
  <sheetViews>
    <sheetView topLeftCell="A25" workbookViewId="0">
      <selection activeCell="C32" sqref="C32"/>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662</v>
      </c>
      <c r="B2" s="4">
        <v>19229777</v>
      </c>
      <c r="C2" s="3" t="s">
        <v>663</v>
      </c>
      <c r="D2" s="5">
        <v>23590577</v>
      </c>
      <c r="E2" s="3" t="s">
        <v>24</v>
      </c>
      <c r="F2" s="6" t="s">
        <v>664</v>
      </c>
      <c r="G2" s="5" t="s">
        <v>665</v>
      </c>
      <c r="H2" s="5" t="s">
        <v>665</v>
      </c>
    </row>
    <row r="3" spans="1:8" ht="47.4" thickBot="1" x14ac:dyDescent="0.35">
      <c r="A3" s="3" t="s">
        <v>666</v>
      </c>
      <c r="B3" s="4">
        <v>26250</v>
      </c>
      <c r="C3" s="3" t="s">
        <v>667</v>
      </c>
      <c r="D3" s="5">
        <v>169666</v>
      </c>
      <c r="E3" s="3" t="s">
        <v>24</v>
      </c>
      <c r="F3" s="6"/>
      <c r="G3" s="5" t="s">
        <v>665</v>
      </c>
      <c r="H3" s="5" t="s">
        <v>665</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18965277</v>
      </c>
      <c r="C8" s="7" t="s">
        <v>668</v>
      </c>
    </row>
    <row r="9" spans="1:8" ht="16.2" thickBot="1" x14ac:dyDescent="0.35">
      <c r="A9" s="11" t="s">
        <v>55</v>
      </c>
      <c r="B9" s="12">
        <v>140000</v>
      </c>
    </row>
    <row r="10" spans="1:8" ht="16.2" thickBot="1" x14ac:dyDescent="0.35">
      <c r="A10" s="11" t="s">
        <v>57</v>
      </c>
      <c r="B10" s="12">
        <v>124500</v>
      </c>
    </row>
    <row r="11" spans="1:8" ht="16.2" thickBot="1" x14ac:dyDescent="0.35">
      <c r="A11" s="11"/>
      <c r="B11" s="12">
        <v>0</v>
      </c>
    </row>
    <row r="12" spans="1:8" ht="16.2" thickBot="1" x14ac:dyDescent="0.35">
      <c r="A12" s="11"/>
      <c r="B12" s="10"/>
      <c r="C12" s="12">
        <v>19229777</v>
      </c>
    </row>
    <row r="13" spans="1:8" x14ac:dyDescent="0.3">
      <c r="A13" s="13"/>
      <c r="C13" s="10" t="s">
        <v>9</v>
      </c>
    </row>
    <row r="15" spans="1:8" ht="31.2" x14ac:dyDescent="0.3">
      <c r="A15" s="1" t="s">
        <v>17</v>
      </c>
      <c r="B15" s="14" t="s">
        <v>18</v>
      </c>
      <c r="C15" s="1" t="s">
        <v>19</v>
      </c>
      <c r="D15" s="1" t="s">
        <v>20</v>
      </c>
      <c r="E15" s="1" t="s">
        <v>21</v>
      </c>
      <c r="F15" s="1" t="s">
        <v>22</v>
      </c>
    </row>
    <row r="16" spans="1:8" ht="78.599999999999994" thickBot="1" x14ac:dyDescent="0.35">
      <c r="A16" s="15" t="s">
        <v>23</v>
      </c>
      <c r="B16" s="16">
        <v>24344</v>
      </c>
      <c r="C16" s="16">
        <v>40290</v>
      </c>
      <c r="D16" s="17" t="s">
        <v>24</v>
      </c>
      <c r="E16" s="17" t="s">
        <v>669</v>
      </c>
      <c r="F16" s="32" t="s">
        <v>670</v>
      </c>
    </row>
    <row r="17" spans="1:6" ht="109.8" thickBot="1" x14ac:dyDescent="0.35">
      <c r="A17" s="15" t="s">
        <v>25</v>
      </c>
      <c r="B17" s="12">
        <v>30998</v>
      </c>
      <c r="C17" s="12">
        <v>228020</v>
      </c>
      <c r="D17" s="19" t="s">
        <v>24</v>
      </c>
      <c r="E17" s="19" t="s">
        <v>669</v>
      </c>
      <c r="F17" s="32" t="s">
        <v>671</v>
      </c>
    </row>
    <row r="18" spans="1:6" ht="16.2" thickBot="1" x14ac:dyDescent="0.35">
      <c r="A18" s="15" t="s">
        <v>26</v>
      </c>
      <c r="B18" s="12">
        <v>26664</v>
      </c>
      <c r="C18" s="12">
        <v>73993</v>
      </c>
      <c r="D18" s="19" t="s">
        <v>24</v>
      </c>
      <c r="E18" s="19" t="s">
        <v>669</v>
      </c>
      <c r="F18" s="20" t="s">
        <v>672</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31.8" thickBot="1" x14ac:dyDescent="0.35">
      <c r="A21" s="15" t="s">
        <v>29</v>
      </c>
      <c r="B21" s="12">
        <v>6812</v>
      </c>
      <c r="C21" s="12">
        <v>11812</v>
      </c>
      <c r="D21" s="19" t="s">
        <v>10</v>
      </c>
      <c r="E21" s="19" t="s">
        <v>669</v>
      </c>
      <c r="F21" s="32" t="s">
        <v>673</v>
      </c>
    </row>
    <row r="22" spans="1:6" ht="78.599999999999994" thickBot="1" x14ac:dyDescent="0.35">
      <c r="A22" s="15" t="s">
        <v>30</v>
      </c>
      <c r="B22" s="12">
        <v>6761</v>
      </c>
      <c r="C22" s="12">
        <v>12225</v>
      </c>
      <c r="D22" s="19" t="s">
        <v>24</v>
      </c>
      <c r="E22" s="19" t="s">
        <v>669</v>
      </c>
      <c r="F22" s="32" t="s">
        <v>674</v>
      </c>
    </row>
    <row r="23" spans="1:6" ht="16.2" thickBot="1" x14ac:dyDescent="0.35">
      <c r="A23" s="15" t="s">
        <v>675</v>
      </c>
      <c r="B23" s="12">
        <v>64</v>
      </c>
      <c r="C23" s="12">
        <v>100</v>
      </c>
      <c r="D23" s="19" t="s">
        <v>24</v>
      </c>
      <c r="E23" s="19" t="s">
        <v>669</v>
      </c>
      <c r="F23" s="20" t="s">
        <v>676</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95643</v>
      </c>
      <c r="C29" s="22">
        <v>366440</v>
      </c>
      <c r="D29" s="23"/>
      <c r="E29" s="23"/>
      <c r="F29" s="24"/>
    </row>
    <row r="31" spans="1:6" x14ac:dyDescent="0.3">
      <c r="A31" s="7" t="s">
        <v>2586</v>
      </c>
      <c r="B31" s="10">
        <v>-49438.07</v>
      </c>
      <c r="C31" s="10">
        <v>-291120.17</v>
      </c>
    </row>
    <row r="33" spans="2:3" x14ac:dyDescent="0.3">
      <c r="B33" s="396">
        <f>SUM(B29:B31)</f>
        <v>46204.93</v>
      </c>
      <c r="C33" s="396">
        <f>SUM(C29:C31)</f>
        <v>75319.830000000016</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B1DC-70E1-467A-AB36-9292FFF6BFEC}">
  <dimension ref="A1:H29"/>
  <sheetViews>
    <sheetView topLeftCell="A13" workbookViewId="0">
      <selection activeCell="E11" sqref="E11:J11"/>
    </sheetView>
  </sheetViews>
  <sheetFormatPr defaultColWidth="9.109375" defaultRowHeight="15.6" x14ac:dyDescent="0.3"/>
  <cols>
    <col min="1" max="1" width="45" style="7" bestFit="1" customWidth="1"/>
    <col min="2" max="2" width="41.33203125" style="7" customWidth="1"/>
    <col min="3" max="3" width="26.88671875" style="7" customWidth="1"/>
    <col min="4" max="4" width="25.33203125" style="7" customWidth="1"/>
    <col min="5" max="5" width="30.6640625" style="7" customWidth="1"/>
    <col min="6" max="6" width="58.44140625" style="7" bestFit="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219" thickBot="1" x14ac:dyDescent="0.35">
      <c r="A2" s="3" t="s">
        <v>677</v>
      </c>
      <c r="B2" s="142" t="s">
        <v>678</v>
      </c>
      <c r="C2" s="3" t="s">
        <v>679</v>
      </c>
      <c r="D2" s="5">
        <v>6674075</v>
      </c>
      <c r="E2" s="3" t="s">
        <v>680</v>
      </c>
      <c r="F2" s="6" t="s">
        <v>681</v>
      </c>
      <c r="G2" s="5">
        <v>0</v>
      </c>
      <c r="H2" s="5">
        <v>0</v>
      </c>
    </row>
    <row r="4" spans="1:8" x14ac:dyDescent="0.3">
      <c r="A4" s="8" t="s">
        <v>11</v>
      </c>
    </row>
    <row r="6" spans="1:8" ht="16.2" thickBot="1" x14ac:dyDescent="0.35">
      <c r="A6" s="9" t="s">
        <v>12</v>
      </c>
      <c r="B6" s="10" t="s">
        <v>9</v>
      </c>
    </row>
    <row r="7" spans="1:8" ht="16.2" thickBot="1" x14ac:dyDescent="0.35">
      <c r="A7" s="11" t="s">
        <v>51</v>
      </c>
      <c r="B7" s="12">
        <v>0</v>
      </c>
      <c r="C7" s="7" t="s">
        <v>682</v>
      </c>
    </row>
    <row r="8" spans="1:8" ht="16.2" thickBot="1" x14ac:dyDescent="0.35">
      <c r="A8" s="11" t="s">
        <v>53</v>
      </c>
      <c r="B8" s="12">
        <v>0</v>
      </c>
      <c r="C8" s="7" t="s">
        <v>106</v>
      </c>
    </row>
    <row r="9" spans="1:8" ht="16.2" thickBot="1" x14ac:dyDescent="0.35">
      <c r="A9" s="11" t="s">
        <v>55</v>
      </c>
      <c r="B9" s="12">
        <v>0</v>
      </c>
      <c r="C9" s="7" t="s">
        <v>682</v>
      </c>
    </row>
    <row r="10" spans="1:8" ht="16.2" thickBot="1" x14ac:dyDescent="0.35">
      <c r="A10" s="11" t="s">
        <v>57</v>
      </c>
      <c r="B10" s="12">
        <v>0</v>
      </c>
      <c r="C10" s="7" t="s">
        <v>106</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4176.12</v>
      </c>
      <c r="C16" s="16">
        <v>11591</v>
      </c>
      <c r="D16" s="17" t="s">
        <v>683</v>
      </c>
      <c r="E16" s="17" t="s">
        <v>79</v>
      </c>
      <c r="F16" s="18"/>
    </row>
    <row r="17" spans="1:6" ht="16.2" thickBot="1" x14ac:dyDescent="0.35">
      <c r="A17" s="15" t="s">
        <v>25</v>
      </c>
      <c r="B17" s="12">
        <v>15724</v>
      </c>
      <c r="C17" s="12">
        <v>20724</v>
      </c>
      <c r="D17" s="19" t="s">
        <v>684</v>
      </c>
      <c r="E17" s="17" t="s">
        <v>79</v>
      </c>
      <c r="F17" s="20" t="s">
        <v>685</v>
      </c>
    </row>
    <row r="18" spans="1:6" ht="16.2" thickBot="1" x14ac:dyDescent="0.35">
      <c r="A18" s="15" t="s">
        <v>686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10765</v>
      </c>
      <c r="C21" s="12">
        <v>21847</v>
      </c>
      <c r="D21" s="19" t="s">
        <v>423</v>
      </c>
      <c r="E21" s="17" t="s">
        <v>79</v>
      </c>
      <c r="F21" s="20" t="s">
        <v>687</v>
      </c>
    </row>
    <row r="22" spans="1:6" ht="16.2" thickBot="1" x14ac:dyDescent="0.35">
      <c r="A22" s="15" t="s">
        <v>30</v>
      </c>
      <c r="B22" s="12">
        <v>7123</v>
      </c>
      <c r="C22" s="12">
        <v>11977</v>
      </c>
      <c r="D22" s="19" t="s">
        <v>684</v>
      </c>
      <c r="E22" s="17"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37788.119999999995</v>
      </c>
      <c r="C29" s="22">
        <v>66139</v>
      </c>
      <c r="D29" s="23"/>
      <c r="E29" s="23"/>
      <c r="F29" s="24"/>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9D296-E1E8-44E8-A1E9-64AF3022106A}">
  <dimension ref="A1:H31"/>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18.8867187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688</v>
      </c>
      <c r="B2" s="4">
        <v>18000000</v>
      </c>
      <c r="C2" s="3" t="s">
        <v>689</v>
      </c>
      <c r="D2" s="5">
        <v>10554268</v>
      </c>
      <c r="E2" s="3" t="s">
        <v>690</v>
      </c>
      <c r="F2" s="6" t="s">
        <v>691</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18000000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18000000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40330.979999999996</v>
      </c>
      <c r="C16" s="16">
        <v>11770.55</v>
      </c>
      <c r="D16" s="29" t="s">
        <v>24</v>
      </c>
      <c r="E16" s="17" t="s">
        <v>79</v>
      </c>
      <c r="F16" s="18" t="s">
        <v>692</v>
      </c>
    </row>
    <row r="17" spans="1:6" ht="16.2" thickBot="1" x14ac:dyDescent="0.35">
      <c r="A17" s="15" t="s">
        <v>25</v>
      </c>
      <c r="B17" s="12">
        <v>6950.91</v>
      </c>
      <c r="C17" s="12">
        <v>39200</v>
      </c>
      <c r="D17" s="30" t="s">
        <v>24</v>
      </c>
      <c r="E17" s="19" t="s">
        <v>79</v>
      </c>
      <c r="F17" s="20" t="s">
        <v>693</v>
      </c>
    </row>
    <row r="18" spans="1:6" ht="16.2" thickBot="1" x14ac:dyDescent="0.35">
      <c r="A18" s="15" t="s">
        <v>26</v>
      </c>
      <c r="B18" s="12">
        <v>101638.36</v>
      </c>
      <c r="C18" s="12">
        <v>0</v>
      </c>
      <c r="D18" s="30" t="s">
        <v>24</v>
      </c>
      <c r="E18" s="19" t="s">
        <v>79</v>
      </c>
      <c r="F18" s="20"/>
    </row>
    <row r="19" spans="1:6" ht="16.2" thickBot="1" x14ac:dyDescent="0.35">
      <c r="A19" s="15" t="s">
        <v>27</v>
      </c>
      <c r="B19" s="12">
        <v>0</v>
      </c>
      <c r="C19" s="12">
        <v>0</v>
      </c>
      <c r="D19" s="30"/>
      <c r="E19" s="19"/>
      <c r="F19" s="20"/>
    </row>
    <row r="20" spans="1:6" ht="16.2" thickBot="1" x14ac:dyDescent="0.35">
      <c r="A20" s="15" t="s">
        <v>28</v>
      </c>
      <c r="B20" s="12">
        <v>0</v>
      </c>
      <c r="C20" s="12">
        <v>800</v>
      </c>
      <c r="D20" s="30" t="s">
        <v>24</v>
      </c>
      <c r="E20" s="19" t="s">
        <v>79</v>
      </c>
      <c r="F20" s="20" t="s">
        <v>694</v>
      </c>
    </row>
    <row r="21" spans="1:6" ht="16.2" thickBot="1" x14ac:dyDescent="0.35">
      <c r="A21" s="15" t="s">
        <v>29</v>
      </c>
      <c r="B21" s="12">
        <v>0</v>
      </c>
      <c r="C21" s="12">
        <v>0</v>
      </c>
      <c r="D21" s="30"/>
      <c r="E21" s="19"/>
      <c r="F21" s="20"/>
    </row>
    <row r="22" spans="1:6" ht="16.2" thickBot="1" x14ac:dyDescent="0.35">
      <c r="A22" s="15" t="s">
        <v>30</v>
      </c>
      <c r="B22" s="12">
        <v>31406.36</v>
      </c>
      <c r="C22" s="12">
        <v>0</v>
      </c>
      <c r="D22" s="30" t="s">
        <v>695</v>
      </c>
      <c r="E22" s="19" t="s">
        <v>696</v>
      </c>
      <c r="F22" s="20"/>
    </row>
    <row r="23" spans="1:6" ht="16.2" thickBot="1" x14ac:dyDescent="0.35">
      <c r="A23" s="15" t="s">
        <v>697</v>
      </c>
      <c r="B23" s="12">
        <v>74.37</v>
      </c>
      <c r="C23" s="12">
        <v>0</v>
      </c>
      <c r="D23" s="30" t="s">
        <v>24</v>
      </c>
      <c r="E23" s="19" t="s">
        <v>79</v>
      </c>
      <c r="F23" s="20" t="s">
        <v>698</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180400.97999999998</v>
      </c>
      <c r="C29" s="22">
        <v>51770.55</v>
      </c>
      <c r="D29" s="23"/>
      <c r="E29" s="23"/>
      <c r="F29" s="24"/>
    </row>
    <row r="31" spans="1:6" x14ac:dyDescent="0.3">
      <c r="C31" s="396">
        <f>SUM(B29:C29)</f>
        <v>232171.52999999997</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8ED1-111D-4458-85E9-D8906352B6BA}">
  <dimension ref="A1:H29"/>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21.44140625" style="372" customWidth="1"/>
    <col min="6" max="6" width="22.33203125" style="372" customWidth="1"/>
    <col min="7" max="7" width="18.66406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269</v>
      </c>
      <c r="B2" s="390">
        <f>C12</f>
        <v>185000</v>
      </c>
      <c r="C2" s="389" t="s">
        <v>398</v>
      </c>
      <c r="D2" s="391">
        <v>5216391</v>
      </c>
      <c r="E2" s="389" t="s">
        <v>10</v>
      </c>
      <c r="F2" s="392" t="s">
        <v>420</v>
      </c>
      <c r="G2" s="391">
        <v>0</v>
      </c>
      <c r="H2" s="391">
        <v>0</v>
      </c>
    </row>
    <row r="4" spans="1:8" x14ac:dyDescent="0.3">
      <c r="A4" s="386" t="s">
        <v>11</v>
      </c>
    </row>
    <row r="6" spans="1:8" ht="16.2" thickBot="1" x14ac:dyDescent="0.35">
      <c r="A6" s="381" t="s">
        <v>12</v>
      </c>
      <c r="B6" s="10" t="s">
        <v>9</v>
      </c>
    </row>
    <row r="7" spans="1:8" ht="16.2" thickBot="1" x14ac:dyDescent="0.35">
      <c r="A7" s="456" t="s">
        <v>13</v>
      </c>
      <c r="B7" s="374">
        <v>0</v>
      </c>
    </row>
    <row r="8" spans="1:8" ht="16.2" thickBot="1" x14ac:dyDescent="0.35">
      <c r="A8" s="456" t="s">
        <v>14</v>
      </c>
      <c r="B8" s="374">
        <v>10000</v>
      </c>
    </row>
    <row r="9" spans="1:8" ht="16.2" thickBot="1" x14ac:dyDescent="0.35">
      <c r="A9" s="456" t="s">
        <v>2095</v>
      </c>
      <c r="B9" s="374">
        <v>125000</v>
      </c>
    </row>
    <row r="10" spans="1:8" ht="16.2" thickBot="1" x14ac:dyDescent="0.35">
      <c r="A10" s="456" t="s">
        <v>2096</v>
      </c>
      <c r="B10" s="374">
        <v>25000</v>
      </c>
    </row>
    <row r="11" spans="1:8" ht="16.2" thickBot="1" x14ac:dyDescent="0.35">
      <c r="A11" s="456" t="s">
        <v>2097</v>
      </c>
      <c r="B11" s="374">
        <v>25000</v>
      </c>
    </row>
    <row r="12" spans="1:8" ht="16.2" thickBot="1" x14ac:dyDescent="0.35">
      <c r="A12" s="456"/>
      <c r="B12" s="10"/>
      <c r="C12" s="374">
        <f>SUM(B7:B11)</f>
        <v>185000</v>
      </c>
    </row>
    <row r="13" spans="1:8" x14ac:dyDescent="0.3">
      <c r="A13" s="455"/>
      <c r="C13" s="10" t="s">
        <v>9</v>
      </c>
    </row>
    <row r="15" spans="1:8" ht="31.2" x14ac:dyDescent="0.3">
      <c r="A15" s="384" t="s">
        <v>17</v>
      </c>
      <c r="B15" s="385" t="s">
        <v>18</v>
      </c>
      <c r="C15" s="384" t="s">
        <v>19</v>
      </c>
      <c r="D15" s="384" t="s">
        <v>20</v>
      </c>
      <c r="E15" s="384" t="s">
        <v>21</v>
      </c>
      <c r="F15" s="384" t="s">
        <v>22</v>
      </c>
    </row>
    <row r="16" spans="1:8" ht="16.2" thickBot="1" x14ac:dyDescent="0.35">
      <c r="A16" s="454" t="s">
        <v>23</v>
      </c>
      <c r="B16" s="382">
        <v>786</v>
      </c>
      <c r="C16" s="382">
        <v>1400</v>
      </c>
      <c r="D16" s="397" t="s">
        <v>24</v>
      </c>
      <c r="E16" s="359" t="s">
        <v>657</v>
      </c>
      <c r="F16" s="383"/>
    </row>
    <row r="17" spans="1:6" ht="16.2" thickBot="1" x14ac:dyDescent="0.35">
      <c r="A17" s="454" t="s">
        <v>25</v>
      </c>
      <c r="B17" s="374">
        <v>1593</v>
      </c>
      <c r="C17" s="374">
        <v>3500</v>
      </c>
      <c r="D17" s="397" t="s">
        <v>24</v>
      </c>
      <c r="E17" s="359" t="s">
        <v>657</v>
      </c>
      <c r="F17" s="377"/>
    </row>
    <row r="18" spans="1:6" ht="16.2" thickBot="1" x14ac:dyDescent="0.35">
      <c r="A18" s="454" t="s">
        <v>26</v>
      </c>
      <c r="B18" s="374">
        <v>0</v>
      </c>
      <c r="C18" s="374">
        <v>0</v>
      </c>
      <c r="D18" s="397"/>
      <c r="E18" s="359" t="s">
        <v>657</v>
      </c>
      <c r="F18" s="377"/>
    </row>
    <row r="19" spans="1:6" ht="16.2" thickBot="1" x14ac:dyDescent="0.35">
      <c r="A19" s="454" t="s">
        <v>27</v>
      </c>
      <c r="B19" s="374">
        <v>258</v>
      </c>
      <c r="C19" s="374">
        <v>400</v>
      </c>
      <c r="D19" s="397" t="s">
        <v>24</v>
      </c>
      <c r="E19" s="359" t="s">
        <v>657</v>
      </c>
      <c r="F19" s="377"/>
    </row>
    <row r="20" spans="1:6" ht="16.2" thickBot="1" x14ac:dyDescent="0.35">
      <c r="A20" s="454" t="s">
        <v>28</v>
      </c>
      <c r="B20" s="374">
        <v>0</v>
      </c>
      <c r="C20" s="374">
        <v>0</v>
      </c>
      <c r="D20" s="397"/>
      <c r="E20" s="359" t="s">
        <v>657</v>
      </c>
      <c r="F20" s="377"/>
    </row>
    <row r="21" spans="1:6" ht="16.2" thickBot="1" x14ac:dyDescent="0.35">
      <c r="A21" s="454" t="s">
        <v>29</v>
      </c>
      <c r="B21" s="374">
        <v>664</v>
      </c>
      <c r="C21" s="374">
        <v>1000</v>
      </c>
      <c r="D21" s="397" t="s">
        <v>24</v>
      </c>
      <c r="E21" s="359" t="s">
        <v>657</v>
      </c>
      <c r="F21" s="377"/>
    </row>
    <row r="22" spans="1:6" ht="16.2" thickBot="1" x14ac:dyDescent="0.35">
      <c r="A22" s="454" t="s">
        <v>30</v>
      </c>
      <c r="B22" s="374">
        <v>761</v>
      </c>
      <c r="C22" s="374">
        <v>1500</v>
      </c>
      <c r="D22" s="397" t="s">
        <v>24</v>
      </c>
      <c r="E22" s="387" t="s">
        <v>2098</v>
      </c>
      <c r="F22" s="377"/>
    </row>
    <row r="23" spans="1:6" ht="16.2" thickBot="1" x14ac:dyDescent="0.35">
      <c r="A23" s="454" t="s">
        <v>658</v>
      </c>
      <c r="B23" s="374">
        <v>900</v>
      </c>
      <c r="C23" s="374">
        <v>900</v>
      </c>
      <c r="D23" s="397" t="s">
        <v>24</v>
      </c>
      <c r="E23" s="387"/>
      <c r="F23" s="377"/>
    </row>
    <row r="24" spans="1:6" ht="16.2" thickBot="1" x14ac:dyDescent="0.35">
      <c r="A24" s="456"/>
      <c r="B24" s="374">
        <v>0</v>
      </c>
      <c r="C24" s="374">
        <v>0</v>
      </c>
      <c r="D24" s="387"/>
      <c r="E24" s="387"/>
      <c r="F24" s="377"/>
    </row>
    <row r="25" spans="1:6" ht="16.2" thickBot="1" x14ac:dyDescent="0.35">
      <c r="A25" s="456"/>
      <c r="B25" s="374">
        <v>0</v>
      </c>
      <c r="C25" s="374">
        <v>0</v>
      </c>
      <c r="D25" s="387"/>
      <c r="E25" s="387"/>
      <c r="F25" s="377"/>
    </row>
    <row r="26" spans="1:6" ht="16.2" thickBot="1" x14ac:dyDescent="0.35">
      <c r="A26" s="456"/>
      <c r="B26" s="374">
        <v>0</v>
      </c>
      <c r="C26" s="374">
        <v>0</v>
      </c>
      <c r="D26" s="387"/>
      <c r="E26" s="387"/>
      <c r="F26" s="377"/>
    </row>
    <row r="27" spans="1:6" ht="16.2" thickBot="1" x14ac:dyDescent="0.35">
      <c r="A27" s="456"/>
      <c r="B27" s="374">
        <v>0</v>
      </c>
      <c r="C27" s="374">
        <v>0</v>
      </c>
      <c r="D27" s="387"/>
      <c r="E27" s="387"/>
      <c r="F27" s="377"/>
    </row>
    <row r="28" spans="1:6" ht="16.2" thickBot="1" x14ac:dyDescent="0.35">
      <c r="A28" s="378"/>
      <c r="B28" s="374">
        <v>0</v>
      </c>
      <c r="C28" s="374">
        <v>0</v>
      </c>
      <c r="D28" s="387"/>
      <c r="E28" s="387"/>
      <c r="F28" s="377"/>
    </row>
    <row r="29" spans="1:6" ht="16.2" thickBot="1" x14ac:dyDescent="0.35">
      <c r="A29" s="455" t="s">
        <v>32</v>
      </c>
      <c r="B29" s="379">
        <f>SUM(B16:B28)</f>
        <v>4962</v>
      </c>
      <c r="C29" s="379">
        <f>SUM(C16:C28)</f>
        <v>8700</v>
      </c>
      <c r="D29" s="388"/>
      <c r="E29" s="388"/>
      <c r="F29" s="380"/>
    </row>
  </sheetData>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FA97-D3FC-4011-92CC-F8ADA8248FBC}">
  <dimension ref="A1:H40"/>
  <sheetViews>
    <sheetView topLeftCell="A22"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2367</v>
      </c>
      <c r="B2" s="586">
        <v>2000000</v>
      </c>
      <c r="C2" s="587" t="s">
        <v>2471</v>
      </c>
      <c r="D2" s="391">
        <v>1900000</v>
      </c>
      <c r="E2" s="389" t="s">
        <v>423</v>
      </c>
      <c r="F2" s="392"/>
      <c r="G2" s="588">
        <v>-9458464.5999999996</v>
      </c>
      <c r="H2" s="588">
        <v>-10458464.6</v>
      </c>
    </row>
    <row r="4" spans="1:8" x14ac:dyDescent="0.3">
      <c r="A4" s="386" t="s">
        <v>11</v>
      </c>
    </row>
    <row r="6" spans="1:8" ht="16.2" thickBot="1" x14ac:dyDescent="0.35">
      <c r="A6" s="640" t="s">
        <v>12</v>
      </c>
      <c r="B6" s="10" t="s">
        <v>9</v>
      </c>
    </row>
    <row r="7" spans="1:8" ht="16.2" thickBot="1" x14ac:dyDescent="0.35">
      <c r="A7" s="639" t="s">
        <v>51</v>
      </c>
      <c r="B7" s="264" t="s">
        <v>420</v>
      </c>
    </row>
    <row r="8" spans="1:8" ht="16.2" thickBot="1" x14ac:dyDescent="0.35">
      <c r="A8" s="639" t="s">
        <v>53</v>
      </c>
      <c r="B8" s="589">
        <v>-40000000</v>
      </c>
    </row>
    <row r="9" spans="1:8" ht="16.2" thickBot="1" x14ac:dyDescent="0.35">
      <c r="A9" s="639" t="s">
        <v>55</v>
      </c>
      <c r="B9" s="264" t="s">
        <v>420</v>
      </c>
    </row>
    <row r="10" spans="1:8" ht="16.2" thickBot="1" x14ac:dyDescent="0.35">
      <c r="A10" s="639" t="s">
        <v>57</v>
      </c>
      <c r="B10" s="264" t="s">
        <v>420</v>
      </c>
    </row>
    <row r="11" spans="1:8" ht="16.2" thickBot="1" x14ac:dyDescent="0.35">
      <c r="A11" s="639"/>
      <c r="B11" s="264" t="s">
        <v>420</v>
      </c>
    </row>
    <row r="12" spans="1:8" ht="16.2" thickBot="1" x14ac:dyDescent="0.35">
      <c r="A12" s="639"/>
      <c r="B12" s="10"/>
      <c r="C12" s="589">
        <v>-40000000</v>
      </c>
    </row>
    <row r="13" spans="1:8" x14ac:dyDescent="0.3">
      <c r="A13" s="638"/>
      <c r="C13" s="10" t="s">
        <v>9</v>
      </c>
    </row>
    <row r="15" spans="1:8" ht="31.2" x14ac:dyDescent="0.3">
      <c r="A15" s="384" t="s">
        <v>17</v>
      </c>
      <c r="B15" s="385" t="s">
        <v>18</v>
      </c>
      <c r="C15" s="384" t="s">
        <v>19</v>
      </c>
      <c r="D15" s="384" t="s">
        <v>20</v>
      </c>
      <c r="E15" s="384" t="s">
        <v>21</v>
      </c>
      <c r="F15" s="384" t="s">
        <v>22</v>
      </c>
    </row>
    <row r="16" spans="1:8" ht="63" thickBot="1" x14ac:dyDescent="0.35">
      <c r="A16" s="637" t="s">
        <v>2368</v>
      </c>
      <c r="B16" s="211">
        <v>131620.64000000001</v>
      </c>
      <c r="C16" s="211">
        <v>321939.24</v>
      </c>
      <c r="D16" s="126" t="s">
        <v>24</v>
      </c>
      <c r="E16" s="646" t="s">
        <v>2369</v>
      </c>
      <c r="F16" s="32" t="s">
        <v>2370</v>
      </c>
    </row>
    <row r="17" spans="1:6" ht="94.2" thickBot="1" x14ac:dyDescent="0.35">
      <c r="A17" s="637" t="s">
        <v>25</v>
      </c>
      <c r="B17" s="211">
        <v>13767.5</v>
      </c>
      <c r="C17" s="211">
        <v>17075</v>
      </c>
      <c r="D17" s="126" t="s">
        <v>24</v>
      </c>
      <c r="E17" s="647" t="s">
        <v>2369</v>
      </c>
      <c r="F17" s="340" t="s">
        <v>2371</v>
      </c>
    </row>
    <row r="18" spans="1:6" ht="31.8" thickBot="1" x14ac:dyDescent="0.35">
      <c r="A18" s="637" t="s">
        <v>26</v>
      </c>
      <c r="B18" s="218">
        <v>15387.16</v>
      </c>
      <c r="C18" s="218">
        <v>37887.160000000003</v>
      </c>
      <c r="D18" s="126" t="s">
        <v>24</v>
      </c>
      <c r="E18" s="647" t="s">
        <v>2351</v>
      </c>
      <c r="F18" s="340" t="s">
        <v>2372</v>
      </c>
    </row>
    <row r="19" spans="1:6" ht="16.2" thickBot="1" x14ac:dyDescent="0.35">
      <c r="A19" s="637" t="s">
        <v>2373</v>
      </c>
      <c r="B19" s="211">
        <v>4302.96</v>
      </c>
      <c r="C19" s="648">
        <v>4302.96</v>
      </c>
      <c r="D19" s="126" t="s">
        <v>24</v>
      </c>
      <c r="E19" s="647"/>
      <c r="F19" s="340" t="s">
        <v>2374</v>
      </c>
    </row>
    <row r="20" spans="1:6" ht="16.2" thickBot="1" x14ac:dyDescent="0.35">
      <c r="A20" s="637" t="s">
        <v>27</v>
      </c>
      <c r="B20" s="211">
        <v>0</v>
      </c>
      <c r="C20" s="211">
        <v>35000</v>
      </c>
      <c r="D20" s="126" t="s">
        <v>24</v>
      </c>
      <c r="E20" s="647"/>
      <c r="F20" s="377" t="s">
        <v>2472</v>
      </c>
    </row>
    <row r="21" spans="1:6" ht="47.4" thickBot="1" x14ac:dyDescent="0.35">
      <c r="A21" s="637" t="s">
        <v>28</v>
      </c>
      <c r="B21" s="211">
        <v>1440</v>
      </c>
      <c r="C21" s="211">
        <v>1440</v>
      </c>
      <c r="D21" s="126" t="s">
        <v>24</v>
      </c>
      <c r="E21" s="647"/>
      <c r="F21" s="340" t="s">
        <v>2473</v>
      </c>
    </row>
    <row r="22" spans="1:6" ht="31.8" thickBot="1" x14ac:dyDescent="0.35">
      <c r="A22" s="637" t="s">
        <v>29</v>
      </c>
      <c r="B22" s="211">
        <v>143445.31</v>
      </c>
      <c r="C22" s="211">
        <v>219168.31</v>
      </c>
      <c r="D22" s="126" t="s">
        <v>24</v>
      </c>
      <c r="E22" s="647" t="s">
        <v>2369</v>
      </c>
      <c r="F22" s="340" t="s">
        <v>2375</v>
      </c>
    </row>
    <row r="23" spans="1:6" ht="31.8" thickBot="1" x14ac:dyDescent="0.35">
      <c r="A23" s="637" t="s">
        <v>30</v>
      </c>
      <c r="B23" s="211">
        <v>57108.67</v>
      </c>
      <c r="C23" s="211">
        <v>84500</v>
      </c>
      <c r="D23" s="126" t="s">
        <v>24</v>
      </c>
      <c r="E23" s="647" t="s">
        <v>2369</v>
      </c>
      <c r="F23" s="340" t="s">
        <v>2376</v>
      </c>
    </row>
    <row r="24" spans="1:6" ht="63" thickBot="1" x14ac:dyDescent="0.35">
      <c r="A24" s="637" t="s">
        <v>2350</v>
      </c>
      <c r="B24" s="649">
        <v>11190</v>
      </c>
      <c r="C24" s="211">
        <v>18690</v>
      </c>
      <c r="D24" s="126" t="s">
        <v>24</v>
      </c>
      <c r="E24" s="647" t="s">
        <v>2369</v>
      </c>
      <c r="F24" s="340" t="s">
        <v>2377</v>
      </c>
    </row>
    <row r="25" spans="1:6" ht="63" thickBot="1" x14ac:dyDescent="0.35">
      <c r="A25" s="637" t="s">
        <v>1953</v>
      </c>
      <c r="B25" s="211">
        <v>84.47</v>
      </c>
      <c r="C25" s="211">
        <v>84.47</v>
      </c>
      <c r="D25" s="126" t="s">
        <v>24</v>
      </c>
      <c r="E25" s="647" t="s">
        <v>2369</v>
      </c>
      <c r="F25" s="340" t="s">
        <v>2378</v>
      </c>
    </row>
    <row r="26" spans="1:6" ht="78.599999999999994" thickBot="1" x14ac:dyDescent="0.35">
      <c r="A26" s="637">
        <v>70</v>
      </c>
      <c r="B26" s="650">
        <v>12136.2</v>
      </c>
      <c r="C26" s="211">
        <v>70000</v>
      </c>
      <c r="D26" s="126" t="s">
        <v>24</v>
      </c>
      <c r="E26" s="647" t="s">
        <v>1063</v>
      </c>
      <c r="F26" s="340" t="s">
        <v>2379</v>
      </c>
    </row>
    <row r="27" spans="1:6" ht="16.2" thickBot="1" x14ac:dyDescent="0.35">
      <c r="A27" s="639"/>
      <c r="B27" s="211">
        <v>0</v>
      </c>
      <c r="C27" s="211"/>
      <c r="D27" s="126"/>
      <c r="E27" s="647"/>
      <c r="F27" s="377"/>
    </row>
    <row r="28" spans="1:6" ht="16.2" thickBot="1" x14ac:dyDescent="0.35">
      <c r="A28" s="639"/>
      <c r="B28" s="211">
        <v>0</v>
      </c>
      <c r="C28" s="211">
        <v>0</v>
      </c>
      <c r="D28" s="126"/>
      <c r="E28" s="647"/>
      <c r="F28" s="377"/>
    </row>
    <row r="29" spans="1:6" ht="16.2" thickBot="1" x14ac:dyDescent="0.35">
      <c r="A29" s="131"/>
      <c r="B29" s="211">
        <v>0</v>
      </c>
      <c r="C29" s="211">
        <v>0</v>
      </c>
      <c r="D29" s="126"/>
      <c r="E29" s="647"/>
      <c r="F29" s="377"/>
    </row>
    <row r="30" spans="1:6" ht="16.2" thickBot="1" x14ac:dyDescent="0.35">
      <c r="A30" s="638" t="s">
        <v>32</v>
      </c>
      <c r="B30" s="221">
        <v>385800.91</v>
      </c>
      <c r="C30" s="221">
        <f>SUM(C16:C29)</f>
        <v>810087.14</v>
      </c>
      <c r="D30" s="134"/>
      <c r="E30" s="651"/>
      <c r="F30" s="380"/>
    </row>
    <row r="40" spans="2:2" x14ac:dyDescent="0.3">
      <c r="B40" s="31"/>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67554-AC15-441B-B789-CFF598652AF0}">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271</v>
      </c>
      <c r="B2" s="4">
        <v>0</v>
      </c>
      <c r="C2" s="3" t="s">
        <v>9</v>
      </c>
      <c r="D2" s="5">
        <v>1171530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0</v>
      </c>
      <c r="C16" s="16">
        <v>0</v>
      </c>
      <c r="D16" s="17"/>
      <c r="E16" s="17"/>
      <c r="F16" s="18"/>
    </row>
    <row r="17" spans="1:6" ht="16.2" thickBot="1" x14ac:dyDescent="0.35">
      <c r="A17" s="15" t="s">
        <v>25</v>
      </c>
      <c r="B17" s="12">
        <v>5628</v>
      </c>
      <c r="C17" s="12">
        <v>7681</v>
      </c>
      <c r="D17" s="19" t="s">
        <v>699</v>
      </c>
      <c r="E17" s="19"/>
      <c r="F17" s="20"/>
    </row>
    <row r="18" spans="1:6" ht="16.2" thickBot="1" x14ac:dyDescent="0.35">
      <c r="A18" s="15" t="s">
        <v>26</v>
      </c>
      <c r="B18" s="12">
        <v>600</v>
      </c>
      <c r="C18" s="12">
        <v>600</v>
      </c>
      <c r="D18" s="19" t="s">
        <v>699</v>
      </c>
      <c r="E18" s="19"/>
      <c r="F18" s="20"/>
    </row>
    <row r="19" spans="1:6" ht="16.2" thickBot="1" x14ac:dyDescent="0.35">
      <c r="A19" s="15" t="s">
        <v>27</v>
      </c>
      <c r="B19" s="12">
        <v>9681</v>
      </c>
      <c r="C19" s="12">
        <v>9681</v>
      </c>
      <c r="D19" s="19" t="s">
        <v>699</v>
      </c>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0</v>
      </c>
      <c r="C22" s="12">
        <v>0</v>
      </c>
      <c r="D22" s="19"/>
      <c r="E22" s="19"/>
      <c r="F22" s="20"/>
    </row>
    <row r="23" spans="1:6" ht="16.2" thickBot="1" x14ac:dyDescent="0.35">
      <c r="A23" s="11" t="s">
        <v>700</v>
      </c>
      <c r="B23" s="12">
        <v>804</v>
      </c>
      <c r="C23" s="12">
        <v>804</v>
      </c>
      <c r="D23" s="19" t="s">
        <v>543</v>
      </c>
      <c r="E23" s="19"/>
      <c r="F23" s="20"/>
    </row>
    <row r="24" spans="1:6" ht="16.2" thickBot="1" x14ac:dyDescent="0.35">
      <c r="A24" s="11" t="s">
        <v>701</v>
      </c>
      <c r="B24" s="12">
        <v>394</v>
      </c>
      <c r="C24" s="12">
        <v>1182</v>
      </c>
      <c r="D24" s="19" t="s">
        <v>543</v>
      </c>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17107</v>
      </c>
      <c r="C29" s="22">
        <v>19948</v>
      </c>
      <c r="D29" s="23"/>
      <c r="E29" s="23"/>
      <c r="F29" s="24"/>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061B-C7B0-445F-BED0-CC53F4C02092}">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702</v>
      </c>
      <c r="B2" s="4">
        <v>6185</v>
      </c>
      <c r="C2" s="3" t="s">
        <v>703</v>
      </c>
      <c r="D2" s="5">
        <v>0</v>
      </c>
      <c r="E2" s="3"/>
      <c r="F2" s="6"/>
      <c r="G2" s="5">
        <v>0</v>
      </c>
      <c r="H2" s="5">
        <v>6185</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2114</v>
      </c>
      <c r="C16" s="16">
        <v>2114</v>
      </c>
      <c r="D16" s="17" t="s">
        <v>543</v>
      </c>
      <c r="E16" s="17"/>
      <c r="F16" s="18"/>
    </row>
    <row r="17" spans="1:6" ht="21.6" thickBot="1" x14ac:dyDescent="0.4">
      <c r="A17" s="15" t="s">
        <v>25</v>
      </c>
      <c r="B17" s="12">
        <v>0</v>
      </c>
      <c r="C17" s="12">
        <v>3000</v>
      </c>
      <c r="D17" s="19" t="s">
        <v>543</v>
      </c>
      <c r="E17" s="143" t="s">
        <v>704</v>
      </c>
      <c r="F17" s="20" t="s">
        <v>705</v>
      </c>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21.6" thickBot="1" x14ac:dyDescent="0.4">
      <c r="A22" s="15" t="s">
        <v>30</v>
      </c>
      <c r="B22" s="12">
        <v>1256</v>
      </c>
      <c r="C22" s="12">
        <v>1256</v>
      </c>
      <c r="D22" s="19" t="s">
        <v>543</v>
      </c>
      <c r="E22" s="143" t="s">
        <v>704</v>
      </c>
      <c r="F22" s="20"/>
    </row>
    <row r="23" spans="1:6" ht="21.6" thickBot="1" x14ac:dyDescent="0.4">
      <c r="A23" s="11" t="s">
        <v>706</v>
      </c>
      <c r="B23" s="12">
        <v>1200</v>
      </c>
      <c r="C23" s="12">
        <v>1200</v>
      </c>
      <c r="D23" s="19" t="s">
        <v>543</v>
      </c>
      <c r="E23" s="143" t="s">
        <v>704</v>
      </c>
      <c r="F23" s="20"/>
    </row>
    <row r="24" spans="1:6" ht="21.6" thickBot="1" x14ac:dyDescent="0.4">
      <c r="A24" s="11" t="s">
        <v>707</v>
      </c>
      <c r="B24" s="12">
        <v>240</v>
      </c>
      <c r="C24" s="12">
        <v>200</v>
      </c>
      <c r="D24" s="19" t="s">
        <v>543</v>
      </c>
      <c r="E24" s="143" t="s">
        <v>704</v>
      </c>
      <c r="F24" s="20"/>
    </row>
    <row r="25" spans="1:6" ht="21.6" thickBot="1" x14ac:dyDescent="0.4">
      <c r="A25" s="11" t="s">
        <v>708</v>
      </c>
      <c r="B25" s="12">
        <v>147</v>
      </c>
      <c r="C25" s="12">
        <v>50</v>
      </c>
      <c r="D25" s="19" t="s">
        <v>543</v>
      </c>
      <c r="E25" s="143" t="s">
        <v>704</v>
      </c>
      <c r="F25" s="20"/>
    </row>
    <row r="26" spans="1:6" ht="21.6" thickBot="1" x14ac:dyDescent="0.4">
      <c r="A26" s="11" t="s">
        <v>709</v>
      </c>
      <c r="B26" s="12">
        <v>5140</v>
      </c>
      <c r="C26" s="12">
        <v>5140</v>
      </c>
      <c r="D26" s="19" t="s">
        <v>543</v>
      </c>
      <c r="E26" s="143" t="s">
        <v>704</v>
      </c>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10097</v>
      </c>
      <c r="C29" s="22">
        <v>12960</v>
      </c>
      <c r="D29" s="23"/>
      <c r="E29" s="23"/>
      <c r="F29" s="2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8461F-0202-4DA2-9BD0-334BC2D2C836}">
  <dimension ref="A1:H28"/>
  <sheetViews>
    <sheetView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34</v>
      </c>
      <c r="B2" s="4">
        <f>C11</f>
        <v>5500</v>
      </c>
      <c r="C2" s="3" t="s">
        <v>33</v>
      </c>
      <c r="D2" s="5">
        <v>1862211</v>
      </c>
      <c r="E2" s="3" t="s">
        <v>24</v>
      </c>
      <c r="F2" s="6" t="s">
        <v>35</v>
      </c>
      <c r="G2" s="5">
        <v>0</v>
      </c>
      <c r="H2" s="5">
        <v>0</v>
      </c>
    </row>
    <row r="4" spans="1:8" x14ac:dyDescent="0.3">
      <c r="A4" s="8" t="s">
        <v>11</v>
      </c>
    </row>
    <row r="6" spans="1:8" ht="16.2" thickBot="1" x14ac:dyDescent="0.35">
      <c r="A6" s="9" t="s">
        <v>12</v>
      </c>
      <c r="B6" s="10" t="s">
        <v>9</v>
      </c>
    </row>
    <row r="7" spans="1:8" ht="16.2" thickBot="1" x14ac:dyDescent="0.35">
      <c r="A7" s="11" t="s">
        <v>13</v>
      </c>
      <c r="B7" s="12">
        <v>5500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f>SUM(B7:B10)</f>
        <v>5500</v>
      </c>
    </row>
    <row r="12" spans="1:8" x14ac:dyDescent="0.3">
      <c r="A12" s="13"/>
      <c r="C12" s="10" t="s">
        <v>9</v>
      </c>
    </row>
    <row r="14" spans="1:8" ht="31.2" x14ac:dyDescent="0.3">
      <c r="A14" s="1" t="s">
        <v>17</v>
      </c>
      <c r="B14" s="14" t="s">
        <v>18</v>
      </c>
      <c r="C14" s="1" t="s">
        <v>19</v>
      </c>
      <c r="D14" s="1" t="s">
        <v>20</v>
      </c>
      <c r="E14" s="1" t="s">
        <v>21</v>
      </c>
      <c r="F14" s="1" t="s">
        <v>22</v>
      </c>
    </row>
    <row r="15" spans="1:8" ht="47.4" thickBot="1" x14ac:dyDescent="0.35">
      <c r="A15" s="15" t="s">
        <v>23</v>
      </c>
      <c r="B15" s="16">
        <f>2310+21.94+125+31.69</f>
        <v>2488.63</v>
      </c>
      <c r="C15" s="16">
        <f>B15+500</f>
        <v>2988.63</v>
      </c>
      <c r="D15" s="17" t="s">
        <v>24</v>
      </c>
      <c r="E15" s="17" t="s">
        <v>36</v>
      </c>
      <c r="F15" s="25" t="s">
        <v>37</v>
      </c>
    </row>
    <row r="16" spans="1:8" ht="31.8" thickBot="1" x14ac:dyDescent="0.35">
      <c r="A16" s="15" t="s">
        <v>25</v>
      </c>
      <c r="B16" s="12">
        <f>875+125+149</f>
        <v>1149</v>
      </c>
      <c r="C16" s="12">
        <f>B16+2549+50+(125*8)</f>
        <v>4748</v>
      </c>
      <c r="D16" s="19" t="s">
        <v>24</v>
      </c>
      <c r="E16" s="19" t="s">
        <v>36</v>
      </c>
      <c r="F16" s="26" t="s">
        <v>38</v>
      </c>
    </row>
    <row r="17" spans="1:6" ht="16.2" thickBot="1" x14ac:dyDescent="0.35">
      <c r="A17" s="15" t="s">
        <v>26</v>
      </c>
      <c r="B17" s="12">
        <v>30738</v>
      </c>
      <c r="C17" s="12">
        <v>71552</v>
      </c>
      <c r="D17" s="19" t="s">
        <v>24</v>
      </c>
      <c r="E17" s="19" t="s">
        <v>36</v>
      </c>
      <c r="F17" s="20" t="s">
        <v>39</v>
      </c>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f>1500+12.98</f>
        <v>1512.98</v>
      </c>
      <c r="C21" s="12">
        <f>B21+2000+100</f>
        <v>3612.98</v>
      </c>
      <c r="D21" s="19" t="s">
        <v>24</v>
      </c>
      <c r="E21" s="19" t="s">
        <v>36</v>
      </c>
      <c r="F21" s="20" t="s">
        <v>40</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f>SUM(B15:B27)</f>
        <v>35888.61</v>
      </c>
      <c r="C28" s="22">
        <f>SUM(C15:C27)</f>
        <v>82901.61</v>
      </c>
      <c r="D28" s="23"/>
      <c r="E28" s="23"/>
      <c r="F28" s="24"/>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F532-DC52-429F-AC19-51E3074B585D}">
  <dimension ref="A1:H33"/>
  <sheetViews>
    <sheetView topLeftCell="A16" workbookViewId="0">
      <selection activeCell="E11" sqref="E11:J11"/>
    </sheetView>
  </sheetViews>
  <sheetFormatPr defaultColWidth="9.109375" defaultRowHeight="15.6" x14ac:dyDescent="0.3"/>
  <cols>
    <col min="1" max="1" width="65.66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2289</v>
      </c>
      <c r="B2" s="390">
        <v>-6113000</v>
      </c>
      <c r="C2" s="389" t="s">
        <v>2290</v>
      </c>
      <c r="D2" s="391">
        <v>12566843.5</v>
      </c>
      <c r="E2" s="389" t="s">
        <v>2291</v>
      </c>
      <c r="F2" s="392" t="s">
        <v>2292</v>
      </c>
      <c r="G2" s="391">
        <v>0</v>
      </c>
      <c r="H2" s="391">
        <v>0</v>
      </c>
    </row>
    <row r="3" spans="1:8" x14ac:dyDescent="0.3">
      <c r="B3" s="548" t="s">
        <v>1453</v>
      </c>
      <c r="D3" s="548" t="s">
        <v>2293</v>
      </c>
    </row>
    <row r="4" spans="1:8" x14ac:dyDescent="0.3">
      <c r="A4" s="386" t="s">
        <v>11</v>
      </c>
    </row>
    <row r="5" spans="1:8" x14ac:dyDescent="0.3">
      <c r="A5" s="549" t="s">
        <v>2294</v>
      </c>
    </row>
    <row r="6" spans="1:8" ht="16.2" thickBot="1" x14ac:dyDescent="0.35">
      <c r="A6" s="549" t="s">
        <v>12</v>
      </c>
      <c r="B6" s="10" t="s">
        <v>9</v>
      </c>
      <c r="D6" s="551"/>
    </row>
    <row r="7" spans="1:8" ht="16.2" thickBot="1" x14ac:dyDescent="0.35">
      <c r="A7" s="548" t="s">
        <v>51</v>
      </c>
      <c r="B7" s="374">
        <v>0</v>
      </c>
    </row>
    <row r="8" spans="1:8" ht="16.2" thickBot="1" x14ac:dyDescent="0.35">
      <c r="A8" s="548" t="s">
        <v>53</v>
      </c>
      <c r="B8" s="374">
        <v>19801727</v>
      </c>
    </row>
    <row r="9" spans="1:8" ht="16.2" thickBot="1" x14ac:dyDescent="0.35">
      <c r="A9" s="548" t="s">
        <v>55</v>
      </c>
      <c r="B9" s="374">
        <v>0</v>
      </c>
    </row>
    <row r="10" spans="1:8" ht="16.2" thickBot="1" x14ac:dyDescent="0.35">
      <c r="A10" s="548" t="s">
        <v>57</v>
      </c>
      <c r="B10" s="374">
        <v>0</v>
      </c>
    </row>
    <row r="11" spans="1:8" ht="16.2" thickBot="1" x14ac:dyDescent="0.35">
      <c r="A11" s="552" t="s">
        <v>2295</v>
      </c>
      <c r="B11" s="553">
        <f>+[1]Revenues!E15</f>
        <v>2456404</v>
      </c>
    </row>
    <row r="12" spans="1:8" ht="16.2" thickBot="1" x14ac:dyDescent="0.35">
      <c r="A12" s="552" t="s">
        <v>2296</v>
      </c>
      <c r="B12" s="553">
        <f>+[1]Revenues!E13</f>
        <v>5522431</v>
      </c>
    </row>
    <row r="13" spans="1:8" ht="16.2" thickBot="1" x14ac:dyDescent="0.35">
      <c r="A13" s="548"/>
      <c r="B13" s="10"/>
      <c r="C13" s="374">
        <f>SUM(B7:B12)</f>
        <v>27780562</v>
      </c>
    </row>
    <row r="14" spans="1:8" x14ac:dyDescent="0.3">
      <c r="A14" s="547"/>
      <c r="C14" s="10" t="s">
        <v>9</v>
      </c>
    </row>
    <row r="16" spans="1:8" ht="31.2" x14ac:dyDescent="0.3">
      <c r="A16" s="384" t="s">
        <v>17</v>
      </c>
      <c r="B16" s="385" t="s">
        <v>18</v>
      </c>
      <c r="C16" s="384" t="s">
        <v>19</v>
      </c>
      <c r="D16" s="384" t="s">
        <v>20</v>
      </c>
      <c r="E16" s="384" t="s">
        <v>21</v>
      </c>
      <c r="F16" s="384" t="s">
        <v>22</v>
      </c>
    </row>
    <row r="17" spans="1:6" ht="16.2" thickBot="1" x14ac:dyDescent="0.35">
      <c r="A17" s="546" t="s">
        <v>23</v>
      </c>
      <c r="B17" s="382">
        <f>+'[1]Detail reclassed to State categ'!T131</f>
        <v>120747.53</v>
      </c>
      <c r="C17" s="382">
        <f>+[1]Projections!N6</f>
        <v>73700</v>
      </c>
      <c r="D17" s="554">
        <f>SUM(B17:C17)</f>
        <v>194447.53</v>
      </c>
      <c r="E17" s="359"/>
      <c r="F17" s="383"/>
    </row>
    <row r="18" spans="1:6" ht="16.2" thickBot="1" x14ac:dyDescent="0.35">
      <c r="A18" s="546" t="s">
        <v>25</v>
      </c>
      <c r="B18" s="374">
        <f>+'[1]Detail reclassed to State categ'!T132</f>
        <v>1397709.27</v>
      </c>
      <c r="C18" s="374">
        <f>+[1]Projections!N7</f>
        <v>179263.95</v>
      </c>
      <c r="D18" s="554">
        <f t="shared" ref="D18:D23" si="0">SUM(B18:C18)</f>
        <v>1576973.22</v>
      </c>
      <c r="E18" s="387"/>
      <c r="F18" s="559" t="s">
        <v>2314</v>
      </c>
    </row>
    <row r="19" spans="1:6" ht="16.2" thickBot="1" x14ac:dyDescent="0.35">
      <c r="A19" s="546" t="s">
        <v>26</v>
      </c>
      <c r="B19" s="374">
        <f>+'[1]Detail reclassed to State categ'!T133</f>
        <v>2261</v>
      </c>
      <c r="C19" s="374">
        <f>+[1]Projections!N8</f>
        <v>17000</v>
      </c>
      <c r="D19" s="554">
        <f t="shared" si="0"/>
        <v>19261</v>
      </c>
      <c r="E19" s="387"/>
      <c r="F19" s="559" t="s">
        <v>2315</v>
      </c>
    </row>
    <row r="20" spans="1:6" ht="16.2" thickBot="1" x14ac:dyDescent="0.35">
      <c r="A20" s="546" t="s">
        <v>27</v>
      </c>
      <c r="B20" s="374">
        <f>+'[1]Detail reclassed to State categ'!T134</f>
        <v>4250.46</v>
      </c>
      <c r="C20" s="374">
        <f>+[1]Projections!N9</f>
        <v>228509.91</v>
      </c>
      <c r="D20" s="554">
        <f t="shared" si="0"/>
        <v>232760.37</v>
      </c>
      <c r="E20" s="387"/>
      <c r="F20" s="377"/>
    </row>
    <row r="21" spans="1:6" ht="16.2" thickBot="1" x14ac:dyDescent="0.35">
      <c r="A21" s="546" t="s">
        <v>28</v>
      </c>
      <c r="B21" s="374">
        <f>+'[1]Detail reclassed to State categ'!T135</f>
        <v>39080</v>
      </c>
      <c r="C21" s="374">
        <f>+[1]Projections!N10</f>
        <v>181225</v>
      </c>
      <c r="D21" s="554">
        <f t="shared" si="0"/>
        <v>220305</v>
      </c>
      <c r="E21" s="387"/>
      <c r="F21" s="377"/>
    </row>
    <row r="22" spans="1:6" ht="16.2" thickBot="1" x14ac:dyDescent="0.35">
      <c r="A22" s="546" t="s">
        <v>29</v>
      </c>
      <c r="B22" s="374">
        <f>+'[1]Detail reclassed to State categ'!T130</f>
        <v>130927.56999999999</v>
      </c>
      <c r="C22" s="374">
        <f>+[1]Projections!N5</f>
        <v>281237.29000000004</v>
      </c>
      <c r="D22" s="554">
        <f t="shared" si="0"/>
        <v>412164.86000000004</v>
      </c>
      <c r="E22" s="387"/>
      <c r="F22" s="377"/>
    </row>
    <row r="23" spans="1:6" ht="16.2" thickBot="1" x14ac:dyDescent="0.35">
      <c r="A23" s="546" t="s">
        <v>2316</v>
      </c>
      <c r="B23" s="374">
        <f>+'[1]Detail reclassed to State categ'!T136</f>
        <v>233514.26</v>
      </c>
      <c r="C23" s="374">
        <f>+[1]Projections!N11</f>
        <v>544715.73</v>
      </c>
      <c r="D23" s="554">
        <f t="shared" si="0"/>
        <v>778229.99</v>
      </c>
      <c r="E23" s="387"/>
      <c r="F23" s="377"/>
    </row>
    <row r="24" spans="1:6" ht="16.2" thickBot="1" x14ac:dyDescent="0.35">
      <c r="A24" s="548"/>
      <c r="B24" s="374">
        <v>0</v>
      </c>
      <c r="C24" s="374">
        <v>0</v>
      </c>
      <c r="D24" s="377"/>
      <c r="E24" s="387"/>
      <c r="F24" s="377"/>
    </row>
    <row r="25" spans="1:6" ht="16.2" thickBot="1" x14ac:dyDescent="0.35">
      <c r="A25" s="548"/>
      <c r="B25" s="374">
        <v>0</v>
      </c>
      <c r="C25" s="374">
        <v>0</v>
      </c>
      <c r="D25" s="387"/>
      <c r="E25" s="387"/>
      <c r="F25" s="377"/>
    </row>
    <row r="26" spans="1:6" ht="16.2" thickBot="1" x14ac:dyDescent="0.35">
      <c r="A26" s="548"/>
      <c r="B26" s="374">
        <v>0</v>
      </c>
      <c r="C26" s="374">
        <v>0</v>
      </c>
      <c r="D26" s="387"/>
      <c r="E26" s="387"/>
      <c r="F26" s="377"/>
    </row>
    <row r="27" spans="1:6" ht="16.2" thickBot="1" x14ac:dyDescent="0.35">
      <c r="A27" s="548"/>
      <c r="B27" s="374">
        <v>0</v>
      </c>
      <c r="C27" s="374">
        <v>0</v>
      </c>
      <c r="D27" s="387"/>
      <c r="E27" s="387"/>
      <c r="F27" s="377"/>
    </row>
    <row r="28" spans="1:6" ht="16.2" thickBot="1" x14ac:dyDescent="0.35">
      <c r="A28" s="548"/>
      <c r="B28" s="374">
        <v>0</v>
      </c>
      <c r="C28" s="374">
        <v>0</v>
      </c>
      <c r="D28" s="387"/>
      <c r="E28" s="387"/>
      <c r="F28" s="377"/>
    </row>
    <row r="29" spans="1:6" ht="16.2" thickBot="1" x14ac:dyDescent="0.35">
      <c r="A29" s="378"/>
      <c r="B29" s="374">
        <v>0</v>
      </c>
      <c r="C29" s="374">
        <v>0</v>
      </c>
      <c r="D29" s="387"/>
      <c r="E29" s="387"/>
      <c r="F29" s="377"/>
    </row>
    <row r="30" spans="1:6" ht="16.2" thickBot="1" x14ac:dyDescent="0.35">
      <c r="A30" s="547" t="s">
        <v>32</v>
      </c>
      <c r="B30" s="379">
        <f>SUM(B17:B29)</f>
        <v>1928490.09</v>
      </c>
      <c r="C30" s="379">
        <f>SUM(C17:C29)</f>
        <v>1505651.88</v>
      </c>
      <c r="D30" s="379">
        <f>SUM(D17:D29)</f>
        <v>3434141.9699999997</v>
      </c>
      <c r="E30" s="388"/>
      <c r="F30" s="380"/>
    </row>
    <row r="32" spans="1:6" x14ac:dyDescent="0.3">
      <c r="C32" s="372" t="s">
        <v>9</v>
      </c>
      <c r="D32" s="372">
        <v>-1300000</v>
      </c>
    </row>
    <row r="33" spans="3:4" x14ac:dyDescent="0.3">
      <c r="C33" s="372" t="s">
        <v>9</v>
      </c>
      <c r="D33" s="396">
        <f>SUM(D30:D32)</f>
        <v>2134141.9699999997</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57D3-C002-4491-84EC-548CA126E77B}">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366</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4163</v>
      </c>
      <c r="C15" s="16">
        <v>2187</v>
      </c>
      <c r="D15" s="17" t="s">
        <v>543</v>
      </c>
      <c r="E15" s="17"/>
      <c r="F15" s="18"/>
    </row>
    <row r="16" spans="1:8" ht="16.2" thickBot="1" x14ac:dyDescent="0.35">
      <c r="A16" s="15" t="s">
        <v>25</v>
      </c>
      <c r="B16" s="12">
        <v>18738</v>
      </c>
      <c r="C16" s="12">
        <v>900</v>
      </c>
      <c r="D16" s="19" t="s">
        <v>543</v>
      </c>
      <c r="E16" s="19"/>
      <c r="F16" s="20"/>
    </row>
    <row r="17" spans="1:6" ht="16.2" thickBot="1" x14ac:dyDescent="0.35">
      <c r="A17" s="15" t="s">
        <v>26</v>
      </c>
      <c r="B17" s="12">
        <v>462</v>
      </c>
      <c r="C17" s="12">
        <v>500</v>
      </c>
      <c r="D17" s="19" t="s">
        <v>543</v>
      </c>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32152</v>
      </c>
      <c r="C20" s="12">
        <v>0</v>
      </c>
      <c r="D20" s="19" t="s">
        <v>543</v>
      </c>
      <c r="E20" s="19"/>
      <c r="F20" s="20"/>
    </row>
    <row r="21" spans="1:6" ht="16.2" thickBot="1" x14ac:dyDescent="0.35">
      <c r="A21" s="15" t="s">
        <v>30</v>
      </c>
      <c r="B21" s="12">
        <v>200</v>
      </c>
      <c r="C21" s="12">
        <v>100</v>
      </c>
      <c r="D21" s="19" t="s">
        <v>543</v>
      </c>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55715</v>
      </c>
      <c r="C28" s="22">
        <v>3687</v>
      </c>
      <c r="D28" s="23"/>
      <c r="E28" s="23"/>
      <c r="F28" s="24"/>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76CE-F149-466E-AC52-DC3DE2132DDC}">
  <dimension ref="A1:H29"/>
  <sheetViews>
    <sheetView topLeftCell="A16"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34.109375" style="372" bestFit="1"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2199</v>
      </c>
      <c r="B2" s="390">
        <v>174618.5</v>
      </c>
      <c r="C2" s="389" t="s">
        <v>2200</v>
      </c>
      <c r="D2" s="391">
        <v>2745617</v>
      </c>
      <c r="E2" s="389" t="s">
        <v>1309</v>
      </c>
      <c r="F2" s="392" t="s">
        <v>2201</v>
      </c>
      <c r="G2" s="391">
        <v>0</v>
      </c>
      <c r="H2" s="391">
        <f>162208+12410.5</f>
        <v>174618.5</v>
      </c>
    </row>
    <row r="4" spans="1:8" x14ac:dyDescent="0.3">
      <c r="A4" s="386" t="s">
        <v>11</v>
      </c>
    </row>
    <row r="6" spans="1:8" ht="16.2" thickBot="1" x14ac:dyDescent="0.35">
      <c r="A6" s="524" t="s">
        <v>12</v>
      </c>
      <c r="B6" s="10" t="s">
        <v>9</v>
      </c>
    </row>
    <row r="7" spans="1:8" ht="16.2" thickBot="1" x14ac:dyDescent="0.35">
      <c r="A7" s="523" t="s">
        <v>51</v>
      </c>
      <c r="B7" s="374">
        <v>162208</v>
      </c>
    </row>
    <row r="8" spans="1:8" ht="16.2" thickBot="1" x14ac:dyDescent="0.35">
      <c r="A8" s="523" t="s">
        <v>53</v>
      </c>
      <c r="B8" s="374">
        <v>0</v>
      </c>
    </row>
    <row r="9" spans="1:8" ht="16.2" thickBot="1" x14ac:dyDescent="0.35">
      <c r="A9" s="523" t="s">
        <v>55</v>
      </c>
      <c r="B9" s="374">
        <v>0</v>
      </c>
    </row>
    <row r="10" spans="1:8" ht="16.2" thickBot="1" x14ac:dyDescent="0.35">
      <c r="A10" s="523" t="s">
        <v>57</v>
      </c>
      <c r="B10" s="374">
        <v>0</v>
      </c>
    </row>
    <row r="11" spans="1:8" ht="16.2" thickBot="1" x14ac:dyDescent="0.35">
      <c r="A11" s="523"/>
      <c r="B11" s="374">
        <v>0</v>
      </c>
    </row>
    <row r="12" spans="1:8" ht="16.2" thickBot="1" x14ac:dyDescent="0.35">
      <c r="A12" s="523"/>
      <c r="B12" s="10"/>
      <c r="C12" s="374">
        <f>SUM(B7:B11)</f>
        <v>162208</v>
      </c>
    </row>
    <row r="13" spans="1:8" x14ac:dyDescent="0.3">
      <c r="A13" s="522"/>
      <c r="C13" s="10" t="s">
        <v>9</v>
      </c>
    </row>
    <row r="15" spans="1:8" ht="31.2" x14ac:dyDescent="0.3">
      <c r="A15" s="384" t="s">
        <v>17</v>
      </c>
      <c r="B15" s="385" t="s">
        <v>18</v>
      </c>
      <c r="C15" s="384" t="s">
        <v>19</v>
      </c>
      <c r="D15" s="384" t="s">
        <v>20</v>
      </c>
      <c r="E15" s="384" t="s">
        <v>21</v>
      </c>
      <c r="F15" s="384" t="s">
        <v>22</v>
      </c>
    </row>
    <row r="16" spans="1:8" ht="31.8" thickBot="1" x14ac:dyDescent="0.35">
      <c r="A16" s="521" t="s">
        <v>23</v>
      </c>
      <c r="B16" s="228">
        <f>735.5+249+136.1+79.8+900+1287.75+692.35+218.96</f>
        <v>4299.4599999999991</v>
      </c>
      <c r="C16" s="228">
        <v>5000</v>
      </c>
      <c r="D16" s="397" t="s">
        <v>1309</v>
      </c>
      <c r="E16" s="397"/>
      <c r="F16" s="529" t="s">
        <v>2202</v>
      </c>
    </row>
    <row r="17" spans="1:6" ht="31.8" thickBot="1" x14ac:dyDescent="0.35">
      <c r="A17" s="521" t="s">
        <v>25</v>
      </c>
      <c r="B17" s="106">
        <f>60+185+106+60+291.5+60</f>
        <v>762.5</v>
      </c>
      <c r="C17" s="106">
        <v>10000</v>
      </c>
      <c r="D17" s="397" t="s">
        <v>1309</v>
      </c>
      <c r="E17" s="394"/>
      <c r="F17" s="516" t="s">
        <v>2203</v>
      </c>
    </row>
    <row r="18" spans="1:6" ht="16.2" thickBot="1" x14ac:dyDescent="0.35">
      <c r="A18" s="521" t="s">
        <v>26</v>
      </c>
      <c r="B18" s="106">
        <v>0</v>
      </c>
      <c r="C18" s="106">
        <v>0</v>
      </c>
      <c r="D18" s="394"/>
      <c r="E18" s="394"/>
      <c r="F18" s="227"/>
    </row>
    <row r="19" spans="1:6" ht="16.2" thickBot="1" x14ac:dyDescent="0.35">
      <c r="A19" s="521" t="s">
        <v>27</v>
      </c>
      <c r="B19" s="106">
        <v>0</v>
      </c>
      <c r="C19" s="106">
        <v>0</v>
      </c>
      <c r="D19" s="394"/>
      <c r="E19" s="394"/>
      <c r="F19" s="227"/>
    </row>
    <row r="20" spans="1:6" ht="16.2" thickBot="1" x14ac:dyDescent="0.35">
      <c r="A20" s="521" t="s">
        <v>28</v>
      </c>
      <c r="B20" s="106">
        <v>0</v>
      </c>
      <c r="C20" s="106">
        <v>0</v>
      </c>
      <c r="D20" s="394"/>
      <c r="E20" s="394"/>
      <c r="F20" s="227"/>
    </row>
    <row r="21" spans="1:6" ht="31.8" thickBot="1" x14ac:dyDescent="0.35">
      <c r="A21" s="521" t="s">
        <v>29</v>
      </c>
      <c r="B21" s="106">
        <f>7173.6+206.82+1390+206.82</f>
        <v>8977.24</v>
      </c>
      <c r="C21" s="106">
        <v>15000</v>
      </c>
      <c r="D21" s="397" t="s">
        <v>1309</v>
      </c>
      <c r="E21" s="394"/>
      <c r="F21" s="516" t="s">
        <v>2204</v>
      </c>
    </row>
    <row r="22" spans="1:6" ht="16.2" thickBot="1" x14ac:dyDescent="0.35">
      <c r="A22" s="521" t="s">
        <v>30</v>
      </c>
      <c r="B22" s="106">
        <f>798.41+1466.47+817.28</f>
        <v>3082.16</v>
      </c>
      <c r="C22" s="106">
        <v>5000</v>
      </c>
      <c r="D22" s="397" t="s">
        <v>1309</v>
      </c>
      <c r="E22" s="394"/>
      <c r="F22" s="227" t="s">
        <v>2205</v>
      </c>
    </row>
    <row r="23" spans="1:6" ht="16.2" thickBot="1" x14ac:dyDescent="0.35">
      <c r="A23" s="523"/>
      <c r="B23" s="106">
        <v>0</v>
      </c>
      <c r="C23" s="106">
        <v>0</v>
      </c>
      <c r="D23" s="394"/>
      <c r="E23" s="394"/>
      <c r="F23" s="227"/>
    </row>
    <row r="24" spans="1:6" ht="16.2" thickBot="1" x14ac:dyDescent="0.35">
      <c r="A24" s="523"/>
      <c r="B24" s="106">
        <v>0</v>
      </c>
      <c r="C24" s="106">
        <v>0</v>
      </c>
      <c r="D24" s="394"/>
      <c r="E24" s="394"/>
      <c r="F24" s="227"/>
    </row>
    <row r="25" spans="1:6" ht="16.2" thickBot="1" x14ac:dyDescent="0.35">
      <c r="A25" s="523"/>
      <c r="B25" s="106">
        <v>0</v>
      </c>
      <c r="C25" s="106">
        <v>0</v>
      </c>
      <c r="D25" s="394"/>
      <c r="E25" s="394"/>
      <c r="F25" s="227"/>
    </row>
    <row r="26" spans="1:6" ht="16.2" thickBot="1" x14ac:dyDescent="0.35">
      <c r="A26" s="523"/>
      <c r="B26" s="106">
        <v>0</v>
      </c>
      <c r="C26" s="106">
        <v>0</v>
      </c>
      <c r="D26" s="394"/>
      <c r="E26" s="394"/>
      <c r="F26" s="227"/>
    </row>
    <row r="27" spans="1:6" ht="16.2" thickBot="1" x14ac:dyDescent="0.35">
      <c r="A27" s="523"/>
      <c r="B27" s="106">
        <v>0</v>
      </c>
      <c r="C27" s="106">
        <v>0</v>
      </c>
      <c r="D27" s="394"/>
      <c r="E27" s="394"/>
      <c r="F27" s="227"/>
    </row>
    <row r="28" spans="1:6" ht="16.2" thickBot="1" x14ac:dyDescent="0.35">
      <c r="A28" s="378"/>
      <c r="B28" s="106">
        <v>0</v>
      </c>
      <c r="C28" s="106">
        <v>0</v>
      </c>
      <c r="D28" s="394"/>
      <c r="E28" s="394"/>
      <c r="F28" s="227"/>
    </row>
    <row r="29" spans="1:6" ht="16.2" thickBot="1" x14ac:dyDescent="0.35">
      <c r="A29" s="522" t="s">
        <v>32</v>
      </c>
      <c r="B29" s="530">
        <f>SUM(B16:B28)</f>
        <v>17121.36</v>
      </c>
      <c r="C29" s="530">
        <f>SUM(C16:C28)</f>
        <v>35000</v>
      </c>
      <c r="D29" s="34"/>
      <c r="E29" s="34"/>
      <c r="F29" s="484"/>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F884-B1DD-476A-900B-2AF2B3378C55}">
  <dimension ref="A1:Z1000"/>
  <sheetViews>
    <sheetView topLeftCell="A7" workbookViewId="0">
      <selection activeCell="E11" sqref="E11:J11"/>
    </sheetView>
  </sheetViews>
  <sheetFormatPr defaultColWidth="14.44140625" defaultRowHeight="14.4" x14ac:dyDescent="0.3"/>
  <cols>
    <col min="1" max="1" width="47" customWidth="1"/>
    <col min="2" max="2" width="20.44140625" customWidth="1"/>
    <col min="3" max="3" width="26.88671875" customWidth="1"/>
    <col min="4" max="4" width="26.44140625" customWidth="1"/>
    <col min="5" max="5" width="30.6640625" customWidth="1"/>
    <col min="6" max="6" width="59" customWidth="1"/>
    <col min="7" max="7" width="21.33203125" customWidth="1"/>
    <col min="8" max="8" width="20.6640625" customWidth="1"/>
    <col min="9" max="26" width="8.6640625" customWidth="1"/>
  </cols>
  <sheetData>
    <row r="1" spans="1:26" ht="60.75" customHeight="1" thickBot="1" x14ac:dyDescent="0.35">
      <c r="A1" s="144" t="s">
        <v>0</v>
      </c>
      <c r="B1" s="144" t="s">
        <v>1</v>
      </c>
      <c r="C1" s="144" t="s">
        <v>2</v>
      </c>
      <c r="D1" s="144" t="s">
        <v>3</v>
      </c>
      <c r="E1" s="144" t="s">
        <v>4</v>
      </c>
      <c r="F1" s="144" t="s">
        <v>5</v>
      </c>
      <c r="G1" s="144" t="s">
        <v>6</v>
      </c>
      <c r="H1" s="144" t="s">
        <v>7</v>
      </c>
      <c r="I1" s="2"/>
      <c r="J1" s="2"/>
      <c r="K1" s="2"/>
      <c r="L1" s="2"/>
      <c r="M1" s="2"/>
      <c r="N1" s="2"/>
      <c r="O1" s="2"/>
      <c r="P1" s="2"/>
      <c r="Q1" s="2"/>
      <c r="R1" s="2"/>
      <c r="S1" s="2"/>
      <c r="T1" s="2"/>
      <c r="U1" s="2"/>
      <c r="V1" s="2"/>
      <c r="W1" s="2"/>
      <c r="X1" s="2"/>
      <c r="Y1" s="2"/>
      <c r="Z1" s="2"/>
    </row>
    <row r="2" spans="1:26" ht="56.25" customHeight="1" thickBot="1" x14ac:dyDescent="0.35">
      <c r="A2" s="145" t="s">
        <v>274</v>
      </c>
      <c r="B2" s="146">
        <v>5725136</v>
      </c>
      <c r="C2" s="145" t="s">
        <v>710</v>
      </c>
      <c r="D2" s="147">
        <v>5385985</v>
      </c>
      <c r="E2" s="145" t="s">
        <v>10</v>
      </c>
      <c r="F2" s="148" t="s">
        <v>711</v>
      </c>
      <c r="G2" s="147">
        <v>0</v>
      </c>
      <c r="H2" s="147">
        <v>0</v>
      </c>
      <c r="I2" s="7"/>
      <c r="J2" s="7"/>
      <c r="K2" s="7"/>
      <c r="L2" s="7"/>
      <c r="M2" s="7"/>
      <c r="N2" s="7"/>
      <c r="O2" s="7"/>
      <c r="P2" s="7"/>
      <c r="Q2" s="7"/>
      <c r="R2" s="7"/>
      <c r="S2" s="7"/>
      <c r="T2" s="7"/>
      <c r="U2" s="7"/>
      <c r="V2" s="7"/>
      <c r="W2" s="7"/>
      <c r="X2" s="7"/>
      <c r="Y2" s="7"/>
      <c r="Z2" s="7"/>
    </row>
    <row r="3" spans="1:26" ht="15.75" customHeight="1" x14ac:dyDescent="0.3">
      <c r="A3" s="7"/>
      <c r="B3" s="7"/>
      <c r="C3" s="7"/>
      <c r="D3" s="7"/>
      <c r="E3" s="7"/>
      <c r="F3" s="7"/>
      <c r="G3" s="7"/>
      <c r="H3" s="7"/>
      <c r="I3" s="7"/>
      <c r="J3" s="7"/>
      <c r="K3" s="7"/>
      <c r="L3" s="7"/>
      <c r="M3" s="7"/>
      <c r="N3" s="7"/>
      <c r="O3" s="7"/>
      <c r="P3" s="7"/>
      <c r="Q3" s="7"/>
      <c r="R3" s="7"/>
      <c r="S3" s="7"/>
      <c r="T3" s="7"/>
      <c r="U3" s="7"/>
      <c r="V3" s="7"/>
      <c r="W3" s="7"/>
      <c r="X3" s="7"/>
      <c r="Y3" s="7"/>
      <c r="Z3" s="7"/>
    </row>
    <row r="4" spans="1:26" ht="15.75" customHeight="1" x14ac:dyDescent="0.3">
      <c r="A4" s="8" t="s">
        <v>11</v>
      </c>
      <c r="B4" s="7"/>
      <c r="C4" s="7"/>
      <c r="D4" s="7"/>
      <c r="E4" s="7"/>
      <c r="F4" s="7"/>
      <c r="G4" s="7"/>
      <c r="H4" s="7"/>
      <c r="I4" s="7"/>
      <c r="J4" s="7"/>
      <c r="K4" s="7"/>
      <c r="L4" s="7"/>
      <c r="M4" s="7"/>
      <c r="N4" s="7"/>
      <c r="O4" s="7"/>
      <c r="P4" s="7"/>
      <c r="Q4" s="7"/>
      <c r="R4" s="7"/>
      <c r="S4" s="7"/>
      <c r="T4" s="7"/>
      <c r="U4" s="7"/>
      <c r="V4" s="7"/>
      <c r="W4" s="7"/>
      <c r="X4" s="7"/>
      <c r="Y4" s="7"/>
      <c r="Z4" s="7"/>
    </row>
    <row r="5" spans="1:26" ht="15.75" customHeight="1" x14ac:dyDescent="0.3">
      <c r="A5" s="7"/>
      <c r="B5" s="7"/>
      <c r="C5" s="7"/>
      <c r="D5" s="7"/>
      <c r="E5" s="7"/>
      <c r="F5" s="7"/>
      <c r="G5" s="7"/>
      <c r="H5" s="7"/>
      <c r="I5" s="7"/>
      <c r="J5" s="7"/>
      <c r="K5" s="7"/>
      <c r="L5" s="7"/>
      <c r="M5" s="7"/>
      <c r="N5" s="7"/>
      <c r="O5" s="7"/>
      <c r="P5" s="7"/>
      <c r="Q5" s="7"/>
      <c r="R5" s="7"/>
      <c r="S5" s="7"/>
      <c r="T5" s="7"/>
      <c r="U5" s="7"/>
      <c r="V5" s="7"/>
      <c r="W5" s="7"/>
      <c r="X5" s="7"/>
      <c r="Y5" s="7"/>
      <c r="Z5" s="7"/>
    </row>
    <row r="6" spans="1:26" ht="15.75" customHeight="1" thickBot="1" x14ac:dyDescent="0.35">
      <c r="A6" s="149" t="s">
        <v>12</v>
      </c>
      <c r="B6" s="62" t="s">
        <v>9</v>
      </c>
      <c r="C6" s="7"/>
      <c r="D6" s="7"/>
      <c r="E6" s="7"/>
      <c r="F6" s="7"/>
      <c r="G6" s="7"/>
      <c r="H6" s="7"/>
      <c r="I6" s="7"/>
      <c r="J6" s="7"/>
      <c r="K6" s="7"/>
      <c r="L6" s="7"/>
      <c r="M6" s="7"/>
      <c r="N6" s="7"/>
      <c r="O6" s="7"/>
      <c r="P6" s="7"/>
      <c r="Q6" s="7"/>
      <c r="R6" s="7"/>
      <c r="S6" s="7"/>
      <c r="T6" s="7"/>
      <c r="U6" s="7"/>
      <c r="V6" s="7"/>
      <c r="W6" s="7"/>
      <c r="X6" s="7"/>
      <c r="Y6" s="7"/>
      <c r="Z6" s="7"/>
    </row>
    <row r="7" spans="1:26" ht="15.75" customHeight="1" thickBot="1" x14ac:dyDescent="0.35">
      <c r="A7" s="11" t="s">
        <v>51</v>
      </c>
      <c r="B7" s="150">
        <v>0</v>
      </c>
      <c r="C7" s="7"/>
      <c r="D7" s="7"/>
      <c r="E7" s="7"/>
      <c r="F7" s="7"/>
      <c r="G7" s="7"/>
      <c r="H7" s="7"/>
      <c r="I7" s="7"/>
      <c r="J7" s="7"/>
      <c r="K7" s="7"/>
      <c r="L7" s="7"/>
      <c r="M7" s="7"/>
      <c r="N7" s="7"/>
      <c r="O7" s="7"/>
      <c r="P7" s="7"/>
      <c r="Q7" s="7"/>
      <c r="R7" s="7"/>
      <c r="S7" s="7"/>
      <c r="T7" s="7"/>
      <c r="U7" s="7"/>
      <c r="V7" s="7"/>
      <c r="W7" s="7"/>
      <c r="X7" s="7"/>
      <c r="Y7" s="7"/>
      <c r="Z7" s="7"/>
    </row>
    <row r="8" spans="1:26" ht="15.75" customHeight="1" thickBot="1" x14ac:dyDescent="0.35">
      <c r="A8" s="11" t="s">
        <v>53</v>
      </c>
      <c r="B8" s="150">
        <v>0</v>
      </c>
      <c r="C8" s="7"/>
      <c r="D8" s="7"/>
      <c r="E8" s="7"/>
      <c r="F8" s="7"/>
      <c r="G8" s="7"/>
      <c r="H8" s="7"/>
      <c r="I8" s="7"/>
      <c r="J8" s="7"/>
      <c r="K8" s="7"/>
      <c r="L8" s="7"/>
      <c r="M8" s="7"/>
      <c r="N8" s="7"/>
      <c r="O8" s="7"/>
      <c r="P8" s="7"/>
      <c r="Q8" s="7"/>
      <c r="R8" s="7"/>
      <c r="S8" s="7"/>
      <c r="T8" s="7"/>
      <c r="U8" s="7"/>
      <c r="V8" s="7"/>
      <c r="W8" s="7"/>
      <c r="X8" s="7"/>
      <c r="Y8" s="7"/>
      <c r="Z8" s="7"/>
    </row>
    <row r="9" spans="1:26" ht="15.75" customHeight="1" thickBot="1" x14ac:dyDescent="0.35">
      <c r="A9" s="11" t="s">
        <v>55</v>
      </c>
      <c r="B9" s="150">
        <v>5725136</v>
      </c>
      <c r="C9" s="7"/>
      <c r="D9" s="7"/>
      <c r="E9" s="7"/>
      <c r="F9" s="7"/>
      <c r="G9" s="7"/>
      <c r="H9" s="7"/>
      <c r="I9" s="7"/>
      <c r="J9" s="7"/>
      <c r="K9" s="7"/>
      <c r="L9" s="7"/>
      <c r="M9" s="7"/>
      <c r="N9" s="7"/>
      <c r="O9" s="7"/>
      <c r="P9" s="7"/>
      <c r="Q9" s="7"/>
      <c r="R9" s="7"/>
      <c r="S9" s="7"/>
      <c r="T9" s="7"/>
      <c r="U9" s="7"/>
      <c r="V9" s="7"/>
      <c r="W9" s="7"/>
      <c r="X9" s="7"/>
      <c r="Y9" s="7"/>
      <c r="Z9" s="7"/>
    </row>
    <row r="10" spans="1:26" ht="15.75" customHeight="1" thickBot="1" x14ac:dyDescent="0.35">
      <c r="A10" s="11" t="s">
        <v>57</v>
      </c>
      <c r="B10" s="150">
        <v>0</v>
      </c>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thickBot="1" x14ac:dyDescent="0.35">
      <c r="A11" s="11"/>
      <c r="B11" s="150">
        <v>0</v>
      </c>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thickBot="1" x14ac:dyDescent="0.35">
      <c r="A12" s="11"/>
      <c r="B12" s="62"/>
      <c r="C12" s="150">
        <v>5725136</v>
      </c>
      <c r="D12" s="7"/>
      <c r="E12" s="7"/>
      <c r="F12" s="7"/>
      <c r="G12" s="7"/>
      <c r="H12" s="7"/>
      <c r="I12" s="7"/>
      <c r="J12" s="7"/>
      <c r="K12" s="7"/>
      <c r="L12" s="7"/>
      <c r="M12" s="7"/>
      <c r="N12" s="7"/>
      <c r="O12" s="7"/>
      <c r="P12" s="7"/>
      <c r="Q12" s="7"/>
      <c r="R12" s="7"/>
      <c r="S12" s="7"/>
      <c r="T12" s="7"/>
      <c r="U12" s="7"/>
      <c r="V12" s="7"/>
      <c r="W12" s="7"/>
      <c r="X12" s="7"/>
      <c r="Y12" s="7"/>
      <c r="Z12" s="7"/>
    </row>
    <row r="13" spans="1:26" ht="15.75" customHeight="1" x14ac:dyDescent="0.3">
      <c r="A13" s="13"/>
      <c r="B13" s="7"/>
      <c r="C13" s="62" t="s">
        <v>9</v>
      </c>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3">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thickBot="1" x14ac:dyDescent="0.35">
      <c r="A15" s="144" t="s">
        <v>17</v>
      </c>
      <c r="B15" s="151" t="s">
        <v>18</v>
      </c>
      <c r="C15" s="144" t="s">
        <v>19</v>
      </c>
      <c r="D15" s="144" t="s">
        <v>20</v>
      </c>
      <c r="E15" s="144" t="s">
        <v>21</v>
      </c>
      <c r="F15" s="144" t="s">
        <v>22</v>
      </c>
      <c r="G15" s="7"/>
      <c r="H15" s="7"/>
      <c r="I15" s="7"/>
      <c r="J15" s="7"/>
      <c r="K15" s="7"/>
      <c r="L15" s="7"/>
      <c r="M15" s="7"/>
      <c r="N15" s="7"/>
      <c r="O15" s="7"/>
      <c r="P15" s="7"/>
      <c r="Q15" s="7"/>
      <c r="R15" s="7"/>
      <c r="S15" s="7"/>
      <c r="T15" s="7"/>
      <c r="U15" s="7"/>
      <c r="V15" s="7"/>
      <c r="W15" s="7"/>
      <c r="X15" s="7"/>
      <c r="Y15" s="7"/>
      <c r="Z15" s="7"/>
    </row>
    <row r="16" spans="1:26" ht="15.75" customHeight="1" thickBot="1" x14ac:dyDescent="0.35">
      <c r="A16" s="15" t="s">
        <v>23</v>
      </c>
      <c r="B16" s="152">
        <v>4859</v>
      </c>
      <c r="C16" s="153">
        <v>4859</v>
      </c>
      <c r="D16" s="154" t="s">
        <v>24</v>
      </c>
      <c r="E16" s="155"/>
      <c r="F16" s="156" t="s">
        <v>712</v>
      </c>
      <c r="G16" s="7"/>
      <c r="H16" s="7"/>
      <c r="I16" s="7"/>
      <c r="J16" s="7"/>
      <c r="K16" s="7"/>
      <c r="L16" s="7"/>
      <c r="M16" s="7"/>
      <c r="N16" s="7"/>
      <c r="O16" s="7"/>
      <c r="P16" s="7"/>
      <c r="Q16" s="7"/>
      <c r="R16" s="7"/>
      <c r="S16" s="7"/>
      <c r="T16" s="7"/>
      <c r="U16" s="7"/>
      <c r="V16" s="7"/>
      <c r="W16" s="7"/>
      <c r="X16" s="7"/>
      <c r="Y16" s="7"/>
      <c r="Z16" s="7"/>
    </row>
    <row r="17" spans="1:26" ht="15.75" customHeight="1" thickBot="1" x14ac:dyDescent="0.35">
      <c r="A17" s="15" t="s">
        <v>25</v>
      </c>
      <c r="B17" s="152">
        <v>17362</v>
      </c>
      <c r="C17" s="150">
        <v>17362</v>
      </c>
      <c r="D17" s="154" t="s">
        <v>24</v>
      </c>
      <c r="E17" s="157"/>
      <c r="F17" s="158" t="s">
        <v>713</v>
      </c>
      <c r="G17" s="7"/>
      <c r="H17" s="7"/>
      <c r="I17" s="7"/>
      <c r="J17" s="7"/>
      <c r="K17" s="7"/>
      <c r="L17" s="7"/>
      <c r="M17" s="7"/>
      <c r="N17" s="7"/>
      <c r="O17" s="7"/>
      <c r="P17" s="7"/>
      <c r="Q17" s="7"/>
      <c r="R17" s="7"/>
      <c r="S17" s="7"/>
      <c r="T17" s="7"/>
      <c r="U17" s="7"/>
      <c r="V17" s="7"/>
      <c r="W17" s="7"/>
      <c r="X17" s="7"/>
      <c r="Y17" s="7"/>
      <c r="Z17" s="7"/>
    </row>
    <row r="18" spans="1:26" ht="15.75" customHeight="1" thickBot="1" x14ac:dyDescent="0.35">
      <c r="A18" s="15" t="s">
        <v>26</v>
      </c>
      <c r="B18" s="150">
        <v>16544.849999999999</v>
      </c>
      <c r="C18" s="152">
        <v>28254.809999999998</v>
      </c>
      <c r="D18" s="154" t="s">
        <v>24</v>
      </c>
      <c r="E18" s="157"/>
      <c r="F18" s="158" t="s">
        <v>714</v>
      </c>
      <c r="G18" s="7"/>
      <c r="H18" s="7"/>
      <c r="I18" s="7"/>
      <c r="J18" s="7"/>
      <c r="K18" s="7"/>
      <c r="L18" s="7"/>
      <c r="M18" s="7"/>
      <c r="N18" s="7"/>
      <c r="O18" s="7"/>
      <c r="P18" s="7"/>
      <c r="Q18" s="7"/>
      <c r="R18" s="7"/>
      <c r="S18" s="7"/>
      <c r="T18" s="7"/>
      <c r="U18" s="7"/>
      <c r="V18" s="7"/>
      <c r="W18" s="7"/>
      <c r="X18" s="7"/>
      <c r="Y18" s="7"/>
      <c r="Z18" s="7"/>
    </row>
    <row r="19" spans="1:26" ht="15.75" customHeight="1" thickBot="1" x14ac:dyDescent="0.35">
      <c r="A19" s="15" t="s">
        <v>27</v>
      </c>
      <c r="B19" s="150"/>
      <c r="C19" s="150">
        <v>0</v>
      </c>
      <c r="D19" s="157"/>
      <c r="E19" s="157"/>
      <c r="F19" s="159"/>
      <c r="G19" s="7"/>
      <c r="H19" s="7"/>
      <c r="I19" s="7"/>
      <c r="J19" s="7"/>
      <c r="K19" s="7"/>
      <c r="L19" s="7"/>
      <c r="M19" s="7"/>
      <c r="N19" s="7"/>
      <c r="O19" s="7"/>
      <c r="P19" s="7"/>
      <c r="Q19" s="7"/>
      <c r="R19" s="7"/>
      <c r="S19" s="7"/>
      <c r="T19" s="7"/>
      <c r="U19" s="7"/>
      <c r="V19" s="7"/>
      <c r="W19" s="7"/>
      <c r="X19" s="7"/>
      <c r="Y19" s="7"/>
      <c r="Z19" s="7"/>
    </row>
    <row r="20" spans="1:26" ht="15.75" customHeight="1" thickBot="1" x14ac:dyDescent="0.35">
      <c r="A20" s="15" t="s">
        <v>28</v>
      </c>
      <c r="B20" s="152">
        <v>0</v>
      </c>
      <c r="C20" s="150">
        <v>0</v>
      </c>
      <c r="D20" s="157"/>
      <c r="E20" s="157"/>
      <c r="F20" s="159"/>
      <c r="G20" s="7"/>
      <c r="H20" s="7"/>
      <c r="I20" s="7"/>
      <c r="J20" s="7"/>
      <c r="K20" s="7"/>
      <c r="L20" s="7"/>
      <c r="M20" s="7"/>
      <c r="N20" s="7"/>
      <c r="O20" s="7"/>
      <c r="P20" s="7"/>
      <c r="Q20" s="7"/>
      <c r="R20" s="7"/>
      <c r="S20" s="7"/>
      <c r="T20" s="7"/>
      <c r="U20" s="7"/>
      <c r="V20" s="7"/>
      <c r="W20" s="7"/>
      <c r="X20" s="7"/>
      <c r="Y20" s="7"/>
      <c r="Z20" s="7"/>
    </row>
    <row r="21" spans="1:26" ht="15.75" customHeight="1" thickBot="1" x14ac:dyDescent="0.35">
      <c r="A21" s="15" t="s">
        <v>29</v>
      </c>
      <c r="B21" s="152">
        <v>3127.01</v>
      </c>
      <c r="C21" s="152">
        <v>5788.64</v>
      </c>
      <c r="D21" s="154" t="s">
        <v>24</v>
      </c>
      <c r="E21" s="157"/>
      <c r="F21" s="158" t="s">
        <v>715</v>
      </c>
      <c r="G21" s="7"/>
      <c r="H21" s="7"/>
      <c r="I21" s="7"/>
      <c r="J21" s="7"/>
      <c r="K21" s="7"/>
      <c r="L21" s="7"/>
      <c r="M21" s="7"/>
      <c r="N21" s="7"/>
      <c r="O21" s="7"/>
      <c r="P21" s="7"/>
      <c r="Q21" s="7"/>
      <c r="R21" s="7"/>
      <c r="S21" s="7"/>
      <c r="T21" s="7"/>
      <c r="U21" s="7"/>
      <c r="V21" s="7"/>
      <c r="W21" s="7"/>
      <c r="X21" s="7"/>
      <c r="Y21" s="7"/>
      <c r="Z21" s="7"/>
    </row>
    <row r="22" spans="1:26" ht="15.75" customHeight="1" thickBot="1" x14ac:dyDescent="0.35">
      <c r="A22" s="15" t="s">
        <v>30</v>
      </c>
      <c r="B22" s="152">
        <v>1121</v>
      </c>
      <c r="C22" s="150">
        <v>1766.3700000000001</v>
      </c>
      <c r="D22" s="154" t="s">
        <v>24</v>
      </c>
      <c r="E22" s="157"/>
      <c r="F22" s="158" t="s">
        <v>716</v>
      </c>
      <c r="G22" s="7"/>
      <c r="H22" s="7"/>
      <c r="I22" s="7"/>
      <c r="J22" s="7"/>
      <c r="K22" s="7"/>
      <c r="L22" s="7"/>
      <c r="M22" s="7"/>
      <c r="N22" s="7"/>
      <c r="O22" s="7"/>
      <c r="P22" s="7"/>
      <c r="Q22" s="7"/>
      <c r="R22" s="7"/>
      <c r="S22" s="7"/>
      <c r="T22" s="7"/>
      <c r="U22" s="7"/>
      <c r="V22" s="7"/>
      <c r="W22" s="7"/>
      <c r="X22" s="7"/>
      <c r="Y22" s="7"/>
      <c r="Z22" s="7"/>
    </row>
    <row r="23" spans="1:26" ht="15.75" customHeight="1" thickBot="1" x14ac:dyDescent="0.35">
      <c r="A23" s="160" t="s">
        <v>717</v>
      </c>
      <c r="B23" s="152">
        <v>25839.78</v>
      </c>
      <c r="C23" s="150">
        <v>84472.08</v>
      </c>
      <c r="D23" s="154" t="s">
        <v>718</v>
      </c>
      <c r="E23" s="157"/>
      <c r="F23" s="158" t="s">
        <v>719</v>
      </c>
      <c r="G23" s="7"/>
      <c r="H23" s="7"/>
      <c r="I23" s="7"/>
      <c r="J23" s="7"/>
      <c r="K23" s="7"/>
      <c r="L23" s="7"/>
      <c r="M23" s="7"/>
      <c r="N23" s="7"/>
      <c r="O23" s="7"/>
      <c r="P23" s="7"/>
      <c r="Q23" s="7"/>
      <c r="R23" s="7"/>
      <c r="S23" s="7"/>
      <c r="T23" s="7"/>
      <c r="U23" s="7"/>
      <c r="V23" s="7"/>
      <c r="W23" s="7"/>
      <c r="X23" s="7"/>
      <c r="Y23" s="7"/>
      <c r="Z23" s="7"/>
    </row>
    <row r="24" spans="1:26" ht="15.75" customHeight="1" thickBot="1" x14ac:dyDescent="0.35">
      <c r="A24" s="11"/>
      <c r="B24" s="150">
        <v>0</v>
      </c>
      <c r="C24" s="150">
        <v>0</v>
      </c>
      <c r="D24" s="157"/>
      <c r="E24" s="157"/>
      <c r="F24" s="159"/>
      <c r="G24" s="7"/>
      <c r="H24" s="7"/>
      <c r="I24" s="7"/>
      <c r="J24" s="7"/>
      <c r="K24" s="7"/>
      <c r="L24" s="7"/>
      <c r="M24" s="7"/>
      <c r="N24" s="7"/>
      <c r="O24" s="7"/>
      <c r="P24" s="7"/>
      <c r="Q24" s="7"/>
      <c r="R24" s="7"/>
      <c r="S24" s="7"/>
      <c r="T24" s="7"/>
      <c r="U24" s="7"/>
      <c r="V24" s="7"/>
      <c r="W24" s="7"/>
      <c r="X24" s="7"/>
      <c r="Y24" s="7"/>
      <c r="Z24" s="7"/>
    </row>
    <row r="25" spans="1:26" ht="15.75" customHeight="1" thickBot="1" x14ac:dyDescent="0.35">
      <c r="A25" s="11"/>
      <c r="B25" s="150">
        <v>0</v>
      </c>
      <c r="C25" s="150">
        <v>0</v>
      </c>
      <c r="D25" s="157"/>
      <c r="E25" s="157"/>
      <c r="F25" s="159"/>
      <c r="G25" s="7"/>
      <c r="H25" s="7"/>
      <c r="I25" s="7"/>
      <c r="J25" s="7"/>
      <c r="K25" s="7"/>
      <c r="L25" s="7"/>
      <c r="M25" s="7"/>
      <c r="N25" s="7"/>
      <c r="O25" s="7"/>
      <c r="P25" s="7"/>
      <c r="Q25" s="7"/>
      <c r="R25" s="7"/>
      <c r="S25" s="7"/>
      <c r="T25" s="7"/>
      <c r="U25" s="7"/>
      <c r="V25" s="7"/>
      <c r="W25" s="7"/>
      <c r="X25" s="7"/>
      <c r="Y25" s="7"/>
      <c r="Z25" s="7"/>
    </row>
    <row r="26" spans="1:26" ht="15.75" customHeight="1" thickBot="1" x14ac:dyDescent="0.35">
      <c r="A26" s="11"/>
      <c r="B26" s="150">
        <v>0</v>
      </c>
      <c r="C26" s="150">
        <v>0</v>
      </c>
      <c r="D26" s="157"/>
      <c r="E26" s="157"/>
      <c r="F26" s="159"/>
      <c r="G26" s="7"/>
      <c r="H26" s="7"/>
      <c r="I26" s="7"/>
      <c r="J26" s="7"/>
      <c r="K26" s="7"/>
      <c r="L26" s="7"/>
      <c r="M26" s="7"/>
      <c r="N26" s="7"/>
      <c r="O26" s="7"/>
      <c r="P26" s="7"/>
      <c r="Q26" s="7"/>
      <c r="R26" s="7"/>
      <c r="S26" s="7"/>
      <c r="T26" s="7"/>
      <c r="U26" s="7"/>
      <c r="V26" s="7"/>
      <c r="W26" s="7"/>
      <c r="X26" s="7"/>
      <c r="Y26" s="7"/>
      <c r="Z26" s="7"/>
    </row>
    <row r="27" spans="1:26" ht="15.75" customHeight="1" thickBot="1" x14ac:dyDescent="0.35">
      <c r="A27" s="11"/>
      <c r="B27" s="150">
        <v>0</v>
      </c>
      <c r="C27" s="150">
        <v>0</v>
      </c>
      <c r="D27" s="157"/>
      <c r="E27" s="157"/>
      <c r="F27" s="159"/>
      <c r="G27" s="7"/>
      <c r="H27" s="7"/>
      <c r="I27" s="7"/>
      <c r="J27" s="7"/>
      <c r="K27" s="7"/>
      <c r="L27" s="7"/>
      <c r="M27" s="7"/>
      <c r="N27" s="7"/>
      <c r="O27" s="7"/>
      <c r="P27" s="7"/>
      <c r="Q27" s="7"/>
      <c r="R27" s="7"/>
      <c r="S27" s="7"/>
      <c r="T27" s="7"/>
      <c r="U27" s="7"/>
      <c r="V27" s="7"/>
      <c r="W27" s="7"/>
      <c r="X27" s="7"/>
      <c r="Y27" s="7"/>
      <c r="Z27" s="7"/>
    </row>
    <row r="28" spans="1:26" ht="15.75" customHeight="1" thickBot="1" x14ac:dyDescent="0.35">
      <c r="A28" s="161"/>
      <c r="B28" s="150">
        <v>0</v>
      </c>
      <c r="C28" s="150">
        <v>0</v>
      </c>
      <c r="D28" s="157"/>
      <c r="E28" s="157"/>
      <c r="F28" s="159"/>
      <c r="G28" s="7"/>
      <c r="H28" s="7"/>
      <c r="I28" s="7"/>
      <c r="J28" s="7"/>
      <c r="K28" s="7"/>
      <c r="L28" s="7"/>
      <c r="M28" s="7"/>
      <c r="N28" s="7"/>
      <c r="O28" s="7"/>
      <c r="P28" s="7"/>
      <c r="Q28" s="7"/>
      <c r="R28" s="7"/>
      <c r="S28" s="7"/>
      <c r="T28" s="7"/>
      <c r="U28" s="7"/>
      <c r="V28" s="7"/>
      <c r="W28" s="7"/>
      <c r="X28" s="7"/>
      <c r="Y28" s="7"/>
      <c r="Z28" s="7"/>
    </row>
    <row r="29" spans="1:26" ht="15.75" customHeight="1" thickBot="1" x14ac:dyDescent="0.35">
      <c r="A29" s="13" t="s">
        <v>32</v>
      </c>
      <c r="B29" s="162">
        <v>68853.64</v>
      </c>
      <c r="C29" s="162">
        <v>142502.9</v>
      </c>
      <c r="D29" s="163"/>
      <c r="E29" s="163"/>
      <c r="F29" s="164"/>
      <c r="G29" s="7"/>
      <c r="H29" s="7"/>
      <c r="I29" s="7"/>
      <c r="J29" s="7"/>
      <c r="K29" s="7"/>
      <c r="L29" s="7"/>
      <c r="M29" s="7"/>
      <c r="N29" s="7"/>
      <c r="O29" s="7"/>
      <c r="P29" s="7"/>
      <c r="Q29" s="7"/>
      <c r="R29" s="7"/>
      <c r="S29" s="7"/>
      <c r="T29" s="7"/>
      <c r="U29" s="7"/>
      <c r="V29" s="7"/>
      <c r="W29" s="7"/>
      <c r="X29" s="7"/>
      <c r="Y29" s="7"/>
      <c r="Z29" s="7"/>
    </row>
    <row r="30" spans="1:26" ht="15.75" customHeight="1" x14ac:dyDescent="0.3">
      <c r="A30" s="7"/>
      <c r="B30" s="7"/>
      <c r="C30" s="7" t="s">
        <v>9</v>
      </c>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3">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3">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3">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3">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3">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3">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3">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3">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3">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3">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3">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3">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3">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3">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3">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3">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3">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3">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3">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3">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3">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3">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3">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3">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3">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3">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3">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3">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3">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3">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3">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3">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3">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3">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3">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3">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3">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3">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3">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3">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3">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3">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3">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3">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3">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3">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3">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3">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3">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3">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3">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3">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3">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3">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3">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3">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3">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3">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3">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3">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3">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3">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3">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3">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3">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EA94-5851-4EDE-BDA3-62EEF052BBF1}">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55.8" thickBot="1" x14ac:dyDescent="0.35">
      <c r="A2" s="389" t="s">
        <v>2121</v>
      </c>
      <c r="B2" s="390">
        <f>570+123+7682+735+285+32802+23000</f>
        <v>65197</v>
      </c>
      <c r="C2" s="51" t="s">
        <v>2122</v>
      </c>
      <c r="D2" s="391">
        <v>2563377</v>
      </c>
      <c r="E2" s="389" t="s">
        <v>10</v>
      </c>
      <c r="F2" s="392"/>
      <c r="G2" s="391">
        <v>0</v>
      </c>
      <c r="H2" s="391">
        <v>0</v>
      </c>
    </row>
    <row r="4" spans="1:8" x14ac:dyDescent="0.3">
      <c r="A4" s="386" t="s">
        <v>11</v>
      </c>
    </row>
    <row r="6" spans="1:8" ht="16.2" thickBot="1" x14ac:dyDescent="0.35">
      <c r="A6" s="491" t="s">
        <v>12</v>
      </c>
      <c r="B6" s="10" t="s">
        <v>9</v>
      </c>
    </row>
    <row r="7" spans="1:8" ht="16.2" thickBot="1" x14ac:dyDescent="0.35">
      <c r="A7" s="490" t="s">
        <v>51</v>
      </c>
      <c r="B7" s="374">
        <v>0</v>
      </c>
    </row>
    <row r="8" spans="1:8" ht="16.2" thickBot="1" x14ac:dyDescent="0.35">
      <c r="A8" s="490" t="s">
        <v>53</v>
      </c>
      <c r="B8" s="374">
        <v>0</v>
      </c>
    </row>
    <row r="9" spans="1:8" ht="16.2" thickBot="1" x14ac:dyDescent="0.35">
      <c r="A9" s="490" t="s">
        <v>55</v>
      </c>
      <c r="B9" s="374">
        <v>23000</v>
      </c>
    </row>
    <row r="10" spans="1:8" ht="16.2" thickBot="1" x14ac:dyDescent="0.35">
      <c r="A10" s="490" t="s">
        <v>57</v>
      </c>
      <c r="B10" s="374">
        <v>0</v>
      </c>
    </row>
    <row r="11" spans="1:8" ht="16.2" thickBot="1" x14ac:dyDescent="0.35">
      <c r="A11" s="490"/>
      <c r="B11" s="374">
        <v>0</v>
      </c>
    </row>
    <row r="12" spans="1:8" ht="16.2" thickBot="1" x14ac:dyDescent="0.35">
      <c r="A12" s="490"/>
      <c r="B12" s="10"/>
      <c r="C12" s="374">
        <f>SUM(B7:B11)</f>
        <v>23000</v>
      </c>
    </row>
    <row r="13" spans="1:8" x14ac:dyDescent="0.3">
      <c r="A13" s="489"/>
      <c r="C13" s="10" t="s">
        <v>9</v>
      </c>
    </row>
    <row r="15" spans="1:8" ht="31.2" x14ac:dyDescent="0.3">
      <c r="A15" s="384" t="s">
        <v>17</v>
      </c>
      <c r="B15" s="385" t="s">
        <v>18</v>
      </c>
      <c r="C15" s="384" t="s">
        <v>19</v>
      </c>
      <c r="D15" s="384" t="s">
        <v>20</v>
      </c>
      <c r="E15" s="384" t="s">
        <v>21</v>
      </c>
      <c r="F15" s="384" t="s">
        <v>22</v>
      </c>
    </row>
    <row r="16" spans="1:8" ht="16.2" thickBot="1" x14ac:dyDescent="0.35">
      <c r="A16" s="488" t="s">
        <v>23</v>
      </c>
      <c r="B16" s="382">
        <v>6295</v>
      </c>
      <c r="C16" s="382">
        <v>10300</v>
      </c>
      <c r="D16" s="359" t="s">
        <v>24</v>
      </c>
      <c r="E16" s="359" t="s">
        <v>79</v>
      </c>
      <c r="F16" s="383"/>
    </row>
    <row r="17" spans="1:6" ht="16.2" thickBot="1" x14ac:dyDescent="0.35">
      <c r="A17" s="488" t="s">
        <v>25</v>
      </c>
      <c r="B17" s="374">
        <v>4950</v>
      </c>
      <c r="C17" s="374">
        <v>10000</v>
      </c>
      <c r="D17" s="387" t="s">
        <v>24</v>
      </c>
      <c r="E17" s="387" t="s">
        <v>79</v>
      </c>
      <c r="F17" s="377"/>
    </row>
    <row r="18" spans="1:6" ht="16.2" thickBot="1" x14ac:dyDescent="0.35">
      <c r="A18" s="488" t="s">
        <v>26</v>
      </c>
      <c r="B18" s="374"/>
      <c r="C18" s="374"/>
      <c r="D18" s="387"/>
      <c r="E18" s="387"/>
      <c r="F18" s="377"/>
    </row>
    <row r="19" spans="1:6" ht="16.2" thickBot="1" x14ac:dyDescent="0.35">
      <c r="A19" s="488" t="s">
        <v>27</v>
      </c>
      <c r="B19" s="374">
        <v>0</v>
      </c>
      <c r="C19" s="374">
        <v>0</v>
      </c>
      <c r="D19" s="387"/>
      <c r="E19" s="387"/>
      <c r="F19" s="377"/>
    </row>
    <row r="20" spans="1:6" ht="16.2" thickBot="1" x14ac:dyDescent="0.35">
      <c r="A20" s="488" t="s">
        <v>28</v>
      </c>
      <c r="B20" s="374">
        <v>0</v>
      </c>
      <c r="C20" s="374">
        <v>0</v>
      </c>
      <c r="D20" s="387"/>
      <c r="E20" s="387"/>
      <c r="F20" s="377"/>
    </row>
    <row r="21" spans="1:6" ht="16.2" thickBot="1" x14ac:dyDescent="0.35">
      <c r="A21" s="488" t="s">
        <v>29</v>
      </c>
      <c r="B21" s="374">
        <v>0</v>
      </c>
      <c r="C21" s="374">
        <v>0</v>
      </c>
      <c r="D21" s="387"/>
      <c r="E21" s="387"/>
      <c r="F21" s="377"/>
    </row>
    <row r="22" spans="1:6" ht="16.2" thickBot="1" x14ac:dyDescent="0.35">
      <c r="A22" s="488" t="s">
        <v>30</v>
      </c>
      <c r="B22" s="374">
        <v>1500</v>
      </c>
      <c r="C22" s="374">
        <v>4000</v>
      </c>
      <c r="D22" s="387"/>
      <c r="E22" s="387" t="s">
        <v>79</v>
      </c>
      <c r="F22" s="377"/>
    </row>
    <row r="23" spans="1:6" ht="16.2" thickBot="1" x14ac:dyDescent="0.35">
      <c r="A23" s="490" t="s">
        <v>2123</v>
      </c>
      <c r="B23" s="374">
        <v>4000</v>
      </c>
      <c r="C23" s="374">
        <v>4000</v>
      </c>
      <c r="D23" s="387" t="s">
        <v>24</v>
      </c>
      <c r="E23" s="387" t="s">
        <v>79</v>
      </c>
      <c r="F23" s="377" t="s">
        <v>2124</v>
      </c>
    </row>
    <row r="24" spans="1:6" ht="16.2" thickBot="1" x14ac:dyDescent="0.35">
      <c r="A24" s="490" t="s">
        <v>2125</v>
      </c>
      <c r="B24" s="374">
        <v>2700</v>
      </c>
      <c r="C24" s="374">
        <f>2700*5</f>
        <v>13500</v>
      </c>
      <c r="D24" s="387" t="s">
        <v>24</v>
      </c>
      <c r="E24" s="387" t="s">
        <v>2126</v>
      </c>
      <c r="F24" s="377" t="s">
        <v>2127</v>
      </c>
    </row>
    <row r="25" spans="1:6" ht="16.2" thickBot="1" x14ac:dyDescent="0.35">
      <c r="A25" s="490"/>
      <c r="B25" s="374">
        <v>0</v>
      </c>
      <c r="C25" s="374">
        <v>0</v>
      </c>
      <c r="D25" s="387"/>
      <c r="E25" s="387"/>
      <c r="F25" s="377"/>
    </row>
    <row r="26" spans="1:6" ht="16.2" thickBot="1" x14ac:dyDescent="0.35">
      <c r="A26" s="490"/>
      <c r="B26" s="374">
        <v>0</v>
      </c>
      <c r="C26" s="374">
        <v>0</v>
      </c>
      <c r="D26" s="387"/>
      <c r="E26" s="387"/>
      <c r="F26" s="377"/>
    </row>
    <row r="27" spans="1:6" ht="16.2" thickBot="1" x14ac:dyDescent="0.35">
      <c r="A27" s="490"/>
      <c r="B27" s="374">
        <v>0</v>
      </c>
      <c r="C27" s="374">
        <v>0</v>
      </c>
      <c r="D27" s="387"/>
      <c r="E27" s="387"/>
      <c r="F27" s="377"/>
    </row>
    <row r="28" spans="1:6" ht="16.2" thickBot="1" x14ac:dyDescent="0.35">
      <c r="A28" s="378"/>
      <c r="B28" s="374">
        <v>0</v>
      </c>
      <c r="C28" s="374">
        <v>0</v>
      </c>
      <c r="D28" s="387"/>
      <c r="E28" s="387"/>
      <c r="F28" s="377"/>
    </row>
    <row r="29" spans="1:6" ht="16.2" thickBot="1" x14ac:dyDescent="0.35">
      <c r="A29" s="489" t="s">
        <v>32</v>
      </c>
      <c r="B29" s="379">
        <f>SUM(B16:B28)</f>
        <v>19445</v>
      </c>
      <c r="C29" s="379">
        <f>SUM(C16:C28)</f>
        <v>41800</v>
      </c>
      <c r="D29" s="388"/>
      <c r="E29" s="388"/>
      <c r="F29" s="380"/>
    </row>
  </sheetData>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BFC1-994F-4FD0-AACA-79F1332100B2}">
  <dimension ref="A1:H37"/>
  <sheetViews>
    <sheetView topLeftCell="A22" workbookViewId="0">
      <selection activeCell="E11" sqref="E11:J11"/>
    </sheetView>
  </sheetViews>
  <sheetFormatPr defaultColWidth="9.109375" defaultRowHeight="15.6" x14ac:dyDescent="0.3"/>
  <cols>
    <col min="1" max="1" width="68.44140625" style="372" customWidth="1"/>
    <col min="2" max="2" width="20.44140625" style="372" customWidth="1"/>
    <col min="3" max="3" width="26.88671875" style="372" customWidth="1"/>
    <col min="4" max="4" width="25.33203125" style="372" customWidth="1"/>
    <col min="5" max="5" width="30.6640625" style="372" customWidth="1"/>
    <col min="6" max="6" width="44.10937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148.5" customHeight="1" thickBot="1" x14ac:dyDescent="0.35">
      <c r="A2" s="389" t="s">
        <v>1923</v>
      </c>
      <c r="B2" s="390">
        <f>3919251.44+1127762.5</f>
        <v>5047013.9399999995</v>
      </c>
      <c r="C2" s="389" t="s">
        <v>1924</v>
      </c>
      <c r="D2" s="391">
        <v>9988573</v>
      </c>
      <c r="E2" s="389" t="s">
        <v>24</v>
      </c>
      <c r="F2" s="341" t="s">
        <v>1925</v>
      </c>
      <c r="G2" s="391">
        <v>0</v>
      </c>
      <c r="H2" s="391">
        <v>0</v>
      </c>
    </row>
    <row r="4" spans="1:8" x14ac:dyDescent="0.3">
      <c r="A4" s="386" t="s">
        <v>11</v>
      </c>
    </row>
    <row r="6" spans="1:8" ht="16.2" thickBot="1" x14ac:dyDescent="0.35">
      <c r="A6" s="678" t="s">
        <v>12</v>
      </c>
      <c r="B6" s="10" t="s">
        <v>9</v>
      </c>
    </row>
    <row r="7" spans="1:8" ht="16.2" thickBot="1" x14ac:dyDescent="0.35">
      <c r="A7" s="677" t="s">
        <v>51</v>
      </c>
      <c r="B7" s="374">
        <v>671332.73000000417</v>
      </c>
    </row>
    <row r="8" spans="1:8" ht="16.2" thickBot="1" x14ac:dyDescent="0.35">
      <c r="A8" s="677" t="s">
        <v>53</v>
      </c>
      <c r="B8" s="374">
        <v>3247918.7078880002</v>
      </c>
    </row>
    <row r="9" spans="1:8" ht="16.2" thickBot="1" x14ac:dyDescent="0.35">
      <c r="A9" s="677" t="s">
        <v>55</v>
      </c>
      <c r="B9" s="374">
        <v>0</v>
      </c>
    </row>
    <row r="10" spans="1:8" ht="16.2" thickBot="1" x14ac:dyDescent="0.35">
      <c r="A10" s="677" t="s">
        <v>57</v>
      </c>
      <c r="B10" s="374">
        <v>0</v>
      </c>
    </row>
    <row r="11" spans="1:8" ht="16.2" thickBot="1" x14ac:dyDescent="0.35">
      <c r="A11" s="677"/>
      <c r="B11" s="374">
        <v>0</v>
      </c>
    </row>
    <row r="12" spans="1:8" ht="16.2" thickBot="1" x14ac:dyDescent="0.35">
      <c r="A12" s="677"/>
      <c r="B12" s="10"/>
      <c r="C12" s="374">
        <f>SUM(B7:B11)</f>
        <v>3919251.4378880044</v>
      </c>
    </row>
    <row r="13" spans="1:8" x14ac:dyDescent="0.3">
      <c r="A13" s="676"/>
      <c r="C13" s="10" t="s">
        <v>9</v>
      </c>
    </row>
    <row r="15" spans="1:8" ht="31.8" thickBot="1" x14ac:dyDescent="0.35">
      <c r="A15" s="384" t="s">
        <v>17</v>
      </c>
      <c r="B15" s="385" t="s">
        <v>18</v>
      </c>
      <c r="C15" s="384" t="s">
        <v>19</v>
      </c>
      <c r="D15" s="384" t="s">
        <v>20</v>
      </c>
      <c r="E15" s="384" t="s">
        <v>21</v>
      </c>
      <c r="F15" s="384" t="s">
        <v>22</v>
      </c>
    </row>
    <row r="16" spans="1:8" ht="16.2" thickBot="1" x14ac:dyDescent="0.35">
      <c r="A16" s="675" t="s">
        <v>23</v>
      </c>
      <c r="B16" s="382">
        <v>1646.14</v>
      </c>
      <c r="C16" s="382">
        <f>3536.22+1646.14</f>
        <v>5182.3599999999997</v>
      </c>
      <c r="D16" s="359" t="s">
        <v>24</v>
      </c>
      <c r="E16" s="387" t="s">
        <v>1926</v>
      </c>
      <c r="F16" s="383" t="s">
        <v>1927</v>
      </c>
    </row>
    <row r="17" spans="1:6" ht="48" customHeight="1" thickBot="1" x14ac:dyDescent="0.35">
      <c r="A17" s="675" t="s">
        <v>25</v>
      </c>
      <c r="B17" s="374">
        <v>1968.22</v>
      </c>
      <c r="C17" s="374">
        <f>3192.44+1968.22</f>
        <v>5160.66</v>
      </c>
      <c r="D17" s="387" t="s">
        <v>24</v>
      </c>
      <c r="E17" s="387" t="s">
        <v>1926</v>
      </c>
      <c r="F17" s="339" t="s">
        <v>1928</v>
      </c>
    </row>
    <row r="18" spans="1:6" ht="16.2" thickBot="1" x14ac:dyDescent="0.35">
      <c r="A18" s="675" t="s">
        <v>26</v>
      </c>
      <c r="B18" s="374">
        <v>0</v>
      </c>
      <c r="C18" s="374">
        <v>0</v>
      </c>
      <c r="D18" s="387"/>
      <c r="E18" s="387"/>
      <c r="F18" s="377"/>
    </row>
    <row r="19" spans="1:6" ht="16.2" thickBot="1" x14ac:dyDescent="0.35">
      <c r="A19" s="675" t="s">
        <v>27</v>
      </c>
      <c r="B19" s="374">
        <v>0</v>
      </c>
      <c r="C19" s="374">
        <v>0</v>
      </c>
      <c r="D19" s="387"/>
      <c r="E19" s="387"/>
      <c r="F19" s="377"/>
    </row>
    <row r="20" spans="1:6" ht="16.2" thickBot="1" x14ac:dyDescent="0.35">
      <c r="A20" s="675" t="s">
        <v>28</v>
      </c>
      <c r="B20" s="374">
        <v>0</v>
      </c>
      <c r="C20" s="374">
        <v>0</v>
      </c>
      <c r="D20" s="387"/>
      <c r="E20" s="387"/>
      <c r="F20" s="377"/>
    </row>
    <row r="21" spans="1:6" ht="31.8" thickBot="1" x14ac:dyDescent="0.35">
      <c r="A21" s="675" t="s">
        <v>29</v>
      </c>
      <c r="B21" s="374">
        <v>14400</v>
      </c>
      <c r="C21" s="374">
        <f>14900+14400</f>
        <v>29300</v>
      </c>
      <c r="D21" s="387" t="s">
        <v>24</v>
      </c>
      <c r="E21" s="387" t="s">
        <v>1926</v>
      </c>
      <c r="F21" s="340" t="s">
        <v>1929</v>
      </c>
    </row>
    <row r="22" spans="1:6" ht="16.2" thickBot="1" x14ac:dyDescent="0.35">
      <c r="A22" s="675" t="s">
        <v>30</v>
      </c>
      <c r="B22" s="374">
        <v>280.97000000000003</v>
      </c>
      <c r="C22" s="374">
        <f>140.49+280.97</f>
        <v>421.46000000000004</v>
      </c>
      <c r="D22" s="387" t="s">
        <v>24</v>
      </c>
      <c r="E22" s="387" t="s">
        <v>1926</v>
      </c>
      <c r="F22" s="377"/>
    </row>
    <row r="23" spans="1:6" ht="68.25" customHeight="1" thickBot="1" x14ac:dyDescent="0.35">
      <c r="A23" s="675" t="s">
        <v>1930</v>
      </c>
      <c r="B23" s="374">
        <v>67000</v>
      </c>
      <c r="C23" s="374">
        <v>67000</v>
      </c>
      <c r="D23" s="387" t="s">
        <v>24</v>
      </c>
      <c r="E23" s="387" t="s">
        <v>89</v>
      </c>
      <c r="F23" s="340" t="s">
        <v>1931</v>
      </c>
    </row>
    <row r="24" spans="1:6" ht="33.75" customHeight="1" thickBot="1" x14ac:dyDescent="0.35">
      <c r="A24" s="675" t="s">
        <v>1932</v>
      </c>
      <c r="B24" s="374">
        <v>0</v>
      </c>
      <c r="C24" s="374">
        <v>0</v>
      </c>
      <c r="D24" s="387" t="s">
        <v>24</v>
      </c>
      <c r="E24" s="387"/>
      <c r="F24" s="340" t="s">
        <v>1933</v>
      </c>
    </row>
    <row r="25" spans="1:6" ht="16.2" thickBot="1" x14ac:dyDescent="0.35">
      <c r="A25" s="675" t="s">
        <v>1934</v>
      </c>
      <c r="B25" s="374">
        <v>0</v>
      </c>
      <c r="C25" s="374">
        <v>41450</v>
      </c>
      <c r="D25" s="387" t="s">
        <v>24</v>
      </c>
      <c r="E25" s="387"/>
      <c r="F25" s="377"/>
    </row>
    <row r="26" spans="1:6" ht="16.2" thickBot="1" x14ac:dyDescent="0.35">
      <c r="A26" s="675" t="s">
        <v>1935</v>
      </c>
      <c r="B26" s="374">
        <v>0</v>
      </c>
      <c r="C26" s="374">
        <v>5850</v>
      </c>
      <c r="D26" s="387" t="s">
        <v>24</v>
      </c>
      <c r="E26" s="387"/>
      <c r="F26" s="377"/>
    </row>
    <row r="27" spans="1:6" ht="95.25" customHeight="1" thickBot="1" x14ac:dyDescent="0.35">
      <c r="A27" s="675" t="s">
        <v>1936</v>
      </c>
      <c r="B27" s="374">
        <v>217369.08000000005</v>
      </c>
      <c r="C27" s="374">
        <f>144912.72+217369.08</f>
        <v>362281.8</v>
      </c>
      <c r="D27" s="387" t="s">
        <v>10</v>
      </c>
      <c r="E27" s="387"/>
      <c r="F27" s="339" t="s">
        <v>1937</v>
      </c>
    </row>
    <row r="28" spans="1:6" ht="16.2" thickBot="1" x14ac:dyDescent="0.35">
      <c r="A28" s="378"/>
      <c r="B28" s="374">
        <v>0</v>
      </c>
      <c r="C28" s="374">
        <v>0</v>
      </c>
      <c r="D28" s="387"/>
      <c r="E28" s="387"/>
      <c r="F28" s="377"/>
    </row>
    <row r="29" spans="1:6" ht="16.2" thickBot="1" x14ac:dyDescent="0.35">
      <c r="A29" s="676" t="s">
        <v>32</v>
      </c>
      <c r="B29" s="379">
        <f>SUM(B16:B28)</f>
        <v>302664.41000000003</v>
      </c>
      <c r="C29" s="379">
        <f>SUM(C16:C28)</f>
        <v>516646.28</v>
      </c>
      <c r="D29" s="388"/>
      <c r="E29" s="388"/>
      <c r="F29" s="380"/>
    </row>
    <row r="31" spans="1:6" x14ac:dyDescent="0.3">
      <c r="B31" s="372" t="s">
        <v>2525</v>
      </c>
      <c r="C31" s="10">
        <v>-114300</v>
      </c>
    </row>
    <row r="32" spans="1:6" x14ac:dyDescent="0.3">
      <c r="B32" s="372" t="s">
        <v>2526</v>
      </c>
      <c r="C32" s="10">
        <v>-362281.8</v>
      </c>
    </row>
    <row r="33" spans="2:4" x14ac:dyDescent="0.3">
      <c r="B33" s="342"/>
      <c r="C33" s="342"/>
      <c r="D33" s="342"/>
    </row>
    <row r="34" spans="2:4" x14ac:dyDescent="0.3">
      <c r="B34" s="342"/>
      <c r="C34" s="10">
        <f>SUM(C29:C32)</f>
        <v>40064.48000000004</v>
      </c>
      <c r="D34" s="342"/>
    </row>
    <row r="35" spans="2:4" x14ac:dyDescent="0.3">
      <c r="B35" s="342"/>
      <c r="C35" s="342"/>
      <c r="D35" s="342"/>
    </row>
    <row r="36" spans="2:4" x14ac:dyDescent="0.3">
      <c r="B36" s="342"/>
      <c r="C36" s="342"/>
      <c r="D36" s="342"/>
    </row>
    <row r="37" spans="2:4" x14ac:dyDescent="0.3">
      <c r="B37" s="342"/>
      <c r="C37" s="342"/>
      <c r="D37" s="342"/>
    </row>
  </sheetData>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C418-4D70-4947-9A9C-CBF655975E2B}">
  <dimension ref="A1:H28"/>
  <sheetViews>
    <sheetView topLeftCell="A10" workbookViewId="0">
      <selection activeCell="E11" sqref="E11:J11"/>
    </sheetView>
  </sheetViews>
  <sheetFormatPr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256" width="9.109375" style="372"/>
    <col min="257" max="257" width="35.44140625" style="372" bestFit="1" customWidth="1"/>
    <col min="258" max="258" width="20.44140625" style="372" customWidth="1"/>
    <col min="259" max="259" width="26.88671875" style="372" customWidth="1"/>
    <col min="260" max="260" width="25.33203125" style="372" customWidth="1"/>
    <col min="261" max="261" width="30.6640625" style="372" customWidth="1"/>
    <col min="262" max="262" width="28.33203125" style="372" customWidth="1"/>
    <col min="263" max="263" width="21.33203125" style="372" customWidth="1"/>
    <col min="264" max="264" width="20.6640625" style="372" customWidth="1"/>
    <col min="265" max="512" width="9.109375" style="372"/>
    <col min="513" max="513" width="35.44140625" style="372" bestFit="1" customWidth="1"/>
    <col min="514" max="514" width="20.44140625" style="372" customWidth="1"/>
    <col min="515" max="515" width="26.88671875" style="372" customWidth="1"/>
    <col min="516" max="516" width="25.33203125" style="372" customWidth="1"/>
    <col min="517" max="517" width="30.6640625" style="372" customWidth="1"/>
    <col min="518" max="518" width="28.33203125" style="372" customWidth="1"/>
    <col min="519" max="519" width="21.33203125" style="372" customWidth="1"/>
    <col min="520" max="520" width="20.6640625" style="372" customWidth="1"/>
    <col min="521" max="768" width="9.109375" style="372"/>
    <col min="769" max="769" width="35.44140625" style="372" bestFit="1" customWidth="1"/>
    <col min="770" max="770" width="20.44140625" style="372" customWidth="1"/>
    <col min="771" max="771" width="26.88671875" style="372" customWidth="1"/>
    <col min="772" max="772" width="25.33203125" style="372" customWidth="1"/>
    <col min="773" max="773" width="30.6640625" style="372" customWidth="1"/>
    <col min="774" max="774" width="28.33203125" style="372" customWidth="1"/>
    <col min="775" max="775" width="21.33203125" style="372" customWidth="1"/>
    <col min="776" max="776" width="20.6640625" style="372" customWidth="1"/>
    <col min="777" max="1024" width="9.109375" style="372"/>
    <col min="1025" max="1025" width="35.44140625" style="372" bestFit="1" customWidth="1"/>
    <col min="1026" max="1026" width="20.44140625" style="372" customWidth="1"/>
    <col min="1027" max="1027" width="26.88671875" style="372" customWidth="1"/>
    <col min="1028" max="1028" width="25.33203125" style="372" customWidth="1"/>
    <col min="1029" max="1029" width="30.6640625" style="372" customWidth="1"/>
    <col min="1030" max="1030" width="28.33203125" style="372" customWidth="1"/>
    <col min="1031" max="1031" width="21.33203125" style="372" customWidth="1"/>
    <col min="1032" max="1032" width="20.6640625" style="372" customWidth="1"/>
    <col min="1033" max="1280" width="9.109375" style="372"/>
    <col min="1281" max="1281" width="35.44140625" style="372" bestFit="1" customWidth="1"/>
    <col min="1282" max="1282" width="20.44140625" style="372" customWidth="1"/>
    <col min="1283" max="1283" width="26.88671875" style="372" customWidth="1"/>
    <col min="1284" max="1284" width="25.33203125" style="372" customWidth="1"/>
    <col min="1285" max="1285" width="30.6640625" style="372" customWidth="1"/>
    <col min="1286" max="1286" width="28.33203125" style="372" customWidth="1"/>
    <col min="1287" max="1287" width="21.33203125" style="372" customWidth="1"/>
    <col min="1288" max="1288" width="20.6640625" style="372" customWidth="1"/>
    <col min="1289" max="1536" width="9.109375" style="372"/>
    <col min="1537" max="1537" width="35.44140625" style="372" bestFit="1" customWidth="1"/>
    <col min="1538" max="1538" width="20.44140625" style="372" customWidth="1"/>
    <col min="1539" max="1539" width="26.88671875" style="372" customWidth="1"/>
    <col min="1540" max="1540" width="25.33203125" style="372" customWidth="1"/>
    <col min="1541" max="1541" width="30.6640625" style="372" customWidth="1"/>
    <col min="1542" max="1542" width="28.33203125" style="372" customWidth="1"/>
    <col min="1543" max="1543" width="21.33203125" style="372" customWidth="1"/>
    <col min="1544" max="1544" width="20.6640625" style="372" customWidth="1"/>
    <col min="1545" max="1792" width="9.109375" style="372"/>
    <col min="1793" max="1793" width="35.44140625" style="372" bestFit="1" customWidth="1"/>
    <col min="1794" max="1794" width="20.44140625" style="372" customWidth="1"/>
    <col min="1795" max="1795" width="26.88671875" style="372" customWidth="1"/>
    <col min="1796" max="1796" width="25.33203125" style="372" customWidth="1"/>
    <col min="1797" max="1797" width="30.6640625" style="372" customWidth="1"/>
    <col min="1798" max="1798" width="28.33203125" style="372" customWidth="1"/>
    <col min="1799" max="1799" width="21.33203125" style="372" customWidth="1"/>
    <col min="1800" max="1800" width="20.6640625" style="372" customWidth="1"/>
    <col min="1801" max="2048" width="9.109375" style="372"/>
    <col min="2049" max="2049" width="35.44140625" style="372" bestFit="1" customWidth="1"/>
    <col min="2050" max="2050" width="20.44140625" style="372" customWidth="1"/>
    <col min="2051" max="2051" width="26.88671875" style="372" customWidth="1"/>
    <col min="2052" max="2052" width="25.33203125" style="372" customWidth="1"/>
    <col min="2053" max="2053" width="30.6640625" style="372" customWidth="1"/>
    <col min="2054" max="2054" width="28.33203125" style="372" customWidth="1"/>
    <col min="2055" max="2055" width="21.33203125" style="372" customWidth="1"/>
    <col min="2056" max="2056" width="20.6640625" style="372" customWidth="1"/>
    <col min="2057" max="2304" width="9.109375" style="372"/>
    <col min="2305" max="2305" width="35.44140625" style="372" bestFit="1" customWidth="1"/>
    <col min="2306" max="2306" width="20.44140625" style="372" customWidth="1"/>
    <col min="2307" max="2307" width="26.88671875" style="372" customWidth="1"/>
    <col min="2308" max="2308" width="25.33203125" style="372" customWidth="1"/>
    <col min="2309" max="2309" width="30.6640625" style="372" customWidth="1"/>
    <col min="2310" max="2310" width="28.33203125" style="372" customWidth="1"/>
    <col min="2311" max="2311" width="21.33203125" style="372" customWidth="1"/>
    <col min="2312" max="2312" width="20.6640625" style="372" customWidth="1"/>
    <col min="2313" max="2560" width="9.109375" style="372"/>
    <col min="2561" max="2561" width="35.44140625" style="372" bestFit="1" customWidth="1"/>
    <col min="2562" max="2562" width="20.44140625" style="372" customWidth="1"/>
    <col min="2563" max="2563" width="26.88671875" style="372" customWidth="1"/>
    <col min="2564" max="2564" width="25.33203125" style="372" customWidth="1"/>
    <col min="2565" max="2565" width="30.6640625" style="372" customWidth="1"/>
    <col min="2566" max="2566" width="28.33203125" style="372" customWidth="1"/>
    <col min="2567" max="2567" width="21.33203125" style="372" customWidth="1"/>
    <col min="2568" max="2568" width="20.6640625" style="372" customWidth="1"/>
    <col min="2569" max="2816" width="9.109375" style="372"/>
    <col min="2817" max="2817" width="35.44140625" style="372" bestFit="1" customWidth="1"/>
    <col min="2818" max="2818" width="20.44140625" style="372" customWidth="1"/>
    <col min="2819" max="2819" width="26.88671875" style="372" customWidth="1"/>
    <col min="2820" max="2820" width="25.33203125" style="372" customWidth="1"/>
    <col min="2821" max="2821" width="30.6640625" style="372" customWidth="1"/>
    <col min="2822" max="2822" width="28.33203125" style="372" customWidth="1"/>
    <col min="2823" max="2823" width="21.33203125" style="372" customWidth="1"/>
    <col min="2824" max="2824" width="20.6640625" style="372" customWidth="1"/>
    <col min="2825" max="3072" width="9.109375" style="372"/>
    <col min="3073" max="3073" width="35.44140625" style="372" bestFit="1" customWidth="1"/>
    <col min="3074" max="3074" width="20.44140625" style="372" customWidth="1"/>
    <col min="3075" max="3075" width="26.88671875" style="372" customWidth="1"/>
    <col min="3076" max="3076" width="25.33203125" style="372" customWidth="1"/>
    <col min="3077" max="3077" width="30.6640625" style="372" customWidth="1"/>
    <col min="3078" max="3078" width="28.33203125" style="372" customWidth="1"/>
    <col min="3079" max="3079" width="21.33203125" style="372" customWidth="1"/>
    <col min="3080" max="3080" width="20.6640625" style="372" customWidth="1"/>
    <col min="3081" max="3328" width="9.109375" style="372"/>
    <col min="3329" max="3329" width="35.44140625" style="372" bestFit="1" customWidth="1"/>
    <col min="3330" max="3330" width="20.44140625" style="372" customWidth="1"/>
    <col min="3331" max="3331" width="26.88671875" style="372" customWidth="1"/>
    <col min="3332" max="3332" width="25.33203125" style="372" customWidth="1"/>
    <col min="3333" max="3333" width="30.6640625" style="372" customWidth="1"/>
    <col min="3334" max="3334" width="28.33203125" style="372" customWidth="1"/>
    <col min="3335" max="3335" width="21.33203125" style="372" customWidth="1"/>
    <col min="3336" max="3336" width="20.6640625" style="372" customWidth="1"/>
    <col min="3337" max="3584" width="9.109375" style="372"/>
    <col min="3585" max="3585" width="35.44140625" style="372" bestFit="1" customWidth="1"/>
    <col min="3586" max="3586" width="20.44140625" style="372" customWidth="1"/>
    <col min="3587" max="3587" width="26.88671875" style="372" customWidth="1"/>
    <col min="3588" max="3588" width="25.33203125" style="372" customWidth="1"/>
    <col min="3589" max="3589" width="30.6640625" style="372" customWidth="1"/>
    <col min="3590" max="3590" width="28.33203125" style="372" customWidth="1"/>
    <col min="3591" max="3591" width="21.33203125" style="372" customWidth="1"/>
    <col min="3592" max="3592" width="20.6640625" style="372" customWidth="1"/>
    <col min="3593" max="3840" width="9.109375" style="372"/>
    <col min="3841" max="3841" width="35.44140625" style="372" bestFit="1" customWidth="1"/>
    <col min="3842" max="3842" width="20.44140625" style="372" customWidth="1"/>
    <col min="3843" max="3843" width="26.88671875" style="372" customWidth="1"/>
    <col min="3844" max="3844" width="25.33203125" style="372" customWidth="1"/>
    <col min="3845" max="3845" width="30.6640625" style="372" customWidth="1"/>
    <col min="3846" max="3846" width="28.33203125" style="372" customWidth="1"/>
    <col min="3847" max="3847" width="21.33203125" style="372" customWidth="1"/>
    <col min="3848" max="3848" width="20.6640625" style="372" customWidth="1"/>
    <col min="3849" max="4096" width="9.109375" style="372"/>
    <col min="4097" max="4097" width="35.44140625" style="372" bestFit="1" customWidth="1"/>
    <col min="4098" max="4098" width="20.44140625" style="372" customWidth="1"/>
    <col min="4099" max="4099" width="26.88671875" style="372" customWidth="1"/>
    <col min="4100" max="4100" width="25.33203125" style="372" customWidth="1"/>
    <col min="4101" max="4101" width="30.6640625" style="372" customWidth="1"/>
    <col min="4102" max="4102" width="28.33203125" style="372" customWidth="1"/>
    <col min="4103" max="4103" width="21.33203125" style="372" customWidth="1"/>
    <col min="4104" max="4104" width="20.6640625" style="372" customWidth="1"/>
    <col min="4105" max="4352" width="9.109375" style="372"/>
    <col min="4353" max="4353" width="35.44140625" style="372" bestFit="1" customWidth="1"/>
    <col min="4354" max="4354" width="20.44140625" style="372" customWidth="1"/>
    <col min="4355" max="4355" width="26.88671875" style="372" customWidth="1"/>
    <col min="4356" max="4356" width="25.33203125" style="372" customWidth="1"/>
    <col min="4357" max="4357" width="30.6640625" style="372" customWidth="1"/>
    <col min="4358" max="4358" width="28.33203125" style="372" customWidth="1"/>
    <col min="4359" max="4359" width="21.33203125" style="372" customWidth="1"/>
    <col min="4360" max="4360" width="20.6640625" style="372" customWidth="1"/>
    <col min="4361" max="4608" width="9.109375" style="372"/>
    <col min="4609" max="4609" width="35.44140625" style="372" bestFit="1" customWidth="1"/>
    <col min="4610" max="4610" width="20.44140625" style="372" customWidth="1"/>
    <col min="4611" max="4611" width="26.88671875" style="372" customWidth="1"/>
    <col min="4612" max="4612" width="25.33203125" style="372" customWidth="1"/>
    <col min="4613" max="4613" width="30.6640625" style="372" customWidth="1"/>
    <col min="4614" max="4614" width="28.33203125" style="372" customWidth="1"/>
    <col min="4615" max="4615" width="21.33203125" style="372" customWidth="1"/>
    <col min="4616" max="4616" width="20.6640625" style="372" customWidth="1"/>
    <col min="4617" max="4864" width="9.109375" style="372"/>
    <col min="4865" max="4865" width="35.44140625" style="372" bestFit="1" customWidth="1"/>
    <col min="4866" max="4866" width="20.44140625" style="372" customWidth="1"/>
    <col min="4867" max="4867" width="26.88671875" style="372" customWidth="1"/>
    <col min="4868" max="4868" width="25.33203125" style="372" customWidth="1"/>
    <col min="4869" max="4869" width="30.6640625" style="372" customWidth="1"/>
    <col min="4870" max="4870" width="28.33203125" style="372" customWidth="1"/>
    <col min="4871" max="4871" width="21.33203125" style="372" customWidth="1"/>
    <col min="4872" max="4872" width="20.6640625" style="372" customWidth="1"/>
    <col min="4873" max="5120" width="9.109375" style="372"/>
    <col min="5121" max="5121" width="35.44140625" style="372" bestFit="1" customWidth="1"/>
    <col min="5122" max="5122" width="20.44140625" style="372" customWidth="1"/>
    <col min="5123" max="5123" width="26.88671875" style="372" customWidth="1"/>
    <col min="5124" max="5124" width="25.33203125" style="372" customWidth="1"/>
    <col min="5125" max="5125" width="30.6640625" style="372" customWidth="1"/>
    <col min="5126" max="5126" width="28.33203125" style="372" customWidth="1"/>
    <col min="5127" max="5127" width="21.33203125" style="372" customWidth="1"/>
    <col min="5128" max="5128" width="20.6640625" style="372" customWidth="1"/>
    <col min="5129" max="5376" width="9.109375" style="372"/>
    <col min="5377" max="5377" width="35.44140625" style="372" bestFit="1" customWidth="1"/>
    <col min="5378" max="5378" width="20.44140625" style="372" customWidth="1"/>
    <col min="5379" max="5379" width="26.88671875" style="372" customWidth="1"/>
    <col min="5380" max="5380" width="25.33203125" style="372" customWidth="1"/>
    <col min="5381" max="5381" width="30.6640625" style="372" customWidth="1"/>
    <col min="5382" max="5382" width="28.33203125" style="372" customWidth="1"/>
    <col min="5383" max="5383" width="21.33203125" style="372" customWidth="1"/>
    <col min="5384" max="5384" width="20.6640625" style="372" customWidth="1"/>
    <col min="5385" max="5632" width="9.109375" style="372"/>
    <col min="5633" max="5633" width="35.44140625" style="372" bestFit="1" customWidth="1"/>
    <col min="5634" max="5634" width="20.44140625" style="372" customWidth="1"/>
    <col min="5635" max="5635" width="26.88671875" style="372" customWidth="1"/>
    <col min="5636" max="5636" width="25.33203125" style="372" customWidth="1"/>
    <col min="5637" max="5637" width="30.6640625" style="372" customWidth="1"/>
    <col min="5638" max="5638" width="28.33203125" style="372" customWidth="1"/>
    <col min="5639" max="5639" width="21.33203125" style="372" customWidth="1"/>
    <col min="5640" max="5640" width="20.6640625" style="372" customWidth="1"/>
    <col min="5641" max="5888" width="9.109375" style="372"/>
    <col min="5889" max="5889" width="35.44140625" style="372" bestFit="1" customWidth="1"/>
    <col min="5890" max="5890" width="20.44140625" style="372" customWidth="1"/>
    <col min="5891" max="5891" width="26.88671875" style="372" customWidth="1"/>
    <col min="5892" max="5892" width="25.33203125" style="372" customWidth="1"/>
    <col min="5893" max="5893" width="30.6640625" style="372" customWidth="1"/>
    <col min="5894" max="5894" width="28.33203125" style="372" customWidth="1"/>
    <col min="5895" max="5895" width="21.33203125" style="372" customWidth="1"/>
    <col min="5896" max="5896" width="20.6640625" style="372" customWidth="1"/>
    <col min="5897" max="6144" width="9.109375" style="372"/>
    <col min="6145" max="6145" width="35.44140625" style="372" bestFit="1" customWidth="1"/>
    <col min="6146" max="6146" width="20.44140625" style="372" customWidth="1"/>
    <col min="6147" max="6147" width="26.88671875" style="372" customWidth="1"/>
    <col min="6148" max="6148" width="25.33203125" style="372" customWidth="1"/>
    <col min="6149" max="6149" width="30.6640625" style="372" customWidth="1"/>
    <col min="6150" max="6150" width="28.33203125" style="372" customWidth="1"/>
    <col min="6151" max="6151" width="21.33203125" style="372" customWidth="1"/>
    <col min="6152" max="6152" width="20.6640625" style="372" customWidth="1"/>
    <col min="6153" max="6400" width="9.109375" style="372"/>
    <col min="6401" max="6401" width="35.44140625" style="372" bestFit="1" customWidth="1"/>
    <col min="6402" max="6402" width="20.44140625" style="372" customWidth="1"/>
    <col min="6403" max="6403" width="26.88671875" style="372" customWidth="1"/>
    <col min="6404" max="6404" width="25.33203125" style="372" customWidth="1"/>
    <col min="6405" max="6405" width="30.6640625" style="372" customWidth="1"/>
    <col min="6406" max="6406" width="28.33203125" style="372" customWidth="1"/>
    <col min="6407" max="6407" width="21.33203125" style="372" customWidth="1"/>
    <col min="6408" max="6408" width="20.6640625" style="372" customWidth="1"/>
    <col min="6409" max="6656" width="9.109375" style="372"/>
    <col min="6657" max="6657" width="35.44140625" style="372" bestFit="1" customWidth="1"/>
    <col min="6658" max="6658" width="20.44140625" style="372" customWidth="1"/>
    <col min="6659" max="6659" width="26.88671875" style="372" customWidth="1"/>
    <col min="6660" max="6660" width="25.33203125" style="372" customWidth="1"/>
    <col min="6661" max="6661" width="30.6640625" style="372" customWidth="1"/>
    <col min="6662" max="6662" width="28.33203125" style="372" customWidth="1"/>
    <col min="6663" max="6663" width="21.33203125" style="372" customWidth="1"/>
    <col min="6664" max="6664" width="20.6640625" style="372" customWidth="1"/>
    <col min="6665" max="6912" width="9.109375" style="372"/>
    <col min="6913" max="6913" width="35.44140625" style="372" bestFit="1" customWidth="1"/>
    <col min="6914" max="6914" width="20.44140625" style="372" customWidth="1"/>
    <col min="6915" max="6915" width="26.88671875" style="372" customWidth="1"/>
    <col min="6916" max="6916" width="25.33203125" style="372" customWidth="1"/>
    <col min="6917" max="6917" width="30.6640625" style="372" customWidth="1"/>
    <col min="6918" max="6918" width="28.33203125" style="372" customWidth="1"/>
    <col min="6919" max="6919" width="21.33203125" style="372" customWidth="1"/>
    <col min="6920" max="6920" width="20.6640625" style="372" customWidth="1"/>
    <col min="6921" max="7168" width="9.109375" style="372"/>
    <col min="7169" max="7169" width="35.44140625" style="372" bestFit="1" customWidth="1"/>
    <col min="7170" max="7170" width="20.44140625" style="372" customWidth="1"/>
    <col min="7171" max="7171" width="26.88671875" style="372" customWidth="1"/>
    <col min="7172" max="7172" width="25.33203125" style="372" customWidth="1"/>
    <col min="7173" max="7173" width="30.6640625" style="372" customWidth="1"/>
    <col min="7174" max="7174" width="28.33203125" style="372" customWidth="1"/>
    <col min="7175" max="7175" width="21.33203125" style="372" customWidth="1"/>
    <col min="7176" max="7176" width="20.6640625" style="372" customWidth="1"/>
    <col min="7177" max="7424" width="9.109375" style="372"/>
    <col min="7425" max="7425" width="35.44140625" style="372" bestFit="1" customWidth="1"/>
    <col min="7426" max="7426" width="20.44140625" style="372" customWidth="1"/>
    <col min="7427" max="7427" width="26.88671875" style="372" customWidth="1"/>
    <col min="7428" max="7428" width="25.33203125" style="372" customWidth="1"/>
    <col min="7429" max="7429" width="30.6640625" style="372" customWidth="1"/>
    <col min="7430" max="7430" width="28.33203125" style="372" customWidth="1"/>
    <col min="7431" max="7431" width="21.33203125" style="372" customWidth="1"/>
    <col min="7432" max="7432" width="20.6640625" style="372" customWidth="1"/>
    <col min="7433" max="7680" width="9.109375" style="372"/>
    <col min="7681" max="7681" width="35.44140625" style="372" bestFit="1" customWidth="1"/>
    <col min="7682" max="7682" width="20.44140625" style="372" customWidth="1"/>
    <col min="7683" max="7683" width="26.88671875" style="372" customWidth="1"/>
    <col min="7684" max="7684" width="25.33203125" style="372" customWidth="1"/>
    <col min="7685" max="7685" width="30.6640625" style="372" customWidth="1"/>
    <col min="7686" max="7686" width="28.33203125" style="372" customWidth="1"/>
    <col min="7687" max="7687" width="21.33203125" style="372" customWidth="1"/>
    <col min="7688" max="7688" width="20.6640625" style="372" customWidth="1"/>
    <col min="7689" max="7936" width="9.109375" style="372"/>
    <col min="7937" max="7937" width="35.44140625" style="372" bestFit="1" customWidth="1"/>
    <col min="7938" max="7938" width="20.44140625" style="372" customWidth="1"/>
    <col min="7939" max="7939" width="26.88671875" style="372" customWidth="1"/>
    <col min="7940" max="7940" width="25.33203125" style="372" customWidth="1"/>
    <col min="7941" max="7941" width="30.6640625" style="372" customWidth="1"/>
    <col min="7942" max="7942" width="28.33203125" style="372" customWidth="1"/>
    <col min="7943" max="7943" width="21.33203125" style="372" customWidth="1"/>
    <col min="7944" max="7944" width="20.6640625" style="372" customWidth="1"/>
    <col min="7945" max="8192" width="9.109375" style="372"/>
    <col min="8193" max="8193" width="35.44140625" style="372" bestFit="1" customWidth="1"/>
    <col min="8194" max="8194" width="20.44140625" style="372" customWidth="1"/>
    <col min="8195" max="8195" width="26.88671875" style="372" customWidth="1"/>
    <col min="8196" max="8196" width="25.33203125" style="372" customWidth="1"/>
    <col min="8197" max="8197" width="30.6640625" style="372" customWidth="1"/>
    <col min="8198" max="8198" width="28.33203125" style="372" customWidth="1"/>
    <col min="8199" max="8199" width="21.33203125" style="372" customWidth="1"/>
    <col min="8200" max="8200" width="20.6640625" style="372" customWidth="1"/>
    <col min="8201" max="8448" width="9.109375" style="372"/>
    <col min="8449" max="8449" width="35.44140625" style="372" bestFit="1" customWidth="1"/>
    <col min="8450" max="8450" width="20.44140625" style="372" customWidth="1"/>
    <col min="8451" max="8451" width="26.88671875" style="372" customWidth="1"/>
    <col min="8452" max="8452" width="25.33203125" style="372" customWidth="1"/>
    <col min="8453" max="8453" width="30.6640625" style="372" customWidth="1"/>
    <col min="8454" max="8454" width="28.33203125" style="372" customWidth="1"/>
    <col min="8455" max="8455" width="21.33203125" style="372" customWidth="1"/>
    <col min="8456" max="8456" width="20.6640625" style="372" customWidth="1"/>
    <col min="8457" max="8704" width="9.109375" style="372"/>
    <col min="8705" max="8705" width="35.44140625" style="372" bestFit="1" customWidth="1"/>
    <col min="8706" max="8706" width="20.44140625" style="372" customWidth="1"/>
    <col min="8707" max="8707" width="26.88671875" style="372" customWidth="1"/>
    <col min="8708" max="8708" width="25.33203125" style="372" customWidth="1"/>
    <col min="8709" max="8709" width="30.6640625" style="372" customWidth="1"/>
    <col min="8710" max="8710" width="28.33203125" style="372" customWidth="1"/>
    <col min="8711" max="8711" width="21.33203125" style="372" customWidth="1"/>
    <col min="8712" max="8712" width="20.6640625" style="372" customWidth="1"/>
    <col min="8713" max="8960" width="9.109375" style="372"/>
    <col min="8961" max="8961" width="35.44140625" style="372" bestFit="1" customWidth="1"/>
    <col min="8962" max="8962" width="20.44140625" style="372" customWidth="1"/>
    <col min="8963" max="8963" width="26.88671875" style="372" customWidth="1"/>
    <col min="8964" max="8964" width="25.33203125" style="372" customWidth="1"/>
    <col min="8965" max="8965" width="30.6640625" style="372" customWidth="1"/>
    <col min="8966" max="8966" width="28.33203125" style="372" customWidth="1"/>
    <col min="8967" max="8967" width="21.33203125" style="372" customWidth="1"/>
    <col min="8968" max="8968" width="20.6640625" style="372" customWidth="1"/>
    <col min="8969" max="9216" width="9.109375" style="372"/>
    <col min="9217" max="9217" width="35.44140625" style="372" bestFit="1" customWidth="1"/>
    <col min="9218" max="9218" width="20.44140625" style="372" customWidth="1"/>
    <col min="9219" max="9219" width="26.88671875" style="372" customWidth="1"/>
    <col min="9220" max="9220" width="25.33203125" style="372" customWidth="1"/>
    <col min="9221" max="9221" width="30.6640625" style="372" customWidth="1"/>
    <col min="9222" max="9222" width="28.33203125" style="372" customWidth="1"/>
    <col min="9223" max="9223" width="21.33203125" style="372" customWidth="1"/>
    <col min="9224" max="9224" width="20.6640625" style="372" customWidth="1"/>
    <col min="9225" max="9472" width="9.109375" style="372"/>
    <col min="9473" max="9473" width="35.44140625" style="372" bestFit="1" customWidth="1"/>
    <col min="9474" max="9474" width="20.44140625" style="372" customWidth="1"/>
    <col min="9475" max="9475" width="26.88671875" style="372" customWidth="1"/>
    <col min="9476" max="9476" width="25.33203125" style="372" customWidth="1"/>
    <col min="9477" max="9477" width="30.6640625" style="372" customWidth="1"/>
    <col min="9478" max="9478" width="28.33203125" style="372" customWidth="1"/>
    <col min="9479" max="9479" width="21.33203125" style="372" customWidth="1"/>
    <col min="9480" max="9480" width="20.6640625" style="372" customWidth="1"/>
    <col min="9481" max="9728" width="9.109375" style="372"/>
    <col min="9729" max="9729" width="35.44140625" style="372" bestFit="1" customWidth="1"/>
    <col min="9730" max="9730" width="20.44140625" style="372" customWidth="1"/>
    <col min="9731" max="9731" width="26.88671875" style="372" customWidth="1"/>
    <col min="9732" max="9732" width="25.33203125" style="372" customWidth="1"/>
    <col min="9733" max="9733" width="30.6640625" style="372" customWidth="1"/>
    <col min="9734" max="9734" width="28.33203125" style="372" customWidth="1"/>
    <col min="9735" max="9735" width="21.33203125" style="372" customWidth="1"/>
    <col min="9736" max="9736" width="20.6640625" style="372" customWidth="1"/>
    <col min="9737" max="9984" width="9.109375" style="372"/>
    <col min="9985" max="9985" width="35.44140625" style="372" bestFit="1" customWidth="1"/>
    <col min="9986" max="9986" width="20.44140625" style="372" customWidth="1"/>
    <col min="9987" max="9987" width="26.88671875" style="372" customWidth="1"/>
    <col min="9988" max="9988" width="25.33203125" style="372" customWidth="1"/>
    <col min="9989" max="9989" width="30.6640625" style="372" customWidth="1"/>
    <col min="9990" max="9990" width="28.33203125" style="372" customWidth="1"/>
    <col min="9991" max="9991" width="21.33203125" style="372" customWidth="1"/>
    <col min="9992" max="9992" width="20.6640625" style="372" customWidth="1"/>
    <col min="9993" max="10240" width="9.109375" style="372"/>
    <col min="10241" max="10241" width="35.44140625" style="372" bestFit="1" customWidth="1"/>
    <col min="10242" max="10242" width="20.44140625" style="372" customWidth="1"/>
    <col min="10243" max="10243" width="26.88671875" style="372" customWidth="1"/>
    <col min="10244" max="10244" width="25.33203125" style="372" customWidth="1"/>
    <col min="10245" max="10245" width="30.6640625" style="372" customWidth="1"/>
    <col min="10246" max="10246" width="28.33203125" style="372" customWidth="1"/>
    <col min="10247" max="10247" width="21.33203125" style="372" customWidth="1"/>
    <col min="10248" max="10248" width="20.6640625" style="372" customWidth="1"/>
    <col min="10249" max="10496" width="9.109375" style="372"/>
    <col min="10497" max="10497" width="35.44140625" style="372" bestFit="1" customWidth="1"/>
    <col min="10498" max="10498" width="20.44140625" style="372" customWidth="1"/>
    <col min="10499" max="10499" width="26.88671875" style="372" customWidth="1"/>
    <col min="10500" max="10500" width="25.33203125" style="372" customWidth="1"/>
    <col min="10501" max="10501" width="30.6640625" style="372" customWidth="1"/>
    <col min="10502" max="10502" width="28.33203125" style="372" customWidth="1"/>
    <col min="10503" max="10503" width="21.33203125" style="372" customWidth="1"/>
    <col min="10504" max="10504" width="20.6640625" style="372" customWidth="1"/>
    <col min="10505" max="10752" width="9.109375" style="372"/>
    <col min="10753" max="10753" width="35.44140625" style="372" bestFit="1" customWidth="1"/>
    <col min="10754" max="10754" width="20.44140625" style="372" customWidth="1"/>
    <col min="10755" max="10755" width="26.88671875" style="372" customWidth="1"/>
    <col min="10756" max="10756" width="25.33203125" style="372" customWidth="1"/>
    <col min="10757" max="10757" width="30.6640625" style="372" customWidth="1"/>
    <col min="10758" max="10758" width="28.33203125" style="372" customWidth="1"/>
    <col min="10759" max="10759" width="21.33203125" style="372" customWidth="1"/>
    <col min="10760" max="10760" width="20.6640625" style="372" customWidth="1"/>
    <col min="10761" max="11008" width="9.109375" style="372"/>
    <col min="11009" max="11009" width="35.44140625" style="372" bestFit="1" customWidth="1"/>
    <col min="11010" max="11010" width="20.44140625" style="372" customWidth="1"/>
    <col min="11011" max="11011" width="26.88671875" style="372" customWidth="1"/>
    <col min="11012" max="11012" width="25.33203125" style="372" customWidth="1"/>
    <col min="11013" max="11013" width="30.6640625" style="372" customWidth="1"/>
    <col min="11014" max="11014" width="28.33203125" style="372" customWidth="1"/>
    <col min="11015" max="11015" width="21.33203125" style="372" customWidth="1"/>
    <col min="11016" max="11016" width="20.6640625" style="372" customWidth="1"/>
    <col min="11017" max="11264" width="9.109375" style="372"/>
    <col min="11265" max="11265" width="35.44140625" style="372" bestFit="1" customWidth="1"/>
    <col min="11266" max="11266" width="20.44140625" style="372" customWidth="1"/>
    <col min="11267" max="11267" width="26.88671875" style="372" customWidth="1"/>
    <col min="11268" max="11268" width="25.33203125" style="372" customWidth="1"/>
    <col min="11269" max="11269" width="30.6640625" style="372" customWidth="1"/>
    <col min="11270" max="11270" width="28.33203125" style="372" customWidth="1"/>
    <col min="11271" max="11271" width="21.33203125" style="372" customWidth="1"/>
    <col min="11272" max="11272" width="20.6640625" style="372" customWidth="1"/>
    <col min="11273" max="11520" width="9.109375" style="372"/>
    <col min="11521" max="11521" width="35.44140625" style="372" bestFit="1" customWidth="1"/>
    <col min="11522" max="11522" width="20.44140625" style="372" customWidth="1"/>
    <col min="11523" max="11523" width="26.88671875" style="372" customWidth="1"/>
    <col min="11524" max="11524" width="25.33203125" style="372" customWidth="1"/>
    <col min="11525" max="11525" width="30.6640625" style="372" customWidth="1"/>
    <col min="11526" max="11526" width="28.33203125" style="372" customWidth="1"/>
    <col min="11527" max="11527" width="21.33203125" style="372" customWidth="1"/>
    <col min="11528" max="11528" width="20.6640625" style="372" customWidth="1"/>
    <col min="11529" max="11776" width="9.109375" style="372"/>
    <col min="11777" max="11777" width="35.44140625" style="372" bestFit="1" customWidth="1"/>
    <col min="11778" max="11778" width="20.44140625" style="372" customWidth="1"/>
    <col min="11779" max="11779" width="26.88671875" style="372" customWidth="1"/>
    <col min="11780" max="11780" width="25.33203125" style="372" customWidth="1"/>
    <col min="11781" max="11781" width="30.6640625" style="372" customWidth="1"/>
    <col min="11782" max="11782" width="28.33203125" style="372" customWidth="1"/>
    <col min="11783" max="11783" width="21.33203125" style="372" customWidth="1"/>
    <col min="11784" max="11784" width="20.6640625" style="372" customWidth="1"/>
    <col min="11785" max="12032" width="9.109375" style="372"/>
    <col min="12033" max="12033" width="35.44140625" style="372" bestFit="1" customWidth="1"/>
    <col min="12034" max="12034" width="20.44140625" style="372" customWidth="1"/>
    <col min="12035" max="12035" width="26.88671875" style="372" customWidth="1"/>
    <col min="12036" max="12036" width="25.33203125" style="372" customWidth="1"/>
    <col min="12037" max="12037" width="30.6640625" style="372" customWidth="1"/>
    <col min="12038" max="12038" width="28.33203125" style="372" customWidth="1"/>
    <col min="12039" max="12039" width="21.33203125" style="372" customWidth="1"/>
    <col min="12040" max="12040" width="20.6640625" style="372" customWidth="1"/>
    <col min="12041" max="12288" width="9.109375" style="372"/>
    <col min="12289" max="12289" width="35.44140625" style="372" bestFit="1" customWidth="1"/>
    <col min="12290" max="12290" width="20.44140625" style="372" customWidth="1"/>
    <col min="12291" max="12291" width="26.88671875" style="372" customWidth="1"/>
    <col min="12292" max="12292" width="25.33203125" style="372" customWidth="1"/>
    <col min="12293" max="12293" width="30.6640625" style="372" customWidth="1"/>
    <col min="12294" max="12294" width="28.33203125" style="372" customWidth="1"/>
    <col min="12295" max="12295" width="21.33203125" style="372" customWidth="1"/>
    <col min="12296" max="12296" width="20.6640625" style="372" customWidth="1"/>
    <col min="12297" max="12544" width="9.109375" style="372"/>
    <col min="12545" max="12545" width="35.44140625" style="372" bestFit="1" customWidth="1"/>
    <col min="12546" max="12546" width="20.44140625" style="372" customWidth="1"/>
    <col min="12547" max="12547" width="26.88671875" style="372" customWidth="1"/>
    <col min="12548" max="12548" width="25.33203125" style="372" customWidth="1"/>
    <col min="12549" max="12549" width="30.6640625" style="372" customWidth="1"/>
    <col min="12550" max="12550" width="28.33203125" style="372" customWidth="1"/>
    <col min="12551" max="12551" width="21.33203125" style="372" customWidth="1"/>
    <col min="12552" max="12552" width="20.6640625" style="372" customWidth="1"/>
    <col min="12553" max="12800" width="9.109375" style="372"/>
    <col min="12801" max="12801" width="35.44140625" style="372" bestFit="1" customWidth="1"/>
    <col min="12802" max="12802" width="20.44140625" style="372" customWidth="1"/>
    <col min="12803" max="12803" width="26.88671875" style="372" customWidth="1"/>
    <col min="12804" max="12804" width="25.33203125" style="372" customWidth="1"/>
    <col min="12805" max="12805" width="30.6640625" style="372" customWidth="1"/>
    <col min="12806" max="12806" width="28.33203125" style="372" customWidth="1"/>
    <col min="12807" max="12807" width="21.33203125" style="372" customWidth="1"/>
    <col min="12808" max="12808" width="20.6640625" style="372" customWidth="1"/>
    <col min="12809" max="13056" width="9.109375" style="372"/>
    <col min="13057" max="13057" width="35.44140625" style="372" bestFit="1" customWidth="1"/>
    <col min="13058" max="13058" width="20.44140625" style="372" customWidth="1"/>
    <col min="13059" max="13059" width="26.88671875" style="372" customWidth="1"/>
    <col min="13060" max="13060" width="25.33203125" style="372" customWidth="1"/>
    <col min="13061" max="13061" width="30.6640625" style="372" customWidth="1"/>
    <col min="13062" max="13062" width="28.33203125" style="372" customWidth="1"/>
    <col min="13063" max="13063" width="21.33203125" style="372" customWidth="1"/>
    <col min="13064" max="13064" width="20.6640625" style="372" customWidth="1"/>
    <col min="13065" max="13312" width="9.109375" style="372"/>
    <col min="13313" max="13313" width="35.44140625" style="372" bestFit="1" customWidth="1"/>
    <col min="13314" max="13314" width="20.44140625" style="372" customWidth="1"/>
    <col min="13315" max="13315" width="26.88671875" style="372" customWidth="1"/>
    <col min="13316" max="13316" width="25.33203125" style="372" customWidth="1"/>
    <col min="13317" max="13317" width="30.6640625" style="372" customWidth="1"/>
    <col min="13318" max="13318" width="28.33203125" style="372" customWidth="1"/>
    <col min="13319" max="13319" width="21.33203125" style="372" customWidth="1"/>
    <col min="13320" max="13320" width="20.6640625" style="372" customWidth="1"/>
    <col min="13321" max="13568" width="9.109375" style="372"/>
    <col min="13569" max="13569" width="35.44140625" style="372" bestFit="1" customWidth="1"/>
    <col min="13570" max="13570" width="20.44140625" style="372" customWidth="1"/>
    <col min="13571" max="13571" width="26.88671875" style="372" customWidth="1"/>
    <col min="13572" max="13572" width="25.33203125" style="372" customWidth="1"/>
    <col min="13573" max="13573" width="30.6640625" style="372" customWidth="1"/>
    <col min="13574" max="13574" width="28.33203125" style="372" customWidth="1"/>
    <col min="13575" max="13575" width="21.33203125" style="372" customWidth="1"/>
    <col min="13576" max="13576" width="20.6640625" style="372" customWidth="1"/>
    <col min="13577" max="13824" width="9.109375" style="372"/>
    <col min="13825" max="13825" width="35.44140625" style="372" bestFit="1" customWidth="1"/>
    <col min="13826" max="13826" width="20.44140625" style="372" customWidth="1"/>
    <col min="13827" max="13827" width="26.88671875" style="372" customWidth="1"/>
    <col min="13828" max="13828" width="25.33203125" style="372" customWidth="1"/>
    <col min="13829" max="13829" width="30.6640625" style="372" customWidth="1"/>
    <col min="13830" max="13830" width="28.33203125" style="372" customWidth="1"/>
    <col min="13831" max="13831" width="21.33203125" style="372" customWidth="1"/>
    <col min="13832" max="13832" width="20.6640625" style="372" customWidth="1"/>
    <col min="13833" max="14080" width="9.109375" style="372"/>
    <col min="14081" max="14081" width="35.44140625" style="372" bestFit="1" customWidth="1"/>
    <col min="14082" max="14082" width="20.44140625" style="372" customWidth="1"/>
    <col min="14083" max="14083" width="26.88671875" style="372" customWidth="1"/>
    <col min="14084" max="14084" width="25.33203125" style="372" customWidth="1"/>
    <col min="14085" max="14085" width="30.6640625" style="372" customWidth="1"/>
    <col min="14086" max="14086" width="28.33203125" style="372" customWidth="1"/>
    <col min="14087" max="14087" width="21.33203125" style="372" customWidth="1"/>
    <col min="14088" max="14088" width="20.6640625" style="372" customWidth="1"/>
    <col min="14089" max="14336" width="9.109375" style="372"/>
    <col min="14337" max="14337" width="35.44140625" style="372" bestFit="1" customWidth="1"/>
    <col min="14338" max="14338" width="20.44140625" style="372" customWidth="1"/>
    <col min="14339" max="14339" width="26.88671875" style="372" customWidth="1"/>
    <col min="14340" max="14340" width="25.33203125" style="372" customWidth="1"/>
    <col min="14341" max="14341" width="30.6640625" style="372" customWidth="1"/>
    <col min="14342" max="14342" width="28.33203125" style="372" customWidth="1"/>
    <col min="14343" max="14343" width="21.33203125" style="372" customWidth="1"/>
    <col min="14344" max="14344" width="20.6640625" style="372" customWidth="1"/>
    <col min="14345" max="14592" width="9.109375" style="372"/>
    <col min="14593" max="14593" width="35.44140625" style="372" bestFit="1" customWidth="1"/>
    <col min="14594" max="14594" width="20.44140625" style="372" customWidth="1"/>
    <col min="14595" max="14595" width="26.88671875" style="372" customWidth="1"/>
    <col min="14596" max="14596" width="25.33203125" style="372" customWidth="1"/>
    <col min="14597" max="14597" width="30.6640625" style="372" customWidth="1"/>
    <col min="14598" max="14598" width="28.33203125" style="372" customWidth="1"/>
    <col min="14599" max="14599" width="21.33203125" style="372" customWidth="1"/>
    <col min="14600" max="14600" width="20.6640625" style="372" customWidth="1"/>
    <col min="14601" max="14848" width="9.109375" style="372"/>
    <col min="14849" max="14849" width="35.44140625" style="372" bestFit="1" customWidth="1"/>
    <col min="14850" max="14850" width="20.44140625" style="372" customWidth="1"/>
    <col min="14851" max="14851" width="26.88671875" style="372" customWidth="1"/>
    <col min="14852" max="14852" width="25.33203125" style="372" customWidth="1"/>
    <col min="14853" max="14853" width="30.6640625" style="372" customWidth="1"/>
    <col min="14854" max="14854" width="28.33203125" style="372" customWidth="1"/>
    <col min="14855" max="14855" width="21.33203125" style="372" customWidth="1"/>
    <col min="14856" max="14856" width="20.6640625" style="372" customWidth="1"/>
    <col min="14857" max="15104" width="9.109375" style="372"/>
    <col min="15105" max="15105" width="35.44140625" style="372" bestFit="1" customWidth="1"/>
    <col min="15106" max="15106" width="20.44140625" style="372" customWidth="1"/>
    <col min="15107" max="15107" width="26.88671875" style="372" customWidth="1"/>
    <col min="15108" max="15108" width="25.33203125" style="372" customWidth="1"/>
    <col min="15109" max="15109" width="30.6640625" style="372" customWidth="1"/>
    <col min="15110" max="15110" width="28.33203125" style="372" customWidth="1"/>
    <col min="15111" max="15111" width="21.33203125" style="372" customWidth="1"/>
    <col min="15112" max="15112" width="20.6640625" style="372" customWidth="1"/>
    <col min="15113" max="15360" width="9.109375" style="372"/>
    <col min="15361" max="15361" width="35.44140625" style="372" bestFit="1" customWidth="1"/>
    <col min="15362" max="15362" width="20.44140625" style="372" customWidth="1"/>
    <col min="15363" max="15363" width="26.88671875" style="372" customWidth="1"/>
    <col min="15364" max="15364" width="25.33203125" style="372" customWidth="1"/>
    <col min="15365" max="15365" width="30.6640625" style="372" customWidth="1"/>
    <col min="15366" max="15366" width="28.33203125" style="372" customWidth="1"/>
    <col min="15367" max="15367" width="21.33203125" style="372" customWidth="1"/>
    <col min="15368" max="15368" width="20.6640625" style="372" customWidth="1"/>
    <col min="15369" max="15616" width="9.109375" style="372"/>
    <col min="15617" max="15617" width="35.44140625" style="372" bestFit="1" customWidth="1"/>
    <col min="15618" max="15618" width="20.44140625" style="372" customWidth="1"/>
    <col min="15619" max="15619" width="26.88671875" style="372" customWidth="1"/>
    <col min="15620" max="15620" width="25.33203125" style="372" customWidth="1"/>
    <col min="15621" max="15621" width="30.6640625" style="372" customWidth="1"/>
    <col min="15622" max="15622" width="28.33203125" style="372" customWidth="1"/>
    <col min="15623" max="15623" width="21.33203125" style="372" customWidth="1"/>
    <col min="15624" max="15624" width="20.6640625" style="372" customWidth="1"/>
    <col min="15625" max="15872" width="9.109375" style="372"/>
    <col min="15873" max="15873" width="35.44140625" style="372" bestFit="1" customWidth="1"/>
    <col min="15874" max="15874" width="20.44140625" style="372" customWidth="1"/>
    <col min="15875" max="15875" width="26.88671875" style="372" customWidth="1"/>
    <col min="15876" max="15876" width="25.33203125" style="372" customWidth="1"/>
    <col min="15877" max="15877" width="30.6640625" style="372" customWidth="1"/>
    <col min="15878" max="15878" width="28.33203125" style="372" customWidth="1"/>
    <col min="15879" max="15879" width="21.33203125" style="372" customWidth="1"/>
    <col min="15880" max="15880" width="20.6640625" style="372" customWidth="1"/>
    <col min="15881" max="16128" width="9.109375" style="372"/>
    <col min="16129" max="16129" width="35.44140625" style="372" bestFit="1" customWidth="1"/>
    <col min="16130" max="16130" width="20.44140625" style="372" customWidth="1"/>
    <col min="16131" max="16131" width="26.88671875" style="372" customWidth="1"/>
    <col min="16132" max="16132" width="25.33203125" style="372" customWidth="1"/>
    <col min="16133" max="16133" width="30.6640625" style="372" customWidth="1"/>
    <col min="16134" max="16134" width="28.33203125" style="372" customWidth="1"/>
    <col min="16135" max="16135" width="21.33203125" style="372" customWidth="1"/>
    <col min="16136" max="16136" width="20.6640625" style="372" customWidth="1"/>
    <col min="16137"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2442</v>
      </c>
      <c r="B2" s="390" t="s">
        <v>680</v>
      </c>
      <c r="C2" s="389" t="s">
        <v>2443</v>
      </c>
      <c r="D2" s="391">
        <v>4874514</v>
      </c>
      <c r="E2" s="389" t="s">
        <v>2444</v>
      </c>
      <c r="F2" s="392" t="s">
        <v>2445</v>
      </c>
      <c r="G2" s="391">
        <v>150000</v>
      </c>
      <c r="H2" s="391" t="s">
        <v>680</v>
      </c>
    </row>
    <row r="4" spans="1:8" x14ac:dyDescent="0.3">
      <c r="A4" s="386" t="s">
        <v>11</v>
      </c>
    </row>
    <row r="6" spans="1:8" ht="16.2" thickBot="1" x14ac:dyDescent="0.35">
      <c r="A6" s="620" t="s">
        <v>12</v>
      </c>
      <c r="B6" s="10" t="s">
        <v>9</v>
      </c>
    </row>
    <row r="7" spans="1:8" ht="16.2" thickBot="1" x14ac:dyDescent="0.35">
      <c r="A7" s="181" t="s">
        <v>51</v>
      </c>
      <c r="B7" s="374">
        <v>0</v>
      </c>
    </row>
    <row r="8" spans="1:8" ht="16.2" thickBot="1" x14ac:dyDescent="0.35">
      <c r="A8" s="181" t="s">
        <v>53</v>
      </c>
      <c r="B8" s="374">
        <v>0</v>
      </c>
    </row>
    <row r="9" spans="1:8" ht="16.2" thickBot="1" x14ac:dyDescent="0.35">
      <c r="A9" s="181" t="s">
        <v>55</v>
      </c>
      <c r="B9" s="374">
        <v>3000</v>
      </c>
    </row>
    <row r="10" spans="1:8" ht="16.2" thickBot="1" x14ac:dyDescent="0.35">
      <c r="A10" s="181" t="s">
        <v>911</v>
      </c>
      <c r="B10" s="374">
        <v>11000</v>
      </c>
    </row>
    <row r="11" spans="1:8" ht="16.2" thickBot="1" x14ac:dyDescent="0.35">
      <c r="A11" s="619"/>
      <c r="B11" s="10"/>
      <c r="C11" s="374">
        <f>SUM(B7:B10)</f>
        <v>14000</v>
      </c>
    </row>
    <row r="12" spans="1:8" x14ac:dyDescent="0.3">
      <c r="A12" s="618"/>
      <c r="C12" s="10" t="s">
        <v>9</v>
      </c>
    </row>
    <row r="14" spans="1:8" ht="31.2" x14ac:dyDescent="0.3">
      <c r="A14" s="384" t="s">
        <v>17</v>
      </c>
      <c r="B14" s="385" t="s">
        <v>18</v>
      </c>
      <c r="C14" s="384" t="s">
        <v>19</v>
      </c>
      <c r="D14" s="384" t="s">
        <v>20</v>
      </c>
      <c r="E14" s="384" t="s">
        <v>21</v>
      </c>
      <c r="F14" s="384" t="s">
        <v>22</v>
      </c>
    </row>
    <row r="15" spans="1:8" ht="16.2" thickBot="1" x14ac:dyDescent="0.35">
      <c r="A15" s="617" t="s">
        <v>23</v>
      </c>
      <c r="B15" s="382">
        <f>108.92+120</f>
        <v>228.92000000000002</v>
      </c>
      <c r="C15" s="382">
        <v>750</v>
      </c>
      <c r="D15" s="397" t="s">
        <v>24</v>
      </c>
      <c r="E15" s="359" t="s">
        <v>89</v>
      </c>
      <c r="F15" s="383" t="s">
        <v>2446</v>
      </c>
    </row>
    <row r="16" spans="1:8" ht="16.2" thickBot="1" x14ac:dyDescent="0.35">
      <c r="A16" s="617" t="s">
        <v>25</v>
      </c>
      <c r="B16" s="374">
        <f>1174+551.21+3803.31+337.5+193.92</f>
        <v>6059.9400000000005</v>
      </c>
      <c r="C16" s="374">
        <v>20000</v>
      </c>
      <c r="D16" s="397" t="s">
        <v>24</v>
      </c>
      <c r="E16" s="387" t="s">
        <v>89</v>
      </c>
      <c r="F16" s="377" t="s">
        <v>2447</v>
      </c>
    </row>
    <row r="17" spans="1:6" ht="16.2" thickBot="1" x14ac:dyDescent="0.35">
      <c r="A17" s="617" t="s">
        <v>26</v>
      </c>
      <c r="B17" s="374">
        <v>0</v>
      </c>
      <c r="C17" s="374">
        <v>0</v>
      </c>
      <c r="D17" s="387"/>
      <c r="E17" s="387"/>
      <c r="F17" s="377"/>
    </row>
    <row r="18" spans="1:6" ht="16.2" thickBot="1" x14ac:dyDescent="0.35">
      <c r="A18" s="617" t="s">
        <v>27</v>
      </c>
      <c r="B18" s="374">
        <f>792+1032+6961.45+3096.64+477.88</f>
        <v>12359.97</v>
      </c>
      <c r="C18" s="374">
        <v>23000</v>
      </c>
      <c r="D18" s="397" t="s">
        <v>24</v>
      </c>
      <c r="E18" s="387" t="s">
        <v>89</v>
      </c>
      <c r="F18" s="377" t="s">
        <v>2448</v>
      </c>
    </row>
    <row r="19" spans="1:6" ht="16.2" thickBot="1" x14ac:dyDescent="0.35">
      <c r="A19" s="617" t="s">
        <v>28</v>
      </c>
      <c r="B19" s="374">
        <v>0</v>
      </c>
      <c r="C19" s="374">
        <v>0</v>
      </c>
      <c r="D19" s="387"/>
      <c r="E19" s="387"/>
      <c r="F19" s="377"/>
    </row>
    <row r="20" spans="1:6" ht="16.2" thickBot="1" x14ac:dyDescent="0.35">
      <c r="A20" s="617" t="s">
        <v>29</v>
      </c>
      <c r="B20" s="374">
        <v>0</v>
      </c>
      <c r="C20" s="374">
        <v>0</v>
      </c>
      <c r="D20" s="387"/>
      <c r="E20" s="387" t="s">
        <v>89</v>
      </c>
      <c r="F20" s="377" t="s">
        <v>2449</v>
      </c>
    </row>
    <row r="21" spans="1:6" ht="16.2" thickBot="1" x14ac:dyDescent="0.35">
      <c r="A21" s="617" t="s">
        <v>30</v>
      </c>
      <c r="B21" s="374">
        <f>1614.3+699.18</f>
        <v>2313.48</v>
      </c>
      <c r="C21" s="374">
        <v>5000</v>
      </c>
      <c r="D21" s="397" t="s">
        <v>24</v>
      </c>
      <c r="E21" s="387" t="s">
        <v>89</v>
      </c>
      <c r="F21" s="377" t="s">
        <v>2450</v>
      </c>
    </row>
    <row r="22" spans="1:6" ht="16.2" thickBot="1" x14ac:dyDescent="0.35">
      <c r="A22" s="619"/>
      <c r="B22" s="374">
        <v>0</v>
      </c>
      <c r="C22" s="374">
        <v>0</v>
      </c>
      <c r="D22" s="387"/>
      <c r="E22" s="387"/>
      <c r="F22" s="377"/>
    </row>
    <row r="23" spans="1:6" ht="16.2" thickBot="1" x14ac:dyDescent="0.35">
      <c r="A23" s="619"/>
      <c r="B23" s="374">
        <v>0</v>
      </c>
      <c r="C23" s="374">
        <v>0</v>
      </c>
      <c r="D23" s="387"/>
      <c r="E23" s="387"/>
      <c r="F23" s="377"/>
    </row>
    <row r="24" spans="1:6" ht="16.2" thickBot="1" x14ac:dyDescent="0.35">
      <c r="A24" s="619"/>
      <c r="B24" s="374">
        <v>0</v>
      </c>
      <c r="C24" s="374">
        <v>0</v>
      </c>
      <c r="D24" s="387"/>
      <c r="E24" s="387"/>
      <c r="F24" s="377"/>
    </row>
    <row r="25" spans="1:6" ht="16.2" thickBot="1" x14ac:dyDescent="0.35">
      <c r="A25" s="619"/>
      <c r="B25" s="374">
        <v>0</v>
      </c>
      <c r="C25" s="374">
        <v>0</v>
      </c>
      <c r="D25" s="387"/>
      <c r="E25" s="387"/>
      <c r="F25" s="377"/>
    </row>
    <row r="26" spans="1:6" ht="16.2" thickBot="1" x14ac:dyDescent="0.35">
      <c r="A26" s="619"/>
      <c r="B26" s="374">
        <v>0</v>
      </c>
      <c r="C26" s="374">
        <v>0</v>
      </c>
      <c r="D26" s="387"/>
      <c r="E26" s="387"/>
      <c r="F26" s="377"/>
    </row>
    <row r="27" spans="1:6" ht="16.2" thickBot="1" x14ac:dyDescent="0.35">
      <c r="A27" s="378"/>
      <c r="B27" s="374">
        <v>0</v>
      </c>
      <c r="C27" s="374">
        <v>0</v>
      </c>
      <c r="D27" s="387"/>
      <c r="E27" s="387"/>
      <c r="F27" s="377"/>
    </row>
    <row r="28" spans="1:6" ht="16.2" thickBot="1" x14ac:dyDescent="0.35">
      <c r="A28" s="618" t="s">
        <v>32</v>
      </c>
      <c r="B28" s="379">
        <f>SUM(B15:B27)</f>
        <v>20962.310000000001</v>
      </c>
      <c r="C28" s="379">
        <f>SUM(C15:C27)</f>
        <v>48750</v>
      </c>
      <c r="D28" s="388"/>
      <c r="E28" s="388"/>
      <c r="F28" s="380"/>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6A3F-811E-478F-AD00-22EC43378B72}">
  <dimension ref="A1:H31"/>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2361</v>
      </c>
      <c r="B2" s="390">
        <f>C14</f>
        <v>2786653.8</v>
      </c>
      <c r="C2" s="389" t="s">
        <v>2362</v>
      </c>
      <c r="D2" s="391">
        <v>5225067</v>
      </c>
      <c r="E2" s="389" t="s">
        <v>10</v>
      </c>
      <c r="F2" s="392" t="s">
        <v>2363</v>
      </c>
      <c r="G2" s="391" t="s">
        <v>420</v>
      </c>
      <c r="H2" s="391" t="s">
        <v>420</v>
      </c>
    </row>
    <row r="4" spans="1:8" x14ac:dyDescent="0.3">
      <c r="A4" s="386" t="s">
        <v>11</v>
      </c>
    </row>
    <row r="6" spans="1:8" x14ac:dyDescent="0.3">
      <c r="A6" s="581" t="s">
        <v>12</v>
      </c>
      <c r="B6" s="10" t="s">
        <v>9</v>
      </c>
    </row>
    <row r="7" spans="1:8" x14ac:dyDescent="0.3">
      <c r="A7" s="579"/>
      <c r="B7" s="10"/>
    </row>
    <row r="8" spans="1:8" ht="16.2" thickBot="1" x14ac:dyDescent="0.35">
      <c r="B8" s="10"/>
    </row>
    <row r="9" spans="1:8" ht="16.2" thickBot="1" x14ac:dyDescent="0.35">
      <c r="A9" s="580" t="s">
        <v>51</v>
      </c>
      <c r="B9" s="374">
        <v>53500</v>
      </c>
    </row>
    <row r="10" spans="1:8" ht="16.2" thickBot="1" x14ac:dyDescent="0.35">
      <c r="A10" s="580" t="s">
        <v>53</v>
      </c>
      <c r="B10" s="374">
        <v>2672671.7999999998</v>
      </c>
    </row>
    <row r="11" spans="1:8" ht="16.2" thickBot="1" x14ac:dyDescent="0.35">
      <c r="A11" s="580" t="s">
        <v>55</v>
      </c>
      <c r="B11" s="374">
        <v>0</v>
      </c>
    </row>
    <row r="12" spans="1:8" ht="16.2" thickBot="1" x14ac:dyDescent="0.35">
      <c r="A12" s="580" t="s">
        <v>57</v>
      </c>
      <c r="B12" s="374">
        <v>0</v>
      </c>
    </row>
    <row r="13" spans="1:8" ht="16.2" thickBot="1" x14ac:dyDescent="0.35">
      <c r="A13" s="580" t="s">
        <v>2364</v>
      </c>
      <c r="B13" s="374">
        <v>60482</v>
      </c>
    </row>
    <row r="14" spans="1:8" ht="16.2" thickBot="1" x14ac:dyDescent="0.35">
      <c r="A14" s="580"/>
      <c r="B14" s="10"/>
      <c r="C14" s="374">
        <f>SUM(B9:B13)</f>
        <v>2786653.8</v>
      </c>
    </row>
    <row r="15" spans="1:8" x14ac:dyDescent="0.3">
      <c r="A15" s="579"/>
      <c r="C15" s="10" t="s">
        <v>9</v>
      </c>
    </row>
    <row r="17" spans="1:6" ht="31.2" x14ac:dyDescent="0.3">
      <c r="A17" s="384" t="s">
        <v>17</v>
      </c>
      <c r="B17" s="385" t="s">
        <v>18</v>
      </c>
      <c r="C17" s="384" t="s">
        <v>19</v>
      </c>
      <c r="D17" s="384" t="s">
        <v>20</v>
      </c>
      <c r="E17" s="384" t="s">
        <v>21</v>
      </c>
      <c r="F17" s="384" t="s">
        <v>22</v>
      </c>
    </row>
    <row r="18" spans="1:6" ht="16.2" thickBot="1" x14ac:dyDescent="0.35">
      <c r="A18" s="578" t="s">
        <v>23</v>
      </c>
      <c r="B18" s="382">
        <v>732</v>
      </c>
      <c r="C18" s="382">
        <f>(1560+2500)</f>
        <v>4060</v>
      </c>
      <c r="D18" s="359" t="s">
        <v>24</v>
      </c>
      <c r="E18" s="359" t="s">
        <v>578</v>
      </c>
      <c r="F18" s="383"/>
    </row>
    <row r="19" spans="1:6" ht="16.2" thickBot="1" x14ac:dyDescent="0.35">
      <c r="A19" s="578" t="s">
        <v>25</v>
      </c>
      <c r="B19" s="374">
        <v>10001</v>
      </c>
      <c r="C19" s="374">
        <v>50661</v>
      </c>
      <c r="D19" s="359" t="s">
        <v>24</v>
      </c>
      <c r="E19" s="359" t="s">
        <v>578</v>
      </c>
      <c r="F19" s="377"/>
    </row>
    <row r="20" spans="1:6" ht="16.2" thickBot="1" x14ac:dyDescent="0.35">
      <c r="A20" s="578" t="s">
        <v>26</v>
      </c>
      <c r="B20" s="374">
        <v>1817</v>
      </c>
      <c r="C20" s="374">
        <v>2717</v>
      </c>
      <c r="D20" s="387"/>
      <c r="E20" s="387"/>
      <c r="F20" s="377"/>
    </row>
    <row r="21" spans="1:6" ht="16.2" thickBot="1" x14ac:dyDescent="0.35">
      <c r="A21" s="578" t="s">
        <v>27</v>
      </c>
      <c r="B21" s="374">
        <v>0</v>
      </c>
      <c r="C21" s="374">
        <v>0</v>
      </c>
      <c r="D21" s="387"/>
      <c r="E21" s="387"/>
      <c r="F21" s="377"/>
    </row>
    <row r="22" spans="1:6" ht="16.2" thickBot="1" x14ac:dyDescent="0.35">
      <c r="A22" s="578" t="s">
        <v>28</v>
      </c>
      <c r="B22" s="374">
        <v>0</v>
      </c>
      <c r="C22" s="374">
        <v>0</v>
      </c>
      <c r="D22" s="387"/>
      <c r="E22" s="387"/>
      <c r="F22" s="377"/>
    </row>
    <row r="23" spans="1:6" ht="16.2" thickBot="1" x14ac:dyDescent="0.35">
      <c r="A23" s="578" t="s">
        <v>29</v>
      </c>
      <c r="B23" s="374">
        <v>12443</v>
      </c>
      <c r="C23" s="374">
        <v>62784</v>
      </c>
      <c r="D23" s="387" t="s">
        <v>24</v>
      </c>
      <c r="E23" s="359" t="s">
        <v>578</v>
      </c>
      <c r="F23" s="377"/>
    </row>
    <row r="24" spans="1:6" ht="16.2" thickBot="1" x14ac:dyDescent="0.35">
      <c r="A24" s="578" t="s">
        <v>30</v>
      </c>
      <c r="B24" s="374">
        <v>240</v>
      </c>
      <c r="C24" s="374">
        <f>1500+2500</f>
        <v>4000</v>
      </c>
      <c r="D24" s="387" t="s">
        <v>24</v>
      </c>
      <c r="E24" s="359" t="s">
        <v>578</v>
      </c>
      <c r="F24" s="377"/>
    </row>
    <row r="25" spans="1:6" ht="16.2" thickBot="1" x14ac:dyDescent="0.35">
      <c r="A25" s="578" t="s">
        <v>2365</v>
      </c>
      <c r="B25" s="374">
        <v>1709.05</v>
      </c>
      <c r="C25" s="374">
        <v>6400</v>
      </c>
      <c r="D25" s="387" t="s">
        <v>24</v>
      </c>
      <c r="E25" s="359" t="s">
        <v>578</v>
      </c>
      <c r="F25" s="377"/>
    </row>
    <row r="26" spans="1:6" ht="16.2" thickBot="1" x14ac:dyDescent="0.35">
      <c r="A26" s="578" t="s">
        <v>2366</v>
      </c>
      <c r="B26" s="374">
        <v>3145</v>
      </c>
      <c r="C26" s="374">
        <v>9435</v>
      </c>
      <c r="D26" s="387" t="s">
        <v>24</v>
      </c>
      <c r="E26" s="359" t="s">
        <v>578</v>
      </c>
      <c r="F26" s="377"/>
    </row>
    <row r="27" spans="1:6" ht="16.2" thickBot="1" x14ac:dyDescent="0.35">
      <c r="A27" s="580"/>
      <c r="B27" s="374">
        <v>0</v>
      </c>
      <c r="C27" s="374">
        <v>0</v>
      </c>
      <c r="D27" s="387"/>
      <c r="E27" s="387"/>
      <c r="F27" s="377"/>
    </row>
    <row r="28" spans="1:6" ht="16.2" thickBot="1" x14ac:dyDescent="0.35">
      <c r="A28" s="580"/>
      <c r="B28" s="374">
        <v>0</v>
      </c>
      <c r="C28" s="374">
        <v>0</v>
      </c>
      <c r="D28" s="387"/>
      <c r="E28" s="387"/>
      <c r="F28" s="377"/>
    </row>
    <row r="29" spans="1:6" ht="16.2" thickBot="1" x14ac:dyDescent="0.35">
      <c r="A29" s="580"/>
      <c r="B29" s="374">
        <v>0</v>
      </c>
      <c r="C29" s="374">
        <v>0</v>
      </c>
      <c r="D29" s="387"/>
      <c r="E29" s="387"/>
      <c r="F29" s="377"/>
    </row>
    <row r="30" spans="1:6" ht="16.2" thickBot="1" x14ac:dyDescent="0.35">
      <c r="A30" s="378"/>
      <c r="B30" s="374">
        <v>0</v>
      </c>
      <c r="C30" s="374">
        <v>0</v>
      </c>
      <c r="D30" s="387"/>
      <c r="E30" s="387"/>
      <c r="F30" s="377"/>
    </row>
    <row r="31" spans="1:6" ht="16.2" thickBot="1" x14ac:dyDescent="0.35">
      <c r="A31" s="579" t="s">
        <v>32</v>
      </c>
      <c r="B31" s="379">
        <f>SUM(B18:B30)</f>
        <v>30087.05</v>
      </c>
      <c r="C31" s="379">
        <f>SUM(C18:C30)</f>
        <v>140057</v>
      </c>
      <c r="D31" s="388"/>
      <c r="E31" s="388"/>
      <c r="F31" s="380"/>
    </row>
  </sheetData>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75B2D-98FB-4891-AB12-A30291B38A74}">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33203125" style="7" bestFit="1" customWidth="1"/>
    <col min="4" max="4" width="21" style="7" bestFit="1" customWidth="1"/>
    <col min="5" max="5" width="30.109375" style="7" bestFit="1" customWidth="1"/>
    <col min="6" max="6" width="79.109375" style="7" customWidth="1"/>
    <col min="7" max="7" width="15.88671875" style="7" customWidth="1"/>
    <col min="8" max="8" width="15.554687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720</v>
      </c>
      <c r="B2" s="4">
        <v>-370000</v>
      </c>
      <c r="C2" s="3" t="s">
        <v>721</v>
      </c>
      <c r="D2" s="5">
        <v>4506087</v>
      </c>
      <c r="E2" s="3" t="s">
        <v>24</v>
      </c>
      <c r="F2" s="165" t="s">
        <v>722</v>
      </c>
      <c r="G2" s="5">
        <v>-639120</v>
      </c>
      <c r="H2" s="5">
        <v>-700000</v>
      </c>
    </row>
    <row r="4" spans="1:8" x14ac:dyDescent="0.3">
      <c r="A4" s="8" t="s">
        <v>11</v>
      </c>
    </row>
    <row r="6" spans="1:8" ht="16.2" thickBot="1" x14ac:dyDescent="0.35">
      <c r="A6" s="9" t="s">
        <v>12</v>
      </c>
      <c r="B6" s="10" t="s">
        <v>9</v>
      </c>
    </row>
    <row r="7" spans="1:8" ht="16.2" thickBot="1" x14ac:dyDescent="0.35">
      <c r="A7" s="11" t="s">
        <v>13</v>
      </c>
      <c r="B7" s="12">
        <v>8900000</v>
      </c>
    </row>
    <row r="8" spans="1:8" ht="16.2" thickBot="1" x14ac:dyDescent="0.35">
      <c r="A8" s="11" t="s">
        <v>14</v>
      </c>
      <c r="B8" s="12">
        <v>0</v>
      </c>
      <c r="C8" s="7" t="s">
        <v>63</v>
      </c>
    </row>
    <row r="9" spans="1:8" ht="16.2" thickBot="1" x14ac:dyDescent="0.35">
      <c r="A9" s="11"/>
      <c r="B9" s="12">
        <v>0</v>
      </c>
    </row>
    <row r="10" spans="1:8" ht="16.2" thickBot="1" x14ac:dyDescent="0.35">
      <c r="A10" s="11"/>
      <c r="B10" s="12">
        <v>0</v>
      </c>
    </row>
    <row r="11" spans="1:8" ht="16.2" thickBot="1" x14ac:dyDescent="0.35">
      <c r="A11" s="11"/>
      <c r="B11" s="10"/>
      <c r="C11" s="12">
        <v>8900000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5000</v>
      </c>
      <c r="C15" s="16">
        <v>20000</v>
      </c>
      <c r="D15" s="17" t="s">
        <v>24</v>
      </c>
      <c r="E15" s="17" t="s">
        <v>79</v>
      </c>
      <c r="F15" s="18" t="s">
        <v>723</v>
      </c>
    </row>
    <row r="16" spans="1:8" ht="16.2" thickBot="1" x14ac:dyDescent="0.35">
      <c r="A16" s="15" t="s">
        <v>25</v>
      </c>
      <c r="B16" s="12">
        <v>25000</v>
      </c>
      <c r="C16" s="12">
        <v>35000</v>
      </c>
      <c r="D16" s="19" t="s">
        <v>24</v>
      </c>
      <c r="E16" s="19" t="s">
        <v>79</v>
      </c>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1000</v>
      </c>
      <c r="C20" s="12">
        <v>10000</v>
      </c>
      <c r="D20" s="19" t="s">
        <v>24</v>
      </c>
      <c r="E20" s="19" t="s">
        <v>79</v>
      </c>
      <c r="F20" s="20"/>
    </row>
    <row r="21" spans="1:6" ht="16.2" thickBot="1" x14ac:dyDescent="0.35">
      <c r="A21" s="15" t="s">
        <v>30</v>
      </c>
      <c r="B21" s="12">
        <v>2000</v>
      </c>
      <c r="C21" s="12">
        <v>10000</v>
      </c>
      <c r="D21" s="19" t="s">
        <v>24</v>
      </c>
      <c r="E21" s="19" t="s">
        <v>79</v>
      </c>
      <c r="F21" s="18" t="s">
        <v>724</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33000</v>
      </c>
      <c r="C28" s="22">
        <v>75000</v>
      </c>
      <c r="D28" s="23"/>
      <c r="E28" s="23"/>
      <c r="F28" s="24"/>
    </row>
  </sheetData>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09E3-D82E-42C8-A5DA-4D17AFDB90E1}">
  <dimension ref="A1:Z1000"/>
  <sheetViews>
    <sheetView workbookViewId="0">
      <selection activeCell="E11" sqref="E11:J11"/>
    </sheetView>
  </sheetViews>
  <sheetFormatPr defaultColWidth="14.44140625" defaultRowHeight="14.4" x14ac:dyDescent="0.3"/>
  <cols>
    <col min="1" max="1" width="35.44140625" customWidth="1"/>
    <col min="2" max="2" width="20.44140625" customWidth="1"/>
    <col min="3" max="3" width="26.88671875" customWidth="1"/>
    <col min="4" max="4" width="25.33203125" customWidth="1"/>
    <col min="5" max="5" width="30.6640625" customWidth="1"/>
    <col min="6" max="6" width="39.5546875" bestFit="1" customWidth="1"/>
    <col min="7" max="7" width="21.33203125" customWidth="1"/>
    <col min="8" max="8" width="20.6640625" customWidth="1"/>
    <col min="9" max="26" width="8.6640625" customWidth="1"/>
  </cols>
  <sheetData>
    <row r="1" spans="1:26" ht="60.75" customHeight="1" thickBot="1" x14ac:dyDescent="0.35">
      <c r="A1" s="144" t="s">
        <v>0</v>
      </c>
      <c r="B1" s="144" t="s">
        <v>1</v>
      </c>
      <c r="C1" s="144" t="s">
        <v>2</v>
      </c>
      <c r="D1" s="144" t="s">
        <v>3</v>
      </c>
      <c r="E1" s="144" t="s">
        <v>4</v>
      </c>
      <c r="F1" s="144" t="s">
        <v>5</v>
      </c>
      <c r="G1" s="144" t="s">
        <v>6</v>
      </c>
      <c r="H1" s="144" t="s">
        <v>7</v>
      </c>
      <c r="I1" s="2"/>
      <c r="J1" s="2"/>
      <c r="K1" s="2"/>
      <c r="L1" s="2"/>
      <c r="M1" s="2"/>
      <c r="N1" s="2"/>
      <c r="O1" s="2"/>
      <c r="P1" s="2"/>
      <c r="Q1" s="2"/>
      <c r="R1" s="2"/>
      <c r="S1" s="2"/>
      <c r="T1" s="2"/>
      <c r="U1" s="2"/>
      <c r="V1" s="2"/>
      <c r="W1" s="2"/>
      <c r="X1" s="2"/>
      <c r="Y1" s="2"/>
      <c r="Z1" s="2"/>
    </row>
    <row r="2" spans="1:26" ht="56.25" customHeight="1" thickBot="1" x14ac:dyDescent="0.35">
      <c r="A2" s="166" t="s">
        <v>725</v>
      </c>
      <c r="B2" s="146">
        <v>0</v>
      </c>
      <c r="C2" s="145" t="s">
        <v>9</v>
      </c>
      <c r="D2" s="147">
        <v>0</v>
      </c>
      <c r="E2" s="145"/>
      <c r="F2" s="148"/>
      <c r="G2" s="147">
        <v>0</v>
      </c>
      <c r="H2" s="147">
        <v>0</v>
      </c>
      <c r="I2" s="7"/>
      <c r="J2" s="7"/>
      <c r="K2" s="7"/>
      <c r="L2" s="7"/>
      <c r="M2" s="7"/>
      <c r="N2" s="7"/>
      <c r="O2" s="7"/>
      <c r="P2" s="7"/>
      <c r="Q2" s="7"/>
      <c r="R2" s="7"/>
      <c r="S2" s="7"/>
      <c r="T2" s="7"/>
      <c r="U2" s="7"/>
      <c r="V2" s="7"/>
      <c r="W2" s="7"/>
      <c r="X2" s="7"/>
      <c r="Y2" s="7"/>
      <c r="Z2" s="7"/>
    </row>
    <row r="3" spans="1:26" ht="15.75" customHeight="1" x14ac:dyDescent="0.3">
      <c r="A3" s="7"/>
      <c r="B3" s="7"/>
      <c r="C3" s="7"/>
      <c r="D3" s="7"/>
      <c r="E3" s="7"/>
      <c r="F3" s="7"/>
      <c r="G3" s="7"/>
      <c r="H3" s="7"/>
      <c r="I3" s="7"/>
      <c r="J3" s="7"/>
      <c r="K3" s="7"/>
      <c r="L3" s="7"/>
      <c r="M3" s="7"/>
      <c r="N3" s="7"/>
      <c r="O3" s="7"/>
      <c r="P3" s="7"/>
      <c r="Q3" s="7"/>
      <c r="R3" s="7"/>
      <c r="S3" s="7"/>
      <c r="T3" s="7"/>
      <c r="U3" s="7"/>
      <c r="V3" s="7"/>
      <c r="W3" s="7"/>
      <c r="X3" s="7"/>
      <c r="Y3" s="7"/>
      <c r="Z3" s="7"/>
    </row>
    <row r="4" spans="1:26" ht="15.75" customHeight="1" x14ac:dyDescent="0.3">
      <c r="A4" s="8" t="s">
        <v>11</v>
      </c>
      <c r="B4" s="7"/>
      <c r="C4" s="7"/>
      <c r="D4" s="7"/>
      <c r="E4" s="7"/>
      <c r="F4" s="7"/>
      <c r="G4" s="7"/>
      <c r="H4" s="7"/>
      <c r="I4" s="7"/>
      <c r="J4" s="7"/>
      <c r="K4" s="7"/>
      <c r="L4" s="7"/>
      <c r="M4" s="7"/>
      <c r="N4" s="7"/>
      <c r="O4" s="7"/>
      <c r="P4" s="7"/>
      <c r="Q4" s="7"/>
      <c r="R4" s="7"/>
      <c r="S4" s="7"/>
      <c r="T4" s="7"/>
      <c r="U4" s="7"/>
      <c r="V4" s="7"/>
      <c r="W4" s="7"/>
      <c r="X4" s="7"/>
      <c r="Y4" s="7"/>
      <c r="Z4" s="7"/>
    </row>
    <row r="5" spans="1:26" ht="15.75" customHeight="1" x14ac:dyDescent="0.3">
      <c r="A5" s="7"/>
      <c r="B5" s="7"/>
      <c r="C5" s="7"/>
      <c r="D5" s="7"/>
      <c r="E5" s="7"/>
      <c r="F5" s="7"/>
      <c r="G5" s="7"/>
      <c r="H5" s="7"/>
      <c r="I5" s="7"/>
      <c r="J5" s="7"/>
      <c r="K5" s="7"/>
      <c r="L5" s="7"/>
      <c r="M5" s="7"/>
      <c r="N5" s="7"/>
      <c r="O5" s="7"/>
      <c r="P5" s="7"/>
      <c r="Q5" s="7"/>
      <c r="R5" s="7"/>
      <c r="S5" s="7"/>
      <c r="T5" s="7"/>
      <c r="U5" s="7"/>
      <c r="V5" s="7"/>
      <c r="W5" s="7"/>
      <c r="X5" s="7"/>
      <c r="Y5" s="7"/>
      <c r="Z5" s="7"/>
    </row>
    <row r="6" spans="1:26" ht="15.75" customHeight="1" thickBot="1" x14ac:dyDescent="0.35">
      <c r="A6" s="149" t="s">
        <v>12</v>
      </c>
      <c r="B6" s="62" t="s">
        <v>9</v>
      </c>
      <c r="C6" s="7"/>
      <c r="D6" s="7"/>
      <c r="E6" s="7"/>
      <c r="F6" s="7"/>
      <c r="G6" s="7"/>
      <c r="H6" s="7"/>
      <c r="I6" s="7"/>
      <c r="J6" s="7"/>
      <c r="K6" s="7"/>
      <c r="L6" s="7"/>
      <c r="M6" s="7"/>
      <c r="N6" s="7"/>
      <c r="O6" s="7"/>
      <c r="P6" s="7"/>
      <c r="Q6" s="7"/>
      <c r="R6" s="7"/>
      <c r="S6" s="7"/>
      <c r="T6" s="7"/>
      <c r="U6" s="7"/>
      <c r="V6" s="7"/>
      <c r="W6" s="7"/>
      <c r="X6" s="7"/>
      <c r="Y6" s="7"/>
      <c r="Z6" s="7"/>
    </row>
    <row r="7" spans="1:26" ht="15.75" customHeight="1" thickBot="1" x14ac:dyDescent="0.35">
      <c r="A7" s="11" t="s">
        <v>13</v>
      </c>
      <c r="B7" s="150">
        <v>0</v>
      </c>
      <c r="C7" s="7"/>
      <c r="D7" s="7"/>
      <c r="E7" s="7"/>
      <c r="F7" s="7"/>
      <c r="G7" s="7"/>
      <c r="H7" s="7"/>
      <c r="I7" s="7"/>
      <c r="J7" s="7"/>
      <c r="K7" s="7"/>
      <c r="L7" s="7"/>
      <c r="M7" s="7"/>
      <c r="N7" s="7"/>
      <c r="O7" s="7"/>
      <c r="P7" s="7"/>
      <c r="Q7" s="7"/>
      <c r="R7" s="7"/>
      <c r="S7" s="7"/>
      <c r="T7" s="7"/>
      <c r="U7" s="7"/>
      <c r="V7" s="7"/>
      <c r="W7" s="7"/>
      <c r="X7" s="7"/>
      <c r="Y7" s="7"/>
      <c r="Z7" s="7"/>
    </row>
    <row r="8" spans="1:26" ht="15.75" customHeight="1" thickBot="1" x14ac:dyDescent="0.35">
      <c r="A8" s="11" t="s">
        <v>14</v>
      </c>
      <c r="B8" s="150">
        <v>0</v>
      </c>
      <c r="C8" s="7"/>
      <c r="D8" s="7"/>
      <c r="E8" s="7"/>
      <c r="F8" s="7"/>
      <c r="G8" s="7"/>
      <c r="H8" s="7"/>
      <c r="I8" s="7"/>
      <c r="J8" s="7"/>
      <c r="K8" s="7"/>
      <c r="L8" s="7"/>
      <c r="M8" s="7"/>
      <c r="N8" s="7"/>
      <c r="O8" s="7"/>
      <c r="P8" s="7"/>
      <c r="Q8" s="7"/>
      <c r="R8" s="7"/>
      <c r="S8" s="7"/>
      <c r="T8" s="7"/>
      <c r="U8" s="7"/>
      <c r="V8" s="7"/>
      <c r="W8" s="7"/>
      <c r="X8" s="7"/>
      <c r="Y8" s="7"/>
      <c r="Z8" s="7"/>
    </row>
    <row r="9" spans="1:26" ht="15.75" customHeight="1" thickBot="1" x14ac:dyDescent="0.35">
      <c r="A9" s="11"/>
      <c r="B9" s="150">
        <v>0</v>
      </c>
      <c r="C9" s="7"/>
      <c r="D9" s="7"/>
      <c r="E9" s="7"/>
      <c r="F9" s="7"/>
      <c r="G9" s="7"/>
      <c r="H9" s="7"/>
      <c r="I9" s="7"/>
      <c r="J9" s="7"/>
      <c r="K9" s="7"/>
      <c r="L9" s="7"/>
      <c r="M9" s="7"/>
      <c r="N9" s="7"/>
      <c r="O9" s="7"/>
      <c r="P9" s="7"/>
      <c r="Q9" s="7"/>
      <c r="R9" s="7"/>
      <c r="S9" s="7"/>
      <c r="T9" s="7"/>
      <c r="U9" s="7"/>
      <c r="V9" s="7"/>
      <c r="W9" s="7"/>
      <c r="X9" s="7"/>
      <c r="Y9" s="7"/>
      <c r="Z9" s="7"/>
    </row>
    <row r="10" spans="1:26" ht="15.75" customHeight="1" thickBot="1" x14ac:dyDescent="0.35">
      <c r="A10" s="11"/>
      <c r="B10" s="150">
        <v>0</v>
      </c>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thickBot="1" x14ac:dyDescent="0.35">
      <c r="A11" s="11"/>
      <c r="B11" s="62"/>
      <c r="C11" s="150">
        <v>0</v>
      </c>
      <c r="D11" s="7"/>
      <c r="E11" s="7"/>
      <c r="F11" s="7"/>
      <c r="G11" s="7"/>
      <c r="H11" s="7"/>
      <c r="I11" s="7"/>
      <c r="J11" s="7"/>
      <c r="K11" s="7"/>
      <c r="L11" s="7"/>
      <c r="M11" s="7"/>
      <c r="N11" s="7"/>
      <c r="O11" s="7"/>
      <c r="P11" s="7"/>
      <c r="Q11" s="7"/>
      <c r="R11" s="7"/>
      <c r="S11" s="7"/>
      <c r="T11" s="7"/>
      <c r="U11" s="7"/>
      <c r="V11" s="7"/>
      <c r="W11" s="7"/>
      <c r="X11" s="7"/>
      <c r="Y11" s="7"/>
      <c r="Z11" s="7"/>
    </row>
    <row r="12" spans="1:26" ht="15.75" customHeight="1" x14ac:dyDescent="0.3">
      <c r="A12" s="13"/>
      <c r="B12" s="7"/>
      <c r="C12" s="62" t="s">
        <v>9</v>
      </c>
      <c r="D12" s="7"/>
      <c r="E12" s="7"/>
      <c r="F12" s="7"/>
      <c r="G12" s="7"/>
      <c r="H12" s="7"/>
      <c r="I12" s="7"/>
      <c r="J12" s="7"/>
      <c r="K12" s="7"/>
      <c r="L12" s="7"/>
      <c r="M12" s="7"/>
      <c r="N12" s="7"/>
      <c r="O12" s="7"/>
      <c r="P12" s="7"/>
      <c r="Q12" s="7"/>
      <c r="R12" s="7"/>
      <c r="S12" s="7"/>
      <c r="T12" s="7"/>
      <c r="U12" s="7"/>
      <c r="V12" s="7"/>
      <c r="W12" s="7"/>
      <c r="X12" s="7"/>
      <c r="Y12" s="7"/>
      <c r="Z12" s="7"/>
    </row>
    <row r="13" spans="1:26" ht="15.75" customHeight="1" x14ac:dyDescent="0.3">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3">
      <c r="A14" s="144" t="s">
        <v>17</v>
      </c>
      <c r="B14" s="151" t="s">
        <v>18</v>
      </c>
      <c r="C14" s="144" t="s">
        <v>19</v>
      </c>
      <c r="D14" s="144" t="s">
        <v>20</v>
      </c>
      <c r="E14" s="144" t="s">
        <v>21</v>
      </c>
      <c r="F14" s="144" t="s">
        <v>22</v>
      </c>
      <c r="G14" s="7"/>
      <c r="H14" s="7"/>
      <c r="I14" s="7"/>
      <c r="J14" s="7"/>
      <c r="K14" s="7"/>
      <c r="L14" s="7"/>
      <c r="M14" s="7"/>
      <c r="N14" s="7"/>
      <c r="O14" s="7"/>
      <c r="P14" s="7"/>
      <c r="Q14" s="7"/>
      <c r="R14" s="7"/>
      <c r="S14" s="7"/>
      <c r="T14" s="7"/>
      <c r="U14" s="7"/>
      <c r="V14" s="7"/>
      <c r="W14" s="7"/>
      <c r="X14" s="7"/>
      <c r="Y14" s="7"/>
      <c r="Z14" s="7"/>
    </row>
    <row r="15" spans="1:26" ht="15.75" customHeight="1" thickBot="1" x14ac:dyDescent="0.35">
      <c r="A15" s="15" t="s">
        <v>23</v>
      </c>
      <c r="B15" s="167">
        <v>8554.41</v>
      </c>
      <c r="C15" s="167">
        <v>43554.41</v>
      </c>
      <c r="D15" s="168" t="s">
        <v>24</v>
      </c>
      <c r="E15" s="155"/>
      <c r="F15" s="156" t="s">
        <v>726</v>
      </c>
      <c r="G15" s="7"/>
      <c r="H15" s="7"/>
      <c r="I15" s="7"/>
      <c r="J15" s="7"/>
      <c r="K15" s="7"/>
      <c r="L15" s="7"/>
      <c r="M15" s="7"/>
      <c r="N15" s="7"/>
      <c r="O15" s="7"/>
      <c r="P15" s="7"/>
      <c r="Q15" s="7"/>
      <c r="R15" s="7"/>
      <c r="S15" s="7"/>
      <c r="T15" s="7"/>
      <c r="U15" s="7"/>
      <c r="V15" s="7"/>
      <c r="W15" s="7"/>
      <c r="X15" s="7"/>
      <c r="Y15" s="7"/>
      <c r="Z15" s="7"/>
    </row>
    <row r="16" spans="1:26" ht="15.75" customHeight="1" thickBot="1" x14ac:dyDescent="0.35">
      <c r="A16" s="15" t="s">
        <v>25</v>
      </c>
      <c r="B16" s="152">
        <v>0</v>
      </c>
      <c r="C16" s="152">
        <v>15768.25</v>
      </c>
      <c r="D16" s="169" t="s">
        <v>24</v>
      </c>
      <c r="E16" s="157"/>
      <c r="F16" s="158" t="s">
        <v>727</v>
      </c>
      <c r="G16" s="7"/>
      <c r="H16" s="7"/>
      <c r="I16" s="7"/>
      <c r="J16" s="7"/>
      <c r="K16" s="7"/>
      <c r="L16" s="7"/>
      <c r="M16" s="7"/>
      <c r="N16" s="7"/>
      <c r="O16" s="7"/>
      <c r="P16" s="7"/>
      <c r="Q16" s="7"/>
      <c r="R16" s="7"/>
      <c r="S16" s="7"/>
      <c r="T16" s="7"/>
      <c r="U16" s="7"/>
      <c r="V16" s="7"/>
      <c r="W16" s="7"/>
      <c r="X16" s="7"/>
      <c r="Y16" s="7"/>
      <c r="Z16" s="7"/>
    </row>
    <row r="17" spans="1:26" ht="15.75" customHeight="1" thickBot="1" x14ac:dyDescent="0.35">
      <c r="A17" s="15" t="s">
        <v>26</v>
      </c>
      <c r="B17" s="152">
        <v>8534.52</v>
      </c>
      <c r="C17" s="152">
        <v>34138.080000000002</v>
      </c>
      <c r="D17" s="169" t="s">
        <v>24</v>
      </c>
      <c r="E17" s="157"/>
      <c r="F17" s="158" t="s">
        <v>728</v>
      </c>
      <c r="G17" s="7"/>
      <c r="H17" s="7"/>
      <c r="I17" s="7"/>
      <c r="J17" s="7"/>
      <c r="K17" s="7"/>
      <c r="L17" s="7"/>
      <c r="M17" s="7"/>
      <c r="N17" s="7"/>
      <c r="O17" s="7"/>
      <c r="P17" s="7"/>
      <c r="Q17" s="7"/>
      <c r="R17" s="7"/>
      <c r="S17" s="7"/>
      <c r="T17" s="7"/>
      <c r="U17" s="7"/>
      <c r="V17" s="7"/>
      <c r="W17" s="7"/>
      <c r="X17" s="7"/>
      <c r="Y17" s="7"/>
      <c r="Z17" s="7"/>
    </row>
    <row r="18" spans="1:26" ht="15.75" customHeight="1" thickBot="1" x14ac:dyDescent="0.35">
      <c r="A18" s="15" t="s">
        <v>27</v>
      </c>
      <c r="B18" s="150">
        <v>0</v>
      </c>
      <c r="C18" s="150">
        <v>0</v>
      </c>
      <c r="D18" s="157"/>
      <c r="E18" s="157"/>
      <c r="F18" s="159"/>
      <c r="G18" s="7"/>
      <c r="H18" s="7"/>
      <c r="I18" s="7"/>
      <c r="J18" s="7"/>
      <c r="K18" s="7"/>
      <c r="L18" s="7"/>
      <c r="M18" s="7"/>
      <c r="N18" s="7"/>
      <c r="O18" s="7"/>
      <c r="P18" s="7"/>
      <c r="Q18" s="7"/>
      <c r="R18" s="7"/>
      <c r="S18" s="7"/>
      <c r="T18" s="7"/>
      <c r="U18" s="7"/>
      <c r="V18" s="7"/>
      <c r="W18" s="7"/>
      <c r="X18" s="7"/>
      <c r="Y18" s="7"/>
      <c r="Z18" s="7"/>
    </row>
    <row r="19" spans="1:26" ht="15.75" customHeight="1" thickBot="1" x14ac:dyDescent="0.35">
      <c r="A19" s="15" t="s">
        <v>28</v>
      </c>
      <c r="B19" s="150">
        <v>0</v>
      </c>
      <c r="C19" s="150">
        <v>0</v>
      </c>
      <c r="D19" s="157"/>
      <c r="E19" s="157"/>
      <c r="F19" s="159"/>
      <c r="G19" s="7"/>
      <c r="H19" s="7"/>
      <c r="I19" s="7"/>
      <c r="J19" s="7"/>
      <c r="K19" s="7"/>
      <c r="L19" s="7"/>
      <c r="M19" s="7"/>
      <c r="N19" s="7"/>
      <c r="O19" s="7"/>
      <c r="P19" s="7"/>
      <c r="Q19" s="7"/>
      <c r="R19" s="7"/>
      <c r="S19" s="7"/>
      <c r="T19" s="7"/>
      <c r="U19" s="7"/>
      <c r="V19" s="7"/>
      <c r="W19" s="7"/>
      <c r="X19" s="7"/>
      <c r="Y19" s="7"/>
      <c r="Z19" s="7"/>
    </row>
    <row r="20" spans="1:26" ht="15.75" customHeight="1" thickBot="1" x14ac:dyDescent="0.35">
      <c r="A20" s="15" t="s">
        <v>29</v>
      </c>
      <c r="B20" s="150">
        <v>0</v>
      </c>
      <c r="C20" s="150">
        <v>0</v>
      </c>
      <c r="D20" s="157"/>
      <c r="E20" s="157"/>
      <c r="F20" s="159"/>
      <c r="G20" s="7"/>
      <c r="H20" s="7"/>
      <c r="I20" s="7"/>
      <c r="J20" s="7"/>
      <c r="K20" s="7"/>
      <c r="L20" s="7"/>
      <c r="M20" s="7"/>
      <c r="N20" s="7"/>
      <c r="O20" s="7"/>
      <c r="P20" s="7"/>
      <c r="Q20" s="7"/>
      <c r="R20" s="7"/>
      <c r="S20" s="7"/>
      <c r="T20" s="7"/>
      <c r="U20" s="7"/>
      <c r="V20" s="7"/>
      <c r="W20" s="7"/>
      <c r="X20" s="7"/>
      <c r="Y20" s="7"/>
      <c r="Z20" s="7"/>
    </row>
    <row r="21" spans="1:26" ht="15.75" customHeight="1" thickBot="1" x14ac:dyDescent="0.35">
      <c r="A21" s="15" t="s">
        <v>30</v>
      </c>
      <c r="B21" s="152">
        <v>6529.92</v>
      </c>
      <c r="C21" s="152">
        <v>6529.92</v>
      </c>
      <c r="D21" s="157"/>
      <c r="E21" s="157"/>
      <c r="F21" s="159"/>
      <c r="G21" s="7"/>
      <c r="H21" s="7"/>
      <c r="I21" s="7"/>
      <c r="J21" s="7"/>
      <c r="K21" s="7"/>
      <c r="L21" s="7"/>
      <c r="M21" s="7"/>
      <c r="N21" s="7"/>
      <c r="O21" s="7"/>
      <c r="P21" s="7"/>
      <c r="Q21" s="7"/>
      <c r="R21" s="7"/>
      <c r="S21" s="7"/>
      <c r="T21" s="7"/>
      <c r="U21" s="7"/>
      <c r="V21" s="7"/>
      <c r="W21" s="7"/>
      <c r="X21" s="7"/>
      <c r="Y21" s="7"/>
      <c r="Z21" s="7"/>
    </row>
    <row r="22" spans="1:26" ht="15.75" customHeight="1" thickBot="1" x14ac:dyDescent="0.35">
      <c r="A22" s="11"/>
      <c r="B22" s="150">
        <v>0</v>
      </c>
      <c r="C22" s="150">
        <v>0</v>
      </c>
      <c r="D22" s="157"/>
      <c r="E22" s="157"/>
      <c r="F22" s="159"/>
      <c r="G22" s="7"/>
      <c r="H22" s="7"/>
      <c r="I22" s="7"/>
      <c r="J22" s="7"/>
      <c r="K22" s="7"/>
      <c r="L22" s="7"/>
      <c r="M22" s="7"/>
      <c r="N22" s="7"/>
      <c r="O22" s="7"/>
      <c r="P22" s="7"/>
      <c r="Q22" s="7"/>
      <c r="R22" s="7"/>
      <c r="S22" s="7"/>
      <c r="T22" s="7"/>
      <c r="U22" s="7"/>
      <c r="V22" s="7"/>
      <c r="W22" s="7"/>
      <c r="X22" s="7"/>
      <c r="Y22" s="7"/>
      <c r="Z22" s="7"/>
    </row>
    <row r="23" spans="1:26" ht="15.75" customHeight="1" thickBot="1" x14ac:dyDescent="0.35">
      <c r="A23" s="160" t="s">
        <v>729</v>
      </c>
      <c r="B23" s="152">
        <v>0</v>
      </c>
      <c r="C23" s="152">
        <v>18142.98</v>
      </c>
      <c r="D23" s="169" t="s">
        <v>10</v>
      </c>
      <c r="E23" s="157"/>
      <c r="F23" s="158" t="s">
        <v>730</v>
      </c>
      <c r="G23" s="7"/>
      <c r="H23" s="7"/>
      <c r="I23" s="7"/>
      <c r="J23" s="7"/>
      <c r="K23" s="7"/>
      <c r="L23" s="7"/>
      <c r="M23" s="7"/>
      <c r="N23" s="7"/>
      <c r="O23" s="7"/>
      <c r="P23" s="7"/>
      <c r="Q23" s="7"/>
      <c r="R23" s="7"/>
      <c r="S23" s="7"/>
      <c r="T23" s="7"/>
      <c r="U23" s="7"/>
      <c r="V23" s="7"/>
      <c r="W23" s="7"/>
      <c r="X23" s="7"/>
      <c r="Y23" s="7"/>
      <c r="Z23" s="7"/>
    </row>
    <row r="24" spans="1:26" ht="15.75" customHeight="1" thickBot="1" x14ac:dyDescent="0.35">
      <c r="A24" s="160" t="s">
        <v>731</v>
      </c>
      <c r="B24" s="152">
        <v>0</v>
      </c>
      <c r="C24" s="152">
        <v>13680</v>
      </c>
      <c r="D24" s="169" t="s">
        <v>24</v>
      </c>
      <c r="E24" s="157"/>
      <c r="F24" s="158" t="s">
        <v>732</v>
      </c>
      <c r="G24" s="7"/>
      <c r="H24" s="7"/>
      <c r="I24" s="7"/>
      <c r="J24" s="7"/>
      <c r="K24" s="7"/>
      <c r="L24" s="7"/>
      <c r="M24" s="7"/>
      <c r="N24" s="7"/>
      <c r="O24" s="7"/>
      <c r="P24" s="7"/>
      <c r="Q24" s="7"/>
      <c r="R24" s="7"/>
      <c r="S24" s="7"/>
      <c r="T24" s="7"/>
      <c r="U24" s="7"/>
      <c r="V24" s="7"/>
      <c r="W24" s="7"/>
      <c r="X24" s="7"/>
      <c r="Y24" s="7"/>
      <c r="Z24" s="7"/>
    </row>
    <row r="25" spans="1:26" ht="15.75" customHeight="1" thickBot="1" x14ac:dyDescent="0.35">
      <c r="A25" s="160" t="s">
        <v>733</v>
      </c>
      <c r="B25" s="152">
        <v>9450.1299999999992</v>
      </c>
      <c r="C25" s="152">
        <v>18064</v>
      </c>
      <c r="D25" s="169" t="s">
        <v>10</v>
      </c>
      <c r="E25" s="157"/>
      <c r="F25" s="158" t="s">
        <v>734</v>
      </c>
      <c r="G25" s="7"/>
      <c r="H25" s="7"/>
      <c r="I25" s="7"/>
      <c r="J25" s="7"/>
      <c r="K25" s="7"/>
      <c r="L25" s="7"/>
      <c r="M25" s="7"/>
      <c r="N25" s="7"/>
      <c r="O25" s="7"/>
      <c r="P25" s="7"/>
      <c r="Q25" s="7"/>
      <c r="R25" s="7"/>
      <c r="S25" s="7"/>
      <c r="T25" s="7"/>
      <c r="U25" s="7"/>
      <c r="V25" s="7"/>
      <c r="W25" s="7"/>
      <c r="X25" s="7"/>
      <c r="Y25" s="7"/>
      <c r="Z25" s="7"/>
    </row>
    <row r="26" spans="1:26" ht="15.75" customHeight="1" thickBot="1" x14ac:dyDescent="0.35">
      <c r="A26" s="160" t="s">
        <v>735</v>
      </c>
      <c r="B26" s="150">
        <v>0</v>
      </c>
      <c r="C26" s="152">
        <v>100230</v>
      </c>
      <c r="D26" s="169" t="s">
        <v>24</v>
      </c>
      <c r="E26" s="157"/>
      <c r="F26" s="158" t="s">
        <v>736</v>
      </c>
      <c r="G26" s="7"/>
      <c r="H26" s="7"/>
      <c r="I26" s="7"/>
      <c r="J26" s="7"/>
      <c r="K26" s="7"/>
      <c r="L26" s="7"/>
      <c r="M26" s="7"/>
      <c r="N26" s="7"/>
      <c r="O26" s="7"/>
      <c r="P26" s="7"/>
      <c r="Q26" s="7"/>
      <c r="R26" s="7"/>
      <c r="S26" s="7"/>
      <c r="T26" s="7"/>
      <c r="U26" s="7"/>
      <c r="V26" s="7"/>
      <c r="W26" s="7"/>
      <c r="X26" s="7"/>
      <c r="Y26" s="7"/>
      <c r="Z26" s="7"/>
    </row>
    <row r="27" spans="1:26" ht="15.75" customHeight="1" thickBot="1" x14ac:dyDescent="0.35">
      <c r="A27" s="161"/>
      <c r="B27" s="150">
        <v>0</v>
      </c>
      <c r="C27" s="150">
        <v>0</v>
      </c>
      <c r="D27" s="157"/>
      <c r="E27" s="157"/>
      <c r="F27" s="159"/>
      <c r="G27" s="7"/>
      <c r="H27" s="7"/>
      <c r="I27" s="7"/>
      <c r="J27" s="7"/>
      <c r="K27" s="7"/>
      <c r="L27" s="7"/>
      <c r="M27" s="7"/>
      <c r="N27" s="7"/>
      <c r="O27" s="7"/>
      <c r="P27" s="7"/>
      <c r="Q27" s="7"/>
      <c r="R27" s="7"/>
      <c r="S27" s="7"/>
      <c r="T27" s="7"/>
      <c r="U27" s="7"/>
      <c r="V27" s="7"/>
      <c r="W27" s="7"/>
      <c r="X27" s="7"/>
      <c r="Y27" s="7"/>
      <c r="Z27" s="7"/>
    </row>
    <row r="28" spans="1:26" ht="15.75" customHeight="1" thickBot="1" x14ac:dyDescent="0.35">
      <c r="A28" s="13" t="s">
        <v>32</v>
      </c>
      <c r="B28" s="162">
        <v>33068.979999999996</v>
      </c>
      <c r="C28" s="162">
        <v>250107.64</v>
      </c>
      <c r="D28" s="163"/>
      <c r="E28" s="163"/>
      <c r="F28" s="164"/>
      <c r="G28" s="7"/>
      <c r="H28" s="7"/>
      <c r="I28" s="7"/>
      <c r="J28" s="7"/>
      <c r="K28" s="7"/>
      <c r="L28" s="7"/>
      <c r="M28" s="7"/>
      <c r="N28" s="7"/>
      <c r="O28" s="7"/>
      <c r="P28" s="7"/>
      <c r="Q28" s="7"/>
      <c r="R28" s="7"/>
      <c r="S28" s="7"/>
      <c r="T28" s="7"/>
      <c r="U28" s="7"/>
      <c r="V28" s="7"/>
      <c r="W28" s="7"/>
      <c r="X28" s="7"/>
      <c r="Y28" s="7"/>
      <c r="Z28" s="7"/>
    </row>
    <row r="29" spans="1:26" ht="15.75" customHeight="1" x14ac:dyDescent="0.3">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3">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3">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3">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3">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3">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3">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3">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3">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3">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3">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3">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3">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3">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3">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3">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3">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3">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3">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3">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3">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3">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3">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3">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3">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3">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3">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3">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3">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3">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3">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3">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3">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3">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3">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3">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3">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3">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3">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3">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3">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3">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3">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3">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3">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3">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3">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3">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3">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3">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3">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3">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3">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3">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3">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3">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3">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3">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3">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3">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3">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3">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3">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3">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3">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3">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3">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D67C-C7AE-4FBC-BB23-4E22AF13DA18}">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17.6640625" style="7" customWidth="1"/>
    <col min="5" max="5" width="24.88671875" style="7" customWidth="1"/>
    <col min="6" max="6" width="28.33203125" style="7" customWidth="1"/>
    <col min="7" max="7" width="18.6640625" style="7" customWidth="1"/>
    <col min="8" max="8" width="14.109375" style="7" customWidth="1"/>
    <col min="9" max="16384" width="9.109375" style="7"/>
  </cols>
  <sheetData>
    <row r="1" spans="1:8" s="2" customFormat="1" ht="47.4" thickBot="1" x14ac:dyDescent="0.35">
      <c r="A1" s="1" t="s">
        <v>0</v>
      </c>
      <c r="B1" s="1" t="s">
        <v>41</v>
      </c>
      <c r="C1" s="1" t="s">
        <v>2</v>
      </c>
      <c r="D1" s="1" t="s">
        <v>3</v>
      </c>
      <c r="E1" s="1" t="s">
        <v>42</v>
      </c>
      <c r="F1" s="1" t="s">
        <v>5</v>
      </c>
      <c r="G1" s="1" t="s">
        <v>6</v>
      </c>
      <c r="H1" s="1" t="s">
        <v>43</v>
      </c>
    </row>
    <row r="2" spans="1:8" ht="47.4" thickBot="1" x14ac:dyDescent="0.35">
      <c r="A2" s="3" t="s">
        <v>44</v>
      </c>
      <c r="B2" s="27">
        <v>21974187</v>
      </c>
      <c r="C2" s="3" t="s">
        <v>45</v>
      </c>
      <c r="D2" s="28">
        <v>11175459</v>
      </c>
      <c r="E2" s="3" t="s">
        <v>46</v>
      </c>
      <c r="F2" s="6" t="s">
        <v>47</v>
      </c>
      <c r="G2" s="5" t="s">
        <v>48</v>
      </c>
      <c r="H2" s="28">
        <v>40000</v>
      </c>
    </row>
    <row r="4" spans="1:8" x14ac:dyDescent="0.3">
      <c r="A4" s="8" t="s">
        <v>11</v>
      </c>
    </row>
    <row r="6" spans="1:8" ht="16.2" thickBot="1" x14ac:dyDescent="0.35">
      <c r="A6" s="9" t="s">
        <v>49</v>
      </c>
      <c r="B6" s="10" t="s">
        <v>9</v>
      </c>
      <c r="E6" s="7" t="s">
        <v>50</v>
      </c>
    </row>
    <row r="7" spans="1:8" ht="16.2" thickBot="1" x14ac:dyDescent="0.35">
      <c r="A7" s="11" t="s">
        <v>51</v>
      </c>
      <c r="B7" s="12">
        <v>8100</v>
      </c>
      <c r="E7" s="7" t="s">
        <v>52</v>
      </c>
    </row>
    <row r="8" spans="1:8" ht="16.2" thickBot="1" x14ac:dyDescent="0.35">
      <c r="A8" s="11" t="s">
        <v>53</v>
      </c>
      <c r="B8" s="12">
        <v>31000</v>
      </c>
      <c r="E8" s="7" t="s">
        <v>54</v>
      </c>
    </row>
    <row r="9" spans="1:8" ht="16.2" thickBot="1" x14ac:dyDescent="0.35">
      <c r="A9" s="11" t="s">
        <v>55</v>
      </c>
      <c r="B9" s="12">
        <v>30059</v>
      </c>
      <c r="E9" s="7" t="s">
        <v>56</v>
      </c>
    </row>
    <row r="10" spans="1:8" ht="16.2" thickBot="1" x14ac:dyDescent="0.35">
      <c r="A10" s="11" t="s">
        <v>57</v>
      </c>
      <c r="B10" s="12">
        <v>0</v>
      </c>
    </row>
    <row r="11" spans="1:8" ht="16.2" thickBot="1" x14ac:dyDescent="0.35">
      <c r="A11" s="11"/>
      <c r="B11" s="12">
        <v>0</v>
      </c>
    </row>
    <row r="12" spans="1:8" ht="16.2" thickBot="1" x14ac:dyDescent="0.35">
      <c r="A12" s="761"/>
      <c r="B12" s="10"/>
      <c r="C12" s="12">
        <v>69159</v>
      </c>
    </row>
    <row r="13" spans="1:8" x14ac:dyDescent="0.3">
      <c r="A13" s="761"/>
      <c r="C13" s="10" t="s">
        <v>9</v>
      </c>
    </row>
    <row r="14" spans="1:8" x14ac:dyDescent="0.3">
      <c r="A14" s="762"/>
    </row>
    <row r="15" spans="1:8" ht="46.8" x14ac:dyDescent="0.3">
      <c r="A15" s="1" t="s">
        <v>17</v>
      </c>
      <c r="B15" s="14" t="s">
        <v>18</v>
      </c>
      <c r="C15" s="1" t="s">
        <v>19</v>
      </c>
      <c r="D15" s="1" t="s">
        <v>20</v>
      </c>
      <c r="E15" s="1" t="s">
        <v>21</v>
      </c>
      <c r="F15" s="1" t="s">
        <v>22</v>
      </c>
    </row>
    <row r="16" spans="1:8" ht="16.2" thickBot="1" x14ac:dyDescent="0.35">
      <c r="A16" s="15" t="s">
        <v>23</v>
      </c>
      <c r="B16" s="16">
        <v>3259</v>
      </c>
      <c r="C16" s="16">
        <v>6059</v>
      </c>
      <c r="D16" s="17" t="s">
        <v>24</v>
      </c>
      <c r="E16" s="17"/>
      <c r="F16" s="18" t="s">
        <v>58</v>
      </c>
    </row>
    <row r="17" spans="1:6" ht="16.2" thickBot="1" x14ac:dyDescent="0.35">
      <c r="A17" s="15" t="s">
        <v>25</v>
      </c>
      <c r="B17" s="12">
        <v>1092.3</v>
      </c>
      <c r="C17" s="12">
        <v>2592.3000000000002</v>
      </c>
      <c r="D17" s="19" t="s">
        <v>24</v>
      </c>
      <c r="E17" s="19"/>
      <c r="F17" s="20" t="s">
        <v>59</v>
      </c>
    </row>
    <row r="18" spans="1:6" ht="16.2" thickBot="1" x14ac:dyDescent="0.35">
      <c r="A18" s="15" t="s">
        <v>26</v>
      </c>
      <c r="B18" s="12">
        <v>500</v>
      </c>
      <c r="C18" s="12">
        <v>2000</v>
      </c>
      <c r="D18" s="19" t="s">
        <v>24</v>
      </c>
      <c r="E18" s="19"/>
      <c r="F18" s="20" t="s">
        <v>60</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2341.14</v>
      </c>
      <c r="C21" s="12">
        <v>7341.1399999999994</v>
      </c>
      <c r="D21" s="19" t="s">
        <v>10</v>
      </c>
      <c r="E21" s="19"/>
      <c r="F21" s="20" t="s">
        <v>61</v>
      </c>
    </row>
    <row r="22" spans="1:6" ht="16.2" thickBot="1" x14ac:dyDescent="0.35">
      <c r="A22" s="15" t="s">
        <v>30</v>
      </c>
      <c r="B22" s="12">
        <v>258.61</v>
      </c>
      <c r="C22" s="12">
        <v>758.61</v>
      </c>
      <c r="D22" s="19" t="s">
        <v>24</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7451.05</v>
      </c>
      <c r="C29" s="22">
        <v>18751.05</v>
      </c>
      <c r="D29" s="23"/>
      <c r="E29" s="23"/>
      <c r="F29" s="24"/>
    </row>
  </sheetData>
  <mergeCells count="1">
    <mergeCell ref="A12:A14"/>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0D28-27AC-4CB8-A6AE-DFAB8FAB3A37}">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2417</v>
      </c>
      <c r="B2" s="390">
        <v>0</v>
      </c>
      <c r="C2" s="389" t="s">
        <v>9</v>
      </c>
      <c r="D2" s="391">
        <v>2098501</v>
      </c>
      <c r="E2" s="389" t="s">
        <v>24</v>
      </c>
      <c r="F2" s="392"/>
      <c r="G2" s="391">
        <v>0</v>
      </c>
      <c r="H2" s="391">
        <v>0</v>
      </c>
    </row>
    <row r="4" spans="1:8" x14ac:dyDescent="0.3">
      <c r="A4" s="386" t="s">
        <v>11</v>
      </c>
    </row>
    <row r="6" spans="1:8" ht="16.2" thickBot="1" x14ac:dyDescent="0.35">
      <c r="A6" s="600" t="s">
        <v>12</v>
      </c>
      <c r="B6" s="10" t="s">
        <v>9</v>
      </c>
    </row>
    <row r="7" spans="1:8" ht="16.2" thickBot="1" x14ac:dyDescent="0.35">
      <c r="A7" s="599" t="s">
        <v>51</v>
      </c>
      <c r="B7" s="374">
        <v>0</v>
      </c>
    </row>
    <row r="8" spans="1:8" ht="16.2" thickBot="1" x14ac:dyDescent="0.35">
      <c r="A8" s="599" t="s">
        <v>53</v>
      </c>
      <c r="B8" s="374">
        <v>0</v>
      </c>
    </row>
    <row r="9" spans="1:8" ht="16.2" thickBot="1" x14ac:dyDescent="0.35">
      <c r="A9" s="599" t="s">
        <v>55</v>
      </c>
      <c r="B9" s="374">
        <v>0</v>
      </c>
    </row>
    <row r="10" spans="1:8" ht="16.2" thickBot="1" x14ac:dyDescent="0.35">
      <c r="A10" s="599" t="s">
        <v>57</v>
      </c>
      <c r="B10" s="374">
        <v>0</v>
      </c>
    </row>
    <row r="11" spans="1:8" ht="16.2" thickBot="1" x14ac:dyDescent="0.35">
      <c r="A11" s="599"/>
      <c r="B11" s="374">
        <v>0</v>
      </c>
    </row>
    <row r="12" spans="1:8" ht="16.2" thickBot="1" x14ac:dyDescent="0.35">
      <c r="A12" s="599"/>
      <c r="B12" s="10"/>
      <c r="C12" s="374">
        <f>SUM(B7:B11)</f>
        <v>0</v>
      </c>
    </row>
    <row r="13" spans="1:8" x14ac:dyDescent="0.3">
      <c r="A13" s="598"/>
      <c r="C13" s="10" t="s">
        <v>9</v>
      </c>
    </row>
    <row r="15" spans="1:8" ht="31.2" x14ac:dyDescent="0.3">
      <c r="A15" s="384" t="s">
        <v>17</v>
      </c>
      <c r="B15" s="385" t="s">
        <v>18</v>
      </c>
      <c r="C15" s="384" t="s">
        <v>19</v>
      </c>
      <c r="D15" s="384" t="s">
        <v>20</v>
      </c>
      <c r="E15" s="384" t="s">
        <v>21</v>
      </c>
      <c r="F15" s="384" t="s">
        <v>22</v>
      </c>
    </row>
    <row r="16" spans="1:8" ht="16.2" thickBot="1" x14ac:dyDescent="0.35">
      <c r="A16" s="597" t="s">
        <v>23</v>
      </c>
      <c r="B16" s="382">
        <v>1200</v>
      </c>
      <c r="C16" s="382">
        <v>2500</v>
      </c>
      <c r="D16" s="359" t="s">
        <v>24</v>
      </c>
      <c r="E16" s="359"/>
      <c r="F16" s="383" t="s">
        <v>2418</v>
      </c>
    </row>
    <row r="17" spans="1:6" ht="16.2" thickBot="1" x14ac:dyDescent="0.35">
      <c r="A17" s="597" t="s">
        <v>25</v>
      </c>
      <c r="B17" s="374">
        <v>0</v>
      </c>
      <c r="C17" s="374">
        <v>3500</v>
      </c>
      <c r="D17" s="387" t="s">
        <v>24</v>
      </c>
      <c r="E17" s="387"/>
      <c r="F17" s="377" t="s">
        <v>2419</v>
      </c>
    </row>
    <row r="18" spans="1:6" ht="16.2" thickBot="1" x14ac:dyDescent="0.35">
      <c r="A18" s="597" t="s">
        <v>26</v>
      </c>
      <c r="B18" s="374">
        <v>0</v>
      </c>
      <c r="C18" s="374">
        <v>0</v>
      </c>
      <c r="D18" s="387"/>
      <c r="E18" s="387"/>
      <c r="F18" s="377"/>
    </row>
    <row r="19" spans="1:6" ht="16.2" thickBot="1" x14ac:dyDescent="0.35">
      <c r="A19" s="597" t="s">
        <v>27</v>
      </c>
      <c r="B19" s="374">
        <v>0</v>
      </c>
      <c r="C19" s="374">
        <v>0</v>
      </c>
      <c r="D19" s="387"/>
      <c r="E19" s="387"/>
      <c r="F19" s="377"/>
    </row>
    <row r="20" spans="1:6" ht="16.2" thickBot="1" x14ac:dyDescent="0.35">
      <c r="A20" s="597" t="s">
        <v>28</v>
      </c>
      <c r="B20" s="374">
        <v>0</v>
      </c>
      <c r="C20" s="374">
        <v>0</v>
      </c>
      <c r="D20" s="387"/>
      <c r="E20" s="387"/>
      <c r="F20" s="377"/>
    </row>
    <row r="21" spans="1:6" ht="16.2" thickBot="1" x14ac:dyDescent="0.35">
      <c r="A21" s="597" t="s">
        <v>29</v>
      </c>
      <c r="B21" s="374">
        <v>0</v>
      </c>
      <c r="C21" s="374">
        <v>0</v>
      </c>
      <c r="D21" s="387"/>
      <c r="E21" s="387"/>
      <c r="F21" s="377"/>
    </row>
    <row r="22" spans="1:6" ht="16.2" thickBot="1" x14ac:dyDescent="0.35">
      <c r="A22" s="597" t="s">
        <v>30</v>
      </c>
      <c r="B22" s="374">
        <v>200</v>
      </c>
      <c r="C22" s="374">
        <v>150</v>
      </c>
      <c r="D22" s="387" t="s">
        <v>24</v>
      </c>
      <c r="E22" s="387"/>
      <c r="F22" s="377" t="s">
        <v>2420</v>
      </c>
    </row>
    <row r="23" spans="1:6" ht="16.2" thickBot="1" x14ac:dyDescent="0.35">
      <c r="A23" s="599"/>
      <c r="B23" s="374">
        <v>0</v>
      </c>
      <c r="C23" s="374">
        <v>0</v>
      </c>
      <c r="D23" s="387"/>
      <c r="E23" s="387"/>
      <c r="F23" s="377"/>
    </row>
    <row r="24" spans="1:6" ht="16.2" thickBot="1" x14ac:dyDescent="0.35">
      <c r="A24" s="599"/>
      <c r="B24" s="374">
        <v>0</v>
      </c>
      <c r="C24" s="374">
        <v>0</v>
      </c>
      <c r="D24" s="387"/>
      <c r="E24" s="387"/>
      <c r="F24" s="377"/>
    </row>
    <row r="25" spans="1:6" ht="16.2" thickBot="1" x14ac:dyDescent="0.35">
      <c r="A25" s="599"/>
      <c r="B25" s="374">
        <v>0</v>
      </c>
      <c r="C25" s="374">
        <v>0</v>
      </c>
      <c r="D25" s="387"/>
      <c r="E25" s="387"/>
      <c r="F25" s="377"/>
    </row>
    <row r="26" spans="1:6" ht="16.2" thickBot="1" x14ac:dyDescent="0.35">
      <c r="A26" s="599"/>
      <c r="B26" s="374">
        <v>0</v>
      </c>
      <c r="C26" s="374">
        <v>0</v>
      </c>
      <c r="D26" s="387"/>
      <c r="E26" s="387"/>
      <c r="F26" s="377"/>
    </row>
    <row r="27" spans="1:6" ht="16.2" thickBot="1" x14ac:dyDescent="0.35">
      <c r="A27" s="599"/>
      <c r="B27" s="374">
        <v>0</v>
      </c>
      <c r="C27" s="374">
        <v>0</v>
      </c>
      <c r="D27" s="387"/>
      <c r="E27" s="387"/>
      <c r="F27" s="377"/>
    </row>
    <row r="28" spans="1:6" ht="16.2" thickBot="1" x14ac:dyDescent="0.35">
      <c r="A28" s="378"/>
      <c r="B28" s="374">
        <v>0</v>
      </c>
      <c r="C28" s="374">
        <v>0</v>
      </c>
      <c r="D28" s="387"/>
      <c r="E28" s="387"/>
      <c r="F28" s="377"/>
    </row>
    <row r="29" spans="1:6" ht="16.2" thickBot="1" x14ac:dyDescent="0.35">
      <c r="A29" s="598" t="s">
        <v>32</v>
      </c>
      <c r="B29" s="379">
        <f>SUM(B16:B28)</f>
        <v>1400</v>
      </c>
      <c r="C29" s="379">
        <f>SUM(C16:C28)</f>
        <v>6150</v>
      </c>
      <c r="D29" s="388"/>
      <c r="E29" s="388"/>
      <c r="F29" s="380"/>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006F7-E54C-436C-9A2A-F5096F97AC81}">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32.88671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737</v>
      </c>
      <c r="B2" s="4">
        <v>63000</v>
      </c>
      <c r="C2" s="3" t="s">
        <v>738</v>
      </c>
      <c r="D2" s="5">
        <v>5126022</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0</v>
      </c>
      <c r="D15" s="17"/>
      <c r="E15" s="17"/>
      <c r="F15" s="18"/>
    </row>
    <row r="16" spans="1:8" ht="16.2" thickBot="1" x14ac:dyDescent="0.35">
      <c r="A16" s="15" t="s">
        <v>25</v>
      </c>
      <c r="B16" s="12">
        <v>0</v>
      </c>
      <c r="C16" s="12">
        <v>0</v>
      </c>
      <c r="D16" s="19"/>
      <c r="E16" s="19"/>
      <c r="F16" s="20"/>
    </row>
    <row r="17" spans="1:6" ht="31.8" thickBot="1" x14ac:dyDescent="0.35">
      <c r="A17" s="15" t="s">
        <v>26</v>
      </c>
      <c r="B17" s="12">
        <v>12209</v>
      </c>
      <c r="C17" s="12">
        <v>21665</v>
      </c>
      <c r="D17" s="19"/>
      <c r="E17" s="19"/>
      <c r="F17" s="33" t="s">
        <v>739</v>
      </c>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0</v>
      </c>
      <c r="C21" s="12">
        <v>2101</v>
      </c>
      <c r="D21" s="19"/>
      <c r="E21" s="19"/>
      <c r="F21" s="20"/>
    </row>
    <row r="22" spans="1:6" ht="16.2" thickBot="1" x14ac:dyDescent="0.35">
      <c r="A22" s="11" t="s">
        <v>740</v>
      </c>
      <c r="B22" s="12">
        <v>0</v>
      </c>
      <c r="C22" s="12">
        <v>1650</v>
      </c>
      <c r="D22" s="19"/>
      <c r="E22" s="19"/>
      <c r="F22" s="20"/>
    </row>
    <row r="23" spans="1:6" ht="16.2" thickBot="1" x14ac:dyDescent="0.35">
      <c r="A23" s="15" t="s">
        <v>741</v>
      </c>
      <c r="B23" s="12">
        <v>0</v>
      </c>
      <c r="C23" s="12">
        <v>20132</v>
      </c>
      <c r="D23" s="19"/>
      <c r="E23" s="19"/>
      <c r="F23" s="20"/>
    </row>
    <row r="24" spans="1:6" ht="16.2" thickBot="1" x14ac:dyDescent="0.35">
      <c r="A24" s="15" t="s">
        <v>553</v>
      </c>
      <c r="B24" s="12">
        <v>0</v>
      </c>
      <c r="C24" s="12">
        <v>2500</v>
      </c>
      <c r="D24" s="19"/>
      <c r="E24" s="19"/>
      <c r="F24" s="20" t="s">
        <v>742</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12209</v>
      </c>
      <c r="C28" s="22">
        <v>48048</v>
      </c>
      <c r="D28" s="23"/>
      <c r="E28" s="23"/>
      <c r="F28" s="24"/>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E4956-90E3-4F16-B504-AC5410CCE683}">
  <dimension ref="A1:H40"/>
  <sheetViews>
    <sheetView topLeftCell="A19" workbookViewId="0">
      <selection activeCell="E11" sqref="E11:J11"/>
    </sheetView>
  </sheetViews>
  <sheetFormatPr defaultColWidth="9.109375" defaultRowHeight="15.6" x14ac:dyDescent="0.3"/>
  <cols>
    <col min="1" max="1" width="43.44140625" style="7" customWidth="1"/>
    <col min="2" max="2" width="19.33203125" style="7" customWidth="1"/>
    <col min="3" max="3" width="25.88671875" style="7" customWidth="1"/>
    <col min="4" max="4" width="24.5546875" style="7" customWidth="1"/>
    <col min="5" max="5" width="28.5546875" style="7" customWidth="1"/>
    <col min="6" max="6" width="16.5546875" style="7" customWidth="1"/>
    <col min="7" max="7" width="13.6640625" style="7" customWidth="1"/>
    <col min="8" max="8" width="15.332031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279</v>
      </c>
      <c r="B2" s="4">
        <v>1027928.41</v>
      </c>
      <c r="C2" s="3" t="s">
        <v>743</v>
      </c>
      <c r="D2" s="5">
        <v>6000000</v>
      </c>
      <c r="E2" s="3" t="s">
        <v>24</v>
      </c>
      <c r="F2" s="6" t="s">
        <v>744</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1027928.41</v>
      </c>
    </row>
    <row r="9" spans="1:8" ht="16.2" thickBot="1" x14ac:dyDescent="0.35">
      <c r="A9" s="11" t="s">
        <v>55</v>
      </c>
      <c r="B9" s="12">
        <v>0</v>
      </c>
    </row>
    <row r="10" spans="1:8" ht="16.2" thickBot="1" x14ac:dyDescent="0.35">
      <c r="A10" s="11" t="s">
        <v>57</v>
      </c>
      <c r="B10" s="12">
        <v>57198.15</v>
      </c>
    </row>
    <row r="11" spans="1:8" ht="16.2" thickBot="1" x14ac:dyDescent="0.35">
      <c r="A11" s="11"/>
      <c r="B11" s="12">
        <v>0</v>
      </c>
    </row>
    <row r="12" spans="1:8" ht="16.2" thickBot="1" x14ac:dyDescent="0.35">
      <c r="A12" s="11"/>
      <c r="B12" s="10"/>
      <c r="C12" s="12">
        <v>1085126.56</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0</v>
      </c>
      <c r="C16" s="16">
        <v>0</v>
      </c>
      <c r="D16" s="29" t="s">
        <v>10</v>
      </c>
      <c r="E16" s="29" t="s">
        <v>745</v>
      </c>
      <c r="F16" s="18"/>
    </row>
    <row r="17" spans="1:6" ht="16.2" thickBot="1" x14ac:dyDescent="0.35">
      <c r="A17" s="15" t="s">
        <v>25</v>
      </c>
      <c r="B17" s="12">
        <v>1100</v>
      </c>
      <c r="C17" s="12">
        <v>1000</v>
      </c>
      <c r="D17" s="29" t="s">
        <v>10</v>
      </c>
      <c r="E17" s="29" t="s">
        <v>745</v>
      </c>
      <c r="F17" s="20"/>
    </row>
    <row r="18" spans="1:6" ht="16.2" thickBot="1" x14ac:dyDescent="0.35">
      <c r="A18" s="15" t="s">
        <v>26</v>
      </c>
      <c r="B18" s="12">
        <v>0</v>
      </c>
      <c r="C18" s="12">
        <v>2500</v>
      </c>
      <c r="D18" s="29" t="s">
        <v>10</v>
      </c>
      <c r="E18" s="29" t="s">
        <v>745</v>
      </c>
      <c r="F18" s="20"/>
    </row>
    <row r="19" spans="1:6" ht="16.2" thickBot="1" x14ac:dyDescent="0.35">
      <c r="A19" s="15" t="s">
        <v>27</v>
      </c>
      <c r="B19" s="12">
        <v>0</v>
      </c>
      <c r="C19" s="12">
        <v>0</v>
      </c>
      <c r="D19" s="29" t="s">
        <v>10</v>
      </c>
      <c r="E19" s="29" t="s">
        <v>745</v>
      </c>
      <c r="F19" s="20"/>
    </row>
    <row r="20" spans="1:6" ht="16.2" thickBot="1" x14ac:dyDescent="0.35">
      <c r="A20" s="15" t="s">
        <v>28</v>
      </c>
      <c r="B20" s="12">
        <v>0</v>
      </c>
      <c r="C20" s="12">
        <v>0</v>
      </c>
      <c r="D20" s="29" t="s">
        <v>10</v>
      </c>
      <c r="E20" s="29" t="s">
        <v>745</v>
      </c>
      <c r="F20" s="20"/>
    </row>
    <row r="21" spans="1:6" ht="16.2" thickBot="1" x14ac:dyDescent="0.35">
      <c r="A21" s="15" t="s">
        <v>29</v>
      </c>
      <c r="B21" s="12">
        <v>0</v>
      </c>
      <c r="C21" s="12">
        <v>8192.14</v>
      </c>
      <c r="D21" s="29" t="s">
        <v>10</v>
      </c>
      <c r="E21" s="29" t="s">
        <v>745</v>
      </c>
      <c r="F21" s="20"/>
    </row>
    <row r="22" spans="1:6" ht="16.2" thickBot="1" x14ac:dyDescent="0.35">
      <c r="A22" s="15" t="s">
        <v>30</v>
      </c>
      <c r="B22" s="12">
        <v>152</v>
      </c>
      <c r="C22" s="12">
        <v>152</v>
      </c>
      <c r="D22" s="29" t="s">
        <v>10</v>
      </c>
      <c r="E22" s="29" t="s">
        <v>745</v>
      </c>
      <c r="F22" s="20"/>
    </row>
    <row r="23" spans="1:6" ht="16.2" thickBot="1" x14ac:dyDescent="0.35">
      <c r="A23" s="15" t="s">
        <v>658</v>
      </c>
      <c r="B23" s="12">
        <v>2565</v>
      </c>
      <c r="C23" s="12">
        <v>6000</v>
      </c>
      <c r="D23" s="29" t="s">
        <v>10</v>
      </c>
      <c r="E23" s="29" t="s">
        <v>745</v>
      </c>
      <c r="F23" s="20"/>
    </row>
    <row r="24" spans="1:6" ht="16.2" thickBot="1" x14ac:dyDescent="0.35">
      <c r="A24" s="15" t="s">
        <v>746</v>
      </c>
      <c r="B24" s="12">
        <v>0</v>
      </c>
      <c r="C24" s="12">
        <v>156000</v>
      </c>
      <c r="D24" s="29" t="s">
        <v>10</v>
      </c>
      <c r="E24" s="29" t="s">
        <v>745</v>
      </c>
      <c r="F24" s="20"/>
    </row>
    <row r="25" spans="1:6" ht="16.2" thickBot="1" x14ac:dyDescent="0.35">
      <c r="A25" s="170" t="s">
        <v>747</v>
      </c>
      <c r="B25" s="12"/>
      <c r="C25" s="12"/>
      <c r="D25" s="19"/>
      <c r="E25" s="19"/>
      <c r="F25" s="20"/>
    </row>
    <row r="26" spans="1:6" ht="16.2" thickBot="1" x14ac:dyDescent="0.35">
      <c r="A26" s="15" t="s">
        <v>23</v>
      </c>
      <c r="B26" s="16">
        <v>0</v>
      </c>
      <c r="C26" s="16">
        <v>0</v>
      </c>
      <c r="D26" s="17"/>
      <c r="E26" s="17"/>
      <c r="F26" s="18"/>
    </row>
    <row r="27" spans="1:6" ht="16.2" thickBot="1" x14ac:dyDescent="0.35">
      <c r="A27" s="15" t="s">
        <v>25</v>
      </c>
      <c r="B27" s="12">
        <v>9340</v>
      </c>
      <c r="C27" s="12">
        <v>4500</v>
      </c>
      <c r="D27" s="19" t="s">
        <v>24</v>
      </c>
      <c r="E27" s="19"/>
      <c r="F27" s="20" t="s">
        <v>748</v>
      </c>
    </row>
    <row r="28" spans="1:6" ht="16.2" thickBot="1" x14ac:dyDescent="0.35">
      <c r="A28" s="15" t="s">
        <v>26</v>
      </c>
      <c r="B28" s="12">
        <v>34927</v>
      </c>
      <c r="C28" s="12">
        <v>43168</v>
      </c>
      <c r="D28" s="19" t="s">
        <v>24</v>
      </c>
      <c r="E28" s="19"/>
      <c r="F28" s="20" t="s">
        <v>749</v>
      </c>
    </row>
    <row r="29" spans="1:6" ht="16.2" thickBot="1" x14ac:dyDescent="0.35">
      <c r="A29" s="15" t="s">
        <v>27</v>
      </c>
      <c r="B29" s="12">
        <v>0</v>
      </c>
      <c r="C29" s="12">
        <v>0</v>
      </c>
      <c r="D29" s="19"/>
      <c r="E29" s="19"/>
      <c r="F29" s="20"/>
    </row>
    <row r="30" spans="1:6" ht="16.2" thickBot="1" x14ac:dyDescent="0.35">
      <c r="A30" s="15" t="s">
        <v>28</v>
      </c>
      <c r="B30" s="12">
        <v>0</v>
      </c>
      <c r="C30" s="12">
        <v>0</v>
      </c>
      <c r="D30" s="19"/>
      <c r="E30" s="19"/>
      <c r="F30" s="20"/>
    </row>
    <row r="31" spans="1:6" ht="16.2" thickBot="1" x14ac:dyDescent="0.35">
      <c r="A31" s="15" t="s">
        <v>29</v>
      </c>
      <c r="B31" s="12">
        <v>15540</v>
      </c>
      <c r="C31" s="12">
        <v>4500</v>
      </c>
      <c r="D31" s="19" t="s">
        <v>24</v>
      </c>
      <c r="E31" s="19"/>
      <c r="F31" s="20" t="s">
        <v>750</v>
      </c>
    </row>
    <row r="32" spans="1:6" ht="16.2" thickBot="1" x14ac:dyDescent="0.35">
      <c r="A32" s="15" t="s">
        <v>30</v>
      </c>
      <c r="B32" s="12">
        <v>1000</v>
      </c>
      <c r="C32" s="12">
        <v>0</v>
      </c>
      <c r="D32" s="19" t="s">
        <v>10</v>
      </c>
      <c r="E32" s="19"/>
      <c r="F32" s="20" t="s">
        <v>751</v>
      </c>
    </row>
    <row r="33" spans="1:6" ht="16.2" thickBot="1" x14ac:dyDescent="0.35">
      <c r="A33" s="11" t="s">
        <v>752</v>
      </c>
      <c r="B33" s="12">
        <v>57645</v>
      </c>
      <c r="C33" s="12">
        <v>12222</v>
      </c>
      <c r="D33" s="19" t="s">
        <v>24</v>
      </c>
      <c r="E33" s="19"/>
      <c r="F33" s="20" t="s">
        <v>753</v>
      </c>
    </row>
    <row r="34" spans="1:6" ht="16.2" thickBot="1" x14ac:dyDescent="0.35">
      <c r="A34" s="11"/>
      <c r="B34" s="12">
        <v>0</v>
      </c>
      <c r="C34" s="12">
        <v>0</v>
      </c>
      <c r="D34" s="19"/>
      <c r="E34" s="19"/>
      <c r="F34" s="20"/>
    </row>
    <row r="35" spans="1:6" ht="16.2" thickBot="1" x14ac:dyDescent="0.35">
      <c r="A35" s="11"/>
      <c r="B35" s="12">
        <v>0</v>
      </c>
      <c r="C35" s="12">
        <v>0</v>
      </c>
      <c r="D35" s="19"/>
      <c r="E35" s="19"/>
      <c r="F35" s="20"/>
    </row>
    <row r="36" spans="1:6" ht="16.2" thickBot="1" x14ac:dyDescent="0.35">
      <c r="A36" s="11"/>
      <c r="B36" s="12">
        <v>0</v>
      </c>
      <c r="C36" s="12">
        <v>0</v>
      </c>
      <c r="D36" s="19"/>
      <c r="E36" s="19"/>
      <c r="F36" s="20"/>
    </row>
    <row r="37" spans="1:6" ht="16.2" thickBot="1" x14ac:dyDescent="0.35">
      <c r="A37" s="11"/>
      <c r="B37" s="12">
        <v>0</v>
      </c>
      <c r="C37" s="12">
        <v>0</v>
      </c>
      <c r="D37" s="19"/>
      <c r="E37" s="19"/>
      <c r="F37" s="20"/>
    </row>
    <row r="38" spans="1:6" ht="16.2" thickBot="1" x14ac:dyDescent="0.35">
      <c r="A38" s="11"/>
      <c r="B38" s="12">
        <v>0</v>
      </c>
      <c r="C38" s="12">
        <v>0</v>
      </c>
      <c r="D38" s="19"/>
      <c r="E38" s="19"/>
      <c r="F38" s="20"/>
    </row>
    <row r="39" spans="1:6" ht="16.2" thickBot="1" x14ac:dyDescent="0.35">
      <c r="A39" s="21"/>
      <c r="B39" s="12">
        <v>0</v>
      </c>
      <c r="C39" s="12">
        <v>0</v>
      </c>
      <c r="D39" s="19"/>
      <c r="E39" s="19"/>
      <c r="F39" s="20"/>
    </row>
    <row r="40" spans="1:6" ht="16.2" thickBot="1" x14ac:dyDescent="0.35">
      <c r="A40" s="13" t="s">
        <v>32</v>
      </c>
      <c r="B40" s="22">
        <v>122269</v>
      </c>
      <c r="C40" s="22">
        <v>238234.14</v>
      </c>
      <c r="D40" s="23"/>
      <c r="E40" s="23"/>
      <c r="F40" s="24"/>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61061-EB4E-49A5-B9B6-7E60F8D571A8}">
  <dimension ref="A1:H27"/>
  <sheetViews>
    <sheetView topLeftCell="A7" workbookViewId="0">
      <selection activeCell="E11" sqref="E11:J11"/>
    </sheetView>
  </sheetViews>
  <sheetFormatPr defaultColWidth="9.109375" defaultRowHeight="13.8" x14ac:dyDescent="0.3"/>
  <cols>
    <col min="1" max="1" width="37.88671875" style="177" customWidth="1"/>
    <col min="2" max="2" width="17.33203125" style="177" customWidth="1"/>
    <col min="3" max="3" width="14.33203125" style="177" customWidth="1"/>
    <col min="4" max="4" width="13.109375" style="177" customWidth="1"/>
    <col min="5" max="5" width="16.5546875" style="177" customWidth="1"/>
    <col min="6" max="6" width="10.88671875" style="177" customWidth="1"/>
    <col min="7" max="8" width="12.44140625" style="177" bestFit="1" customWidth="1"/>
    <col min="9" max="16384" width="9.109375" style="177"/>
  </cols>
  <sheetData>
    <row r="1" spans="1:8" s="171" customFormat="1" ht="28.2" thickBot="1" x14ac:dyDescent="0.35">
      <c r="A1" s="107" t="s">
        <v>0</v>
      </c>
      <c r="B1" s="107" t="s">
        <v>1</v>
      </c>
      <c r="C1" s="107" t="s">
        <v>2</v>
      </c>
      <c r="D1" s="107" t="s">
        <v>3</v>
      </c>
      <c r="E1" s="107" t="s">
        <v>4</v>
      </c>
      <c r="F1" s="107" t="s">
        <v>5</v>
      </c>
      <c r="G1" s="107" t="s">
        <v>6</v>
      </c>
      <c r="H1" s="107" t="s">
        <v>7</v>
      </c>
    </row>
    <row r="2" spans="1:8" ht="18.600000000000001" thickBot="1" x14ac:dyDescent="0.35">
      <c r="A2" s="172" t="s">
        <v>280</v>
      </c>
      <c r="B2" s="173">
        <v>-64500</v>
      </c>
      <c r="C2" s="174" t="s">
        <v>754</v>
      </c>
      <c r="D2" s="175">
        <v>2715767</v>
      </c>
      <c r="E2" s="174" t="s">
        <v>10</v>
      </c>
      <c r="F2" s="176" t="s">
        <v>63</v>
      </c>
      <c r="G2" s="175">
        <v>-586069</v>
      </c>
      <c r="H2" s="175">
        <v>-586069</v>
      </c>
    </row>
    <row r="3" spans="1:8" x14ac:dyDescent="0.3">
      <c r="B3" s="177" t="s">
        <v>755</v>
      </c>
    </row>
    <row r="4" spans="1:8" x14ac:dyDescent="0.3">
      <c r="A4" s="178" t="s">
        <v>11</v>
      </c>
    </row>
    <row r="6" spans="1:8" ht="14.4" thickBot="1" x14ac:dyDescent="0.35">
      <c r="A6" s="179" t="s">
        <v>12</v>
      </c>
      <c r="B6" s="180" t="s">
        <v>9</v>
      </c>
    </row>
    <row r="7" spans="1:8" ht="14.4" thickBot="1" x14ac:dyDescent="0.35">
      <c r="A7" s="181" t="s">
        <v>51</v>
      </c>
      <c r="B7" s="182">
        <v>0</v>
      </c>
    </row>
    <row r="8" spans="1:8" ht="14.4" thickBot="1" x14ac:dyDescent="0.35">
      <c r="A8" s="181" t="s">
        <v>53</v>
      </c>
      <c r="B8" s="182">
        <v>0</v>
      </c>
    </row>
    <row r="9" spans="1:8" ht="14.4" thickBot="1" x14ac:dyDescent="0.35">
      <c r="A9" s="181" t="s">
        <v>55</v>
      </c>
      <c r="B9" s="182">
        <v>-2500</v>
      </c>
    </row>
    <row r="10" spans="1:8" ht="14.4" thickBot="1" x14ac:dyDescent="0.35">
      <c r="A10" s="181" t="s">
        <v>57</v>
      </c>
      <c r="B10" s="182">
        <v>-62000</v>
      </c>
    </row>
    <row r="11" spans="1:8" ht="14.4" thickBot="1" x14ac:dyDescent="0.35">
      <c r="A11" s="181"/>
      <c r="B11" s="182">
        <v>0</v>
      </c>
    </row>
    <row r="12" spans="1:8" ht="14.4" thickBot="1" x14ac:dyDescent="0.35">
      <c r="A12" s="183"/>
      <c r="B12" s="180"/>
      <c r="C12" s="182">
        <v>-64500</v>
      </c>
    </row>
    <row r="13" spans="1:8" x14ac:dyDescent="0.3">
      <c r="A13" s="184"/>
      <c r="C13" s="180" t="s">
        <v>9</v>
      </c>
    </row>
    <row r="15" spans="1:8" ht="41.4" x14ac:dyDescent="0.3">
      <c r="A15" s="107" t="s">
        <v>17</v>
      </c>
      <c r="B15" s="185" t="s">
        <v>18</v>
      </c>
      <c r="C15" s="107" t="s">
        <v>19</v>
      </c>
      <c r="D15" s="107" t="s">
        <v>20</v>
      </c>
      <c r="E15" s="107" t="s">
        <v>21</v>
      </c>
      <c r="F15" s="107" t="s">
        <v>22</v>
      </c>
    </row>
    <row r="16" spans="1:8" ht="14.4" thickBot="1" x14ac:dyDescent="0.35">
      <c r="A16" s="186" t="s">
        <v>23</v>
      </c>
      <c r="B16" s="187">
        <v>230</v>
      </c>
      <c r="C16" s="187">
        <v>730</v>
      </c>
      <c r="D16" s="188" t="s">
        <v>423</v>
      </c>
      <c r="E16" s="188" t="s">
        <v>79</v>
      </c>
      <c r="F16" s="189"/>
    </row>
    <row r="17" spans="1:6" ht="14.4" thickBot="1" x14ac:dyDescent="0.35">
      <c r="A17" s="186" t="s">
        <v>25</v>
      </c>
      <c r="B17" s="182">
        <v>264</v>
      </c>
      <c r="C17" s="182">
        <v>9264</v>
      </c>
      <c r="D17" s="188" t="s">
        <v>423</v>
      </c>
      <c r="E17" s="188" t="s">
        <v>79</v>
      </c>
      <c r="F17" s="189"/>
    </row>
    <row r="18" spans="1:6" ht="14.4" thickBot="1" x14ac:dyDescent="0.35">
      <c r="A18" s="186" t="s">
        <v>26</v>
      </c>
      <c r="B18" s="182">
        <v>0</v>
      </c>
      <c r="C18" s="182">
        <v>0</v>
      </c>
      <c r="D18" s="190"/>
      <c r="E18" s="190"/>
      <c r="F18" s="140"/>
    </row>
    <row r="19" spans="1:6" ht="14.4" thickBot="1" x14ac:dyDescent="0.35">
      <c r="A19" s="186" t="s">
        <v>27</v>
      </c>
      <c r="B19" s="182">
        <v>0</v>
      </c>
      <c r="C19" s="182">
        <v>0</v>
      </c>
      <c r="D19" s="190"/>
      <c r="E19" s="190"/>
      <c r="F19" s="140"/>
    </row>
    <row r="20" spans="1:6" ht="14.4" thickBot="1" x14ac:dyDescent="0.35">
      <c r="A20" s="186" t="s">
        <v>28</v>
      </c>
      <c r="B20" s="182">
        <v>0</v>
      </c>
      <c r="C20" s="182">
        <v>1000</v>
      </c>
      <c r="D20" s="188" t="s">
        <v>423</v>
      </c>
      <c r="E20" s="188" t="s">
        <v>79</v>
      </c>
      <c r="F20" s="140"/>
    </row>
    <row r="21" spans="1:6" ht="14.4" thickBot="1" x14ac:dyDescent="0.35">
      <c r="A21" s="186" t="s">
        <v>29</v>
      </c>
      <c r="B21" s="182">
        <v>0</v>
      </c>
      <c r="C21" s="182">
        <v>15900</v>
      </c>
      <c r="D21" s="188" t="s">
        <v>423</v>
      </c>
      <c r="E21" s="188" t="s">
        <v>79</v>
      </c>
      <c r="F21" s="140"/>
    </row>
    <row r="22" spans="1:6" ht="14.4" thickBot="1" x14ac:dyDescent="0.35">
      <c r="A22" s="186" t="s">
        <v>30</v>
      </c>
      <c r="B22" s="182">
        <v>778</v>
      </c>
      <c r="C22" s="182">
        <v>2378</v>
      </c>
      <c r="D22" s="188" t="s">
        <v>423</v>
      </c>
      <c r="E22" s="188" t="s">
        <v>79</v>
      </c>
      <c r="F22" s="189"/>
    </row>
    <row r="23" spans="1:6" ht="14.4" thickBot="1" x14ac:dyDescent="0.35">
      <c r="A23" s="186" t="s">
        <v>756</v>
      </c>
      <c r="B23" s="182">
        <v>600</v>
      </c>
      <c r="C23" s="182">
        <v>9700</v>
      </c>
      <c r="D23" s="188" t="s">
        <v>423</v>
      </c>
      <c r="E23" s="188" t="s">
        <v>79</v>
      </c>
      <c r="F23" s="140"/>
    </row>
    <row r="24" spans="1:6" ht="14.4" thickBot="1" x14ac:dyDescent="0.35">
      <c r="A24" s="181"/>
      <c r="B24" s="182">
        <v>0</v>
      </c>
      <c r="C24" s="182">
        <v>0</v>
      </c>
      <c r="D24" s="190"/>
      <c r="E24" s="190"/>
      <c r="F24" s="140"/>
    </row>
    <row r="25" spans="1:6" ht="14.4" thickBot="1" x14ac:dyDescent="0.35">
      <c r="A25" s="181"/>
      <c r="B25" s="182">
        <v>0</v>
      </c>
      <c r="C25" s="182">
        <v>0</v>
      </c>
      <c r="D25" s="190"/>
      <c r="E25" s="190"/>
      <c r="F25" s="140"/>
    </row>
    <row r="26" spans="1:6" ht="14.4" thickBot="1" x14ac:dyDescent="0.35">
      <c r="A26" s="191"/>
      <c r="B26" s="182">
        <v>0</v>
      </c>
      <c r="C26" s="182">
        <v>0</v>
      </c>
      <c r="D26" s="190"/>
      <c r="E26" s="190"/>
      <c r="F26" s="140"/>
    </row>
    <row r="27" spans="1:6" ht="14.4" thickBot="1" x14ac:dyDescent="0.35">
      <c r="A27" s="184" t="s">
        <v>32</v>
      </c>
      <c r="B27" s="192">
        <v>1872</v>
      </c>
      <c r="C27" s="192">
        <v>38972</v>
      </c>
      <c r="D27" s="193"/>
      <c r="E27" s="193"/>
      <c r="F27" s="194"/>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CB70-5B25-4BD9-BBEA-19322A75E791}">
  <dimension ref="A1:H28"/>
  <sheetViews>
    <sheetView topLeftCell="A10"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2049</v>
      </c>
      <c r="B2" s="390">
        <v>0</v>
      </c>
      <c r="C2" s="389" t="s">
        <v>9</v>
      </c>
      <c r="D2" s="391">
        <v>0</v>
      </c>
      <c r="E2" s="389"/>
      <c r="F2" s="392"/>
      <c r="G2" s="391">
        <v>0</v>
      </c>
      <c r="H2" s="391">
        <v>0</v>
      </c>
    </row>
    <row r="4" spans="1:8" x14ac:dyDescent="0.3">
      <c r="A4" s="386" t="s">
        <v>11</v>
      </c>
    </row>
    <row r="6" spans="1:8" ht="16.2" thickBot="1" x14ac:dyDescent="0.35">
      <c r="A6" s="381" t="s">
        <v>12</v>
      </c>
      <c r="B6" s="10" t="s">
        <v>9</v>
      </c>
    </row>
    <row r="7" spans="1:8" ht="16.2" thickBot="1" x14ac:dyDescent="0.35">
      <c r="A7" s="442" t="s">
        <v>13</v>
      </c>
      <c r="B7" s="374">
        <v>0</v>
      </c>
    </row>
    <row r="8" spans="1:8" ht="16.2" thickBot="1" x14ac:dyDescent="0.35">
      <c r="A8" s="442" t="s">
        <v>14</v>
      </c>
      <c r="B8" s="374">
        <v>0</v>
      </c>
    </row>
    <row r="9" spans="1:8" ht="16.2" thickBot="1" x14ac:dyDescent="0.35">
      <c r="A9" s="442"/>
      <c r="B9" s="374">
        <v>0</v>
      </c>
    </row>
    <row r="10" spans="1:8" ht="16.2" thickBot="1" x14ac:dyDescent="0.35">
      <c r="A10" s="442"/>
      <c r="B10" s="374">
        <v>0</v>
      </c>
    </row>
    <row r="11" spans="1:8" ht="16.2" thickBot="1" x14ac:dyDescent="0.35">
      <c r="A11" s="442"/>
      <c r="B11" s="10"/>
      <c r="C11" s="374">
        <f>SUM(B7:B10)</f>
        <v>0</v>
      </c>
    </row>
    <row r="12" spans="1:8" x14ac:dyDescent="0.3">
      <c r="A12" s="441"/>
      <c r="C12" s="10" t="s">
        <v>9</v>
      </c>
    </row>
    <row r="14" spans="1:8" ht="31.2" x14ac:dyDescent="0.3">
      <c r="A14" s="384" t="s">
        <v>17</v>
      </c>
      <c r="B14" s="385" t="s">
        <v>18</v>
      </c>
      <c r="C14" s="384" t="s">
        <v>19</v>
      </c>
      <c r="D14" s="384" t="s">
        <v>20</v>
      </c>
      <c r="E14" s="384" t="s">
        <v>21</v>
      </c>
      <c r="F14" s="384" t="s">
        <v>22</v>
      </c>
    </row>
    <row r="15" spans="1:8" ht="16.2" thickBot="1" x14ac:dyDescent="0.35">
      <c r="A15" s="440" t="s">
        <v>23</v>
      </c>
      <c r="B15" s="382">
        <v>4787.03</v>
      </c>
      <c r="C15" s="382">
        <v>6090.03</v>
      </c>
      <c r="D15" s="359" t="s">
        <v>24</v>
      </c>
      <c r="E15" s="359"/>
      <c r="F15" s="383" t="s">
        <v>2050</v>
      </c>
    </row>
    <row r="16" spans="1:8" ht="16.2" thickBot="1" x14ac:dyDescent="0.35">
      <c r="A16" s="440" t="s">
        <v>25</v>
      </c>
      <c r="B16" s="374">
        <v>720</v>
      </c>
      <c r="C16" s="374">
        <v>720</v>
      </c>
      <c r="D16" s="387"/>
      <c r="E16" s="387"/>
      <c r="F16" s="377" t="s">
        <v>2051</v>
      </c>
    </row>
    <row r="17" spans="1:6" ht="16.2" thickBot="1" x14ac:dyDescent="0.35">
      <c r="A17" s="440" t="s">
        <v>26</v>
      </c>
      <c r="B17" s="374">
        <v>0</v>
      </c>
      <c r="C17" s="374">
        <v>0</v>
      </c>
      <c r="D17" s="387"/>
      <c r="E17" s="387"/>
      <c r="F17" s="377"/>
    </row>
    <row r="18" spans="1:6" ht="16.2" thickBot="1" x14ac:dyDescent="0.35">
      <c r="A18" s="440" t="s">
        <v>27</v>
      </c>
      <c r="B18" s="374">
        <v>0</v>
      </c>
      <c r="C18" s="374">
        <v>0</v>
      </c>
      <c r="D18" s="387"/>
      <c r="E18" s="387"/>
      <c r="F18" s="377"/>
    </row>
    <row r="19" spans="1:6" ht="16.2" thickBot="1" x14ac:dyDescent="0.35">
      <c r="A19" s="440" t="s">
        <v>28</v>
      </c>
      <c r="B19" s="374">
        <v>0</v>
      </c>
      <c r="C19" s="374">
        <v>0</v>
      </c>
      <c r="D19" s="387"/>
      <c r="E19" s="387"/>
      <c r="F19" s="377"/>
    </row>
    <row r="20" spans="1:6" ht="16.2" thickBot="1" x14ac:dyDescent="0.35">
      <c r="A20" s="440" t="s">
        <v>29</v>
      </c>
      <c r="B20" s="374">
        <v>0</v>
      </c>
      <c r="C20" s="374">
        <v>0</v>
      </c>
      <c r="D20" s="387"/>
      <c r="E20" s="387"/>
      <c r="F20" s="377"/>
    </row>
    <row r="21" spans="1:6" ht="16.2" thickBot="1" x14ac:dyDescent="0.35">
      <c r="A21" s="440" t="s">
        <v>30</v>
      </c>
      <c r="B21" s="374">
        <v>868.98</v>
      </c>
      <c r="C21" s="374">
        <v>868.98</v>
      </c>
      <c r="D21" s="387" t="s">
        <v>24</v>
      </c>
      <c r="E21" s="387"/>
      <c r="F21" s="377" t="s">
        <v>2052</v>
      </c>
    </row>
    <row r="22" spans="1:6" ht="16.2" thickBot="1" x14ac:dyDescent="0.35">
      <c r="A22" s="442"/>
      <c r="B22" s="374">
        <v>178.35</v>
      </c>
      <c r="C22" s="374">
        <v>178.35</v>
      </c>
      <c r="D22" s="387"/>
      <c r="E22" s="387"/>
      <c r="F22" s="377"/>
    </row>
    <row r="23" spans="1:6" ht="16.2" thickBot="1" x14ac:dyDescent="0.35">
      <c r="A23" s="442"/>
      <c r="B23" s="374">
        <v>0</v>
      </c>
      <c r="C23" s="374">
        <v>0</v>
      </c>
      <c r="D23" s="387"/>
      <c r="E23" s="387"/>
      <c r="F23" s="377"/>
    </row>
    <row r="24" spans="1:6" ht="16.2" thickBot="1" x14ac:dyDescent="0.35">
      <c r="A24" s="442"/>
      <c r="B24" s="374">
        <v>0</v>
      </c>
      <c r="C24" s="374">
        <v>0</v>
      </c>
      <c r="D24" s="387"/>
      <c r="E24" s="387"/>
      <c r="F24" s="377"/>
    </row>
    <row r="25" spans="1:6" ht="16.2" thickBot="1" x14ac:dyDescent="0.35">
      <c r="A25" s="442"/>
      <c r="B25" s="374">
        <v>0</v>
      </c>
      <c r="C25" s="374">
        <v>0</v>
      </c>
      <c r="D25" s="387"/>
      <c r="E25" s="387"/>
      <c r="F25" s="377"/>
    </row>
    <row r="26" spans="1:6" ht="16.2" thickBot="1" x14ac:dyDescent="0.35">
      <c r="A26" s="442"/>
      <c r="B26" s="374">
        <v>0</v>
      </c>
      <c r="C26" s="374">
        <v>0</v>
      </c>
      <c r="D26" s="387"/>
      <c r="E26" s="387"/>
      <c r="F26" s="377"/>
    </row>
    <row r="27" spans="1:6" ht="16.2" thickBot="1" x14ac:dyDescent="0.35">
      <c r="A27" s="378"/>
      <c r="B27" s="374">
        <v>0</v>
      </c>
      <c r="C27" s="374">
        <v>0</v>
      </c>
      <c r="D27" s="387"/>
      <c r="E27" s="387"/>
      <c r="F27" s="377"/>
    </row>
    <row r="28" spans="1:6" ht="16.2" thickBot="1" x14ac:dyDescent="0.35">
      <c r="A28" s="441" t="s">
        <v>32</v>
      </c>
      <c r="B28" s="379">
        <f>SUM(B15:B27)</f>
        <v>6554.3600000000006</v>
      </c>
      <c r="C28" s="379">
        <f>SUM(C15:C27)</f>
        <v>7857.3600000000006</v>
      </c>
      <c r="D28" s="388"/>
      <c r="E28" s="388"/>
      <c r="F28" s="380"/>
    </row>
  </sheetData>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EDDA-9255-4DF4-B84A-0CF0987C79FC}">
  <dimension ref="A1:H31"/>
  <sheetViews>
    <sheetView topLeftCell="A10" workbookViewId="0">
      <selection activeCell="E11" sqref="E11:J11"/>
    </sheetView>
  </sheetViews>
  <sheetFormatPr defaultColWidth="9.109375" defaultRowHeight="15.6" x14ac:dyDescent="0.3"/>
  <cols>
    <col min="1" max="1" width="48.664062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1013</v>
      </c>
      <c r="B2" s="4" t="s">
        <v>1014</v>
      </c>
      <c r="C2" s="3" t="s">
        <v>1015</v>
      </c>
      <c r="D2" s="5">
        <v>13397203</v>
      </c>
      <c r="E2" s="3" t="s">
        <v>10</v>
      </c>
      <c r="F2" s="6"/>
      <c r="G2" s="5">
        <v>0</v>
      </c>
      <c r="H2" s="5">
        <v>0</v>
      </c>
    </row>
    <row r="4" spans="1:8" x14ac:dyDescent="0.3">
      <c r="A4" s="8" t="s">
        <v>11</v>
      </c>
    </row>
    <row r="6" spans="1:8" ht="16.2" thickBot="1" x14ac:dyDescent="0.35">
      <c r="A6" s="9" t="s">
        <v>12</v>
      </c>
      <c r="B6" s="10" t="s">
        <v>9</v>
      </c>
    </row>
    <row r="7" spans="1:8" ht="16.2" thickBot="1" x14ac:dyDescent="0.35">
      <c r="A7" s="11" t="s">
        <v>51</v>
      </c>
      <c r="B7" s="12">
        <v>3300000</v>
      </c>
    </row>
    <row r="8" spans="1:8" ht="16.2" thickBot="1" x14ac:dyDescent="0.35">
      <c r="A8" s="11" t="s">
        <v>53</v>
      </c>
      <c r="B8" s="12">
        <v>27000000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30300000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41645</v>
      </c>
      <c r="C16" s="16">
        <v>0</v>
      </c>
      <c r="D16" s="17"/>
      <c r="E16" s="17" t="s">
        <v>79</v>
      </c>
      <c r="F16" s="18"/>
    </row>
    <row r="17" spans="1:6" ht="16.2" thickBot="1" x14ac:dyDescent="0.35">
      <c r="A17" s="15" t="s">
        <v>25</v>
      </c>
      <c r="B17" s="12">
        <v>12975</v>
      </c>
      <c r="C17" s="12">
        <v>0</v>
      </c>
      <c r="D17" s="19"/>
      <c r="E17" s="17" t="s">
        <v>79</v>
      </c>
      <c r="F17" s="20"/>
    </row>
    <row r="18" spans="1:6" ht="16.2" thickBot="1" x14ac:dyDescent="0.35">
      <c r="A18" s="15" t="s">
        <v>1016</v>
      </c>
      <c r="B18" s="12">
        <v>51846</v>
      </c>
      <c r="C18" s="12">
        <v>0</v>
      </c>
      <c r="D18" s="19"/>
      <c r="E18" s="17" t="s">
        <v>79</v>
      </c>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68282</v>
      </c>
      <c r="C22" s="12">
        <v>0</v>
      </c>
      <c r="D22" s="19"/>
      <c r="E22" s="17" t="s">
        <v>79</v>
      </c>
      <c r="F22" s="20"/>
    </row>
    <row r="23" spans="1:6" ht="16.2" thickBot="1" x14ac:dyDescent="0.35">
      <c r="A23" s="11" t="s">
        <v>1017</v>
      </c>
      <c r="B23" s="12">
        <v>54637</v>
      </c>
      <c r="C23" s="12">
        <v>40000</v>
      </c>
      <c r="D23" s="19" t="s">
        <v>10</v>
      </c>
      <c r="E23" s="17" t="s">
        <v>79</v>
      </c>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229385</v>
      </c>
      <c r="C29" s="22">
        <v>40000</v>
      </c>
      <c r="D29" s="23"/>
      <c r="E29" s="23"/>
      <c r="F29" s="24"/>
    </row>
    <row r="31" spans="1:6" x14ac:dyDescent="0.3">
      <c r="C31" s="396">
        <f>SUM(B29:C29)</f>
        <v>269385</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1612-CBFB-4F25-800A-1FCDBE430593}">
  <dimension ref="A1:H30"/>
  <sheetViews>
    <sheetView topLeftCell="A8" workbookViewId="0">
      <selection activeCell="E11" sqref="E11:J11"/>
    </sheetView>
  </sheetViews>
  <sheetFormatPr defaultColWidth="9.109375" defaultRowHeight="15.6" x14ac:dyDescent="0.3"/>
  <cols>
    <col min="1" max="1" width="36.8867187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1006</v>
      </c>
      <c r="B2" s="4">
        <v>1100000</v>
      </c>
      <c r="C2" s="3" t="s">
        <v>1007</v>
      </c>
      <c r="D2" s="5">
        <v>24187613</v>
      </c>
      <c r="E2" s="3" t="s">
        <v>10</v>
      </c>
      <c r="F2" s="6" t="s">
        <v>1008</v>
      </c>
      <c r="G2" s="5">
        <v>0</v>
      </c>
      <c r="H2" s="5">
        <v>0</v>
      </c>
    </row>
    <row r="4" spans="1:8" x14ac:dyDescent="0.3">
      <c r="A4" s="8" t="s">
        <v>11</v>
      </c>
    </row>
    <row r="6" spans="1:8" ht="16.2" thickBot="1" x14ac:dyDescent="0.35">
      <c r="A6" s="9" t="s">
        <v>12</v>
      </c>
      <c r="B6" s="10" t="s">
        <v>9</v>
      </c>
    </row>
    <row r="7" spans="1:8" ht="16.2" thickBot="1" x14ac:dyDescent="0.35">
      <c r="A7" s="11" t="s">
        <v>13</v>
      </c>
      <c r="B7" s="12">
        <v>300000</v>
      </c>
      <c r="C7" s="7" t="s">
        <v>1009</v>
      </c>
    </row>
    <row r="8" spans="1:8" ht="16.2" thickBot="1" x14ac:dyDescent="0.35">
      <c r="A8" s="11" t="s">
        <v>14</v>
      </c>
      <c r="B8" s="12">
        <v>0</v>
      </c>
      <c r="C8" s="7" t="s">
        <v>1010</v>
      </c>
    </row>
    <row r="9" spans="1:8" ht="16.2" thickBot="1" x14ac:dyDescent="0.35">
      <c r="A9" s="11"/>
      <c r="B9" s="12">
        <v>0</v>
      </c>
    </row>
    <row r="10" spans="1:8" ht="16.2" thickBot="1" x14ac:dyDescent="0.35">
      <c r="A10" s="11"/>
      <c r="B10" s="12">
        <v>0</v>
      </c>
    </row>
    <row r="11" spans="1:8" ht="16.2" thickBot="1" x14ac:dyDescent="0.35">
      <c r="A11" s="11"/>
      <c r="B11" s="10"/>
      <c r="C11" s="12">
        <v>300000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3632.36</v>
      </c>
      <c r="C15" s="16">
        <v>8632.36</v>
      </c>
      <c r="D15" s="17"/>
      <c r="E15" s="17" t="s">
        <v>79</v>
      </c>
      <c r="F15" s="18"/>
    </row>
    <row r="16" spans="1:8" ht="16.2" thickBot="1" x14ac:dyDescent="0.35">
      <c r="A16" s="15" t="s">
        <v>25</v>
      </c>
      <c r="B16" s="12">
        <v>41559.870000000003</v>
      </c>
      <c r="C16" s="12">
        <v>91559.87</v>
      </c>
      <c r="D16" s="19" t="s">
        <v>24</v>
      </c>
      <c r="E16" s="19" t="s">
        <v>79</v>
      </c>
      <c r="F16" s="20"/>
    </row>
    <row r="17" spans="1:6" ht="16.2" thickBot="1" x14ac:dyDescent="0.35">
      <c r="A17" s="15" t="s">
        <v>26</v>
      </c>
      <c r="B17" s="12">
        <v>0</v>
      </c>
      <c r="C17" s="12">
        <v>0</v>
      </c>
      <c r="D17" s="19"/>
      <c r="E17" s="19"/>
      <c r="F17" s="20"/>
    </row>
    <row r="18" spans="1:6" ht="16.2" thickBot="1" x14ac:dyDescent="0.35">
      <c r="A18" s="15" t="s">
        <v>27</v>
      </c>
      <c r="B18" s="12">
        <v>0</v>
      </c>
      <c r="C18" s="12">
        <v>8000</v>
      </c>
      <c r="D18" s="19"/>
      <c r="E18" s="19"/>
      <c r="F18" s="20" t="s">
        <v>1011</v>
      </c>
    </row>
    <row r="19" spans="1:6" ht="16.2" thickBot="1" x14ac:dyDescent="0.35">
      <c r="A19" s="15" t="s">
        <v>28</v>
      </c>
      <c r="B19" s="12">
        <v>0</v>
      </c>
      <c r="C19" s="12">
        <v>0</v>
      </c>
      <c r="D19" s="19"/>
      <c r="E19" s="19"/>
      <c r="F19" s="20"/>
    </row>
    <row r="20" spans="1:6" ht="16.2" thickBot="1" x14ac:dyDescent="0.35">
      <c r="A20" s="15" t="s">
        <v>29</v>
      </c>
      <c r="B20" s="12">
        <v>19652</v>
      </c>
      <c r="C20" s="12">
        <v>59652</v>
      </c>
      <c r="D20" s="19" t="s">
        <v>24</v>
      </c>
      <c r="E20" s="19"/>
      <c r="F20" s="20"/>
    </row>
    <row r="21" spans="1:6" ht="16.2" thickBot="1" x14ac:dyDescent="0.35">
      <c r="A21" s="15" t="s">
        <v>30</v>
      </c>
      <c r="B21" s="12">
        <v>4933.91</v>
      </c>
      <c r="C21" s="12">
        <v>9933.91</v>
      </c>
      <c r="D21" s="19"/>
      <c r="E21" s="19" t="s">
        <v>79</v>
      </c>
      <c r="F21" s="20"/>
    </row>
    <row r="22" spans="1:6" ht="16.2" thickBot="1" x14ac:dyDescent="0.35">
      <c r="A22" s="15" t="s">
        <v>1012</v>
      </c>
      <c r="B22" s="12">
        <v>208000</v>
      </c>
      <c r="C22" s="12">
        <v>258000</v>
      </c>
      <c r="D22" s="19" t="s">
        <v>24</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277778.14</v>
      </c>
      <c r="C28" s="22">
        <f>SUM(C15:C27)</f>
        <v>435778.14</v>
      </c>
      <c r="D28" s="23"/>
      <c r="E28" s="23"/>
      <c r="F28" s="24"/>
    </row>
    <row r="29" spans="1:6" x14ac:dyDescent="0.3">
      <c r="C29" s="74"/>
    </row>
    <row r="30" spans="1:6" x14ac:dyDescent="0.3">
      <c r="C30" s="141" t="s">
        <v>2054</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4715D-66E3-4585-AE84-C93811B7E1DC}">
  <dimension ref="A1:H33"/>
  <sheetViews>
    <sheetView topLeftCell="A16" workbookViewId="0">
      <selection activeCell="E11" sqref="E11:J11"/>
    </sheetView>
  </sheetViews>
  <sheetFormatPr defaultColWidth="9.109375" defaultRowHeight="15.6" x14ac:dyDescent="0.3"/>
  <cols>
    <col min="1" max="1" width="43" style="7" bestFit="1" customWidth="1"/>
    <col min="2" max="2" width="17.5546875" style="7" customWidth="1"/>
    <col min="3" max="3" width="26.5546875" style="7" customWidth="1"/>
    <col min="4" max="4" width="21.6640625" style="7" bestFit="1" customWidth="1"/>
    <col min="5" max="5" width="42.5546875" style="7" bestFit="1" customWidth="1"/>
    <col min="6" max="6" width="47.33203125" style="7" customWidth="1"/>
    <col min="7" max="7" width="21.33203125" style="7" customWidth="1"/>
    <col min="8" max="8" width="20.6640625" style="7" customWidth="1"/>
    <col min="9" max="16384" width="9.109375" style="7"/>
  </cols>
  <sheetData>
    <row r="1" spans="1:8" s="2" customFormat="1" ht="47.4" thickBot="1" x14ac:dyDescent="0.35">
      <c r="A1" s="1" t="s">
        <v>0</v>
      </c>
      <c r="B1" s="1" t="s">
        <v>1</v>
      </c>
      <c r="C1" s="1" t="s">
        <v>2</v>
      </c>
      <c r="D1" s="1" t="s">
        <v>3</v>
      </c>
      <c r="E1" s="1" t="s">
        <v>4</v>
      </c>
      <c r="F1" s="1" t="s">
        <v>5</v>
      </c>
      <c r="G1" s="1" t="s">
        <v>6</v>
      </c>
      <c r="H1" s="1" t="s">
        <v>7</v>
      </c>
    </row>
    <row r="2" spans="1:8" ht="31.8" thickBot="1" x14ac:dyDescent="0.35">
      <c r="A2" s="3" t="s">
        <v>985</v>
      </c>
      <c r="B2" s="4">
        <v>65000</v>
      </c>
      <c r="C2" s="3" t="s">
        <v>986</v>
      </c>
      <c r="D2" s="5">
        <v>6861900</v>
      </c>
      <c r="E2" s="3" t="s">
        <v>10</v>
      </c>
      <c r="F2" s="6"/>
      <c r="G2" s="5">
        <v>0</v>
      </c>
      <c r="H2" s="5">
        <v>200000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65000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2">
        <v>0</v>
      </c>
    </row>
    <row r="13" spans="1:8" ht="16.2" thickBot="1" x14ac:dyDescent="0.35">
      <c r="A13" s="11"/>
      <c r="B13" s="10"/>
      <c r="C13" s="12">
        <v>65000</v>
      </c>
    </row>
    <row r="14" spans="1:8" x14ac:dyDescent="0.3">
      <c r="A14" s="13"/>
      <c r="C14" s="10" t="s">
        <v>9</v>
      </c>
    </row>
    <row r="16" spans="1:8" ht="31.2" x14ac:dyDescent="0.3">
      <c r="A16" s="1" t="s">
        <v>17</v>
      </c>
      <c r="B16" s="14" t="s">
        <v>18</v>
      </c>
      <c r="C16" s="1" t="s">
        <v>19</v>
      </c>
      <c r="D16" s="1" t="s">
        <v>20</v>
      </c>
      <c r="E16" s="1" t="s">
        <v>21</v>
      </c>
      <c r="F16" s="1" t="s">
        <v>22</v>
      </c>
    </row>
    <row r="17" spans="1:6" ht="31.8" thickBot="1" x14ac:dyDescent="0.35">
      <c r="A17" s="15" t="s">
        <v>23</v>
      </c>
      <c r="B17" s="16">
        <v>1375.9800000000002</v>
      </c>
      <c r="C17" s="16">
        <v>45515.98</v>
      </c>
      <c r="D17" s="29" t="s">
        <v>24</v>
      </c>
      <c r="E17" s="17" t="s">
        <v>987</v>
      </c>
      <c r="F17" s="32" t="s">
        <v>988</v>
      </c>
    </row>
    <row r="18" spans="1:6" ht="31.8" thickBot="1" x14ac:dyDescent="0.35">
      <c r="A18" s="15" t="s">
        <v>25</v>
      </c>
      <c r="B18" s="16">
        <v>3094.59</v>
      </c>
      <c r="C18" s="16">
        <v>53294.59</v>
      </c>
      <c r="D18" s="29" t="s">
        <v>24</v>
      </c>
      <c r="E18" s="17" t="s">
        <v>987</v>
      </c>
      <c r="F18" s="33" t="s">
        <v>989</v>
      </c>
    </row>
    <row r="19" spans="1:6" ht="16.2" thickBot="1" x14ac:dyDescent="0.35">
      <c r="A19" s="15" t="s">
        <v>26</v>
      </c>
      <c r="B19" s="16">
        <v>0</v>
      </c>
      <c r="C19" s="16">
        <v>3000</v>
      </c>
      <c r="D19" s="29" t="s">
        <v>24</v>
      </c>
      <c r="E19" s="17" t="s">
        <v>987</v>
      </c>
      <c r="F19" s="20" t="s">
        <v>990</v>
      </c>
    </row>
    <row r="20" spans="1:6" ht="16.2" thickBot="1" x14ac:dyDescent="0.35">
      <c r="A20" s="15" t="s">
        <v>27</v>
      </c>
      <c r="B20" s="16">
        <v>5483</v>
      </c>
      <c r="C20" s="16">
        <v>20873</v>
      </c>
      <c r="D20" s="29" t="s">
        <v>24</v>
      </c>
      <c r="E20" s="17" t="s">
        <v>991</v>
      </c>
      <c r="F20" s="20" t="s">
        <v>992</v>
      </c>
    </row>
    <row r="21" spans="1:6" ht="16.2" thickBot="1" x14ac:dyDescent="0.35">
      <c r="A21" s="15" t="s">
        <v>28</v>
      </c>
      <c r="B21" s="16">
        <v>0</v>
      </c>
      <c r="C21" s="16">
        <v>0</v>
      </c>
      <c r="D21" s="19"/>
      <c r="E21" s="19"/>
      <c r="F21" s="20"/>
    </row>
    <row r="22" spans="1:6" ht="16.2" thickBot="1" x14ac:dyDescent="0.35">
      <c r="A22" s="15" t="s">
        <v>29</v>
      </c>
      <c r="B22" s="16">
        <v>22628.820000000007</v>
      </c>
      <c r="C22" s="16">
        <v>44581.3</v>
      </c>
      <c r="D22" s="29" t="s">
        <v>24</v>
      </c>
      <c r="E22" s="17" t="s">
        <v>987</v>
      </c>
      <c r="F22" s="33" t="s">
        <v>993</v>
      </c>
    </row>
    <row r="23" spans="1:6" ht="16.2" thickBot="1" x14ac:dyDescent="0.35">
      <c r="A23" s="15" t="s">
        <v>30</v>
      </c>
      <c r="B23" s="16">
        <v>3104.3199999999997</v>
      </c>
      <c r="C23" s="16">
        <v>9504.32</v>
      </c>
      <c r="D23" s="29" t="s">
        <v>24</v>
      </c>
      <c r="E23" s="17" t="s">
        <v>987</v>
      </c>
      <c r="F23" s="20" t="s">
        <v>994</v>
      </c>
    </row>
    <row r="24" spans="1:6" ht="47.4" thickBot="1" x14ac:dyDescent="0.35">
      <c r="A24" s="15" t="s">
        <v>995</v>
      </c>
      <c r="B24" s="16">
        <v>20000</v>
      </c>
      <c r="C24" s="16">
        <v>20000</v>
      </c>
      <c r="D24" s="29" t="s">
        <v>24</v>
      </c>
      <c r="E24" s="17" t="s">
        <v>987</v>
      </c>
      <c r="F24" s="33" t="s">
        <v>996</v>
      </c>
    </row>
    <row r="25" spans="1:6" ht="31.8" thickBot="1" x14ac:dyDescent="0.35">
      <c r="A25" s="15" t="s">
        <v>997</v>
      </c>
      <c r="B25" s="16">
        <v>4680</v>
      </c>
      <c r="C25" s="16">
        <v>45680</v>
      </c>
      <c r="D25" s="29" t="s">
        <v>24</v>
      </c>
      <c r="E25" s="17" t="s">
        <v>987</v>
      </c>
      <c r="F25" s="33" t="s">
        <v>998</v>
      </c>
    </row>
    <row r="26" spans="1:6" ht="16.2" thickBot="1" x14ac:dyDescent="0.35">
      <c r="A26" s="15"/>
      <c r="B26" s="16"/>
      <c r="C26" s="16"/>
      <c r="D26" s="19"/>
      <c r="E26" s="19"/>
      <c r="F26" s="20"/>
    </row>
    <row r="27" spans="1:6" ht="16.2" thickBot="1" x14ac:dyDescent="0.35">
      <c r="A27" s="15"/>
      <c r="B27" s="16"/>
      <c r="C27" s="16"/>
      <c r="D27" s="19"/>
      <c r="E27" s="19"/>
      <c r="F27" s="20"/>
    </row>
    <row r="28" spans="1:6" ht="16.2" thickBot="1" x14ac:dyDescent="0.35">
      <c r="A28" s="15" t="s">
        <v>999</v>
      </c>
      <c r="B28" s="16">
        <v>297.48</v>
      </c>
      <c r="C28" s="16">
        <v>7797.48</v>
      </c>
      <c r="D28" s="29" t="s">
        <v>24</v>
      </c>
      <c r="E28" s="17" t="s">
        <v>1000</v>
      </c>
      <c r="F28" s="20" t="s">
        <v>1001</v>
      </c>
    </row>
    <row r="29" spans="1:6" ht="16.2" thickBot="1" x14ac:dyDescent="0.35">
      <c r="A29" s="15" t="s">
        <v>1002</v>
      </c>
      <c r="B29" s="16">
        <v>936.93</v>
      </c>
      <c r="C29" s="16">
        <v>936.93</v>
      </c>
      <c r="D29" s="29" t="s">
        <v>24</v>
      </c>
      <c r="E29" s="17" t="s">
        <v>1000</v>
      </c>
      <c r="F29" s="20" t="s">
        <v>1003</v>
      </c>
    </row>
    <row r="30" spans="1:6" ht="16.2" thickBot="1" x14ac:dyDescent="0.35">
      <c r="A30" s="15" t="s">
        <v>1004</v>
      </c>
      <c r="B30" s="16">
        <v>10698.029999999999</v>
      </c>
      <c r="C30" s="16">
        <v>10698.029999999999</v>
      </c>
      <c r="D30" s="29" t="s">
        <v>24</v>
      </c>
      <c r="E30" s="17" t="s">
        <v>1000</v>
      </c>
      <c r="F30" s="20" t="s">
        <v>1005</v>
      </c>
    </row>
    <row r="31" spans="1:6" ht="16.2" thickBot="1" x14ac:dyDescent="0.35">
      <c r="A31" s="263"/>
      <c r="B31" s="16"/>
      <c r="C31" s="16"/>
      <c r="D31" s="19"/>
      <c r="E31" s="19"/>
      <c r="F31" s="20"/>
    </row>
    <row r="32" spans="1:6" ht="16.2" thickBot="1" x14ac:dyDescent="0.35">
      <c r="A32" s="21"/>
      <c r="B32" s="16"/>
      <c r="C32" s="12">
        <v>0</v>
      </c>
      <c r="D32" s="19"/>
      <c r="E32" s="19"/>
      <c r="F32" s="20"/>
    </row>
    <row r="33" spans="1:6" ht="16.2" thickBot="1" x14ac:dyDescent="0.35">
      <c r="A33" s="13" t="s">
        <v>32</v>
      </c>
      <c r="B33" s="22">
        <v>72299.150000000009</v>
      </c>
      <c r="C33" s="22">
        <v>261881.63</v>
      </c>
      <c r="D33" s="23"/>
      <c r="E33" s="23"/>
      <c r="F33" s="24"/>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9923-5A62-4E96-A8A5-F7A25899A7AD}">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282</v>
      </c>
      <c r="B2" s="390">
        <f>61894+4221+30000+10000+10000+4000000</f>
        <v>4116115</v>
      </c>
      <c r="C2" s="389" t="s">
        <v>2331</v>
      </c>
      <c r="D2" s="391">
        <v>4208002</v>
      </c>
      <c r="E2" s="389" t="s">
        <v>24</v>
      </c>
      <c r="F2" s="392" t="s">
        <v>578</v>
      </c>
      <c r="G2" s="391">
        <v>0</v>
      </c>
      <c r="H2" s="391">
        <v>0</v>
      </c>
    </row>
    <row r="4" spans="1:8" x14ac:dyDescent="0.3">
      <c r="A4" s="386" t="s">
        <v>11</v>
      </c>
    </row>
    <row r="6" spans="1:8" ht="16.2" thickBot="1" x14ac:dyDescent="0.35">
      <c r="A6" s="571" t="s">
        <v>12</v>
      </c>
      <c r="B6" s="10" t="s">
        <v>9</v>
      </c>
    </row>
    <row r="7" spans="1:8" ht="16.2" thickBot="1" x14ac:dyDescent="0.35">
      <c r="A7" s="570" t="s">
        <v>51</v>
      </c>
      <c r="B7" s="374">
        <v>66115</v>
      </c>
    </row>
    <row r="8" spans="1:8" ht="16.2" thickBot="1" x14ac:dyDescent="0.35">
      <c r="A8" s="570" t="s">
        <v>53</v>
      </c>
      <c r="B8" s="374">
        <v>4100000</v>
      </c>
    </row>
    <row r="9" spans="1:8" ht="16.2" thickBot="1" x14ac:dyDescent="0.35">
      <c r="A9" s="570" t="s">
        <v>55</v>
      </c>
      <c r="B9" s="374" t="s">
        <v>420</v>
      </c>
    </row>
    <row r="10" spans="1:8" ht="16.2" thickBot="1" x14ac:dyDescent="0.35">
      <c r="A10" s="570" t="s">
        <v>57</v>
      </c>
      <c r="B10" s="374" t="s">
        <v>420</v>
      </c>
    </row>
    <row r="11" spans="1:8" ht="16.2" thickBot="1" x14ac:dyDescent="0.35">
      <c r="A11" s="570"/>
      <c r="B11" s="374">
        <v>0</v>
      </c>
    </row>
    <row r="12" spans="1:8" ht="16.2" thickBot="1" x14ac:dyDescent="0.35">
      <c r="A12" s="570"/>
      <c r="B12" s="10"/>
      <c r="C12" s="374">
        <f>SUM(B7:B11)</f>
        <v>4166115</v>
      </c>
    </row>
    <row r="13" spans="1:8" x14ac:dyDescent="0.3">
      <c r="A13" s="569"/>
      <c r="C13" s="10" t="s">
        <v>9</v>
      </c>
    </row>
    <row r="15" spans="1:8" ht="31.2" x14ac:dyDescent="0.3">
      <c r="A15" s="384" t="s">
        <v>17</v>
      </c>
      <c r="B15" s="385" t="s">
        <v>18</v>
      </c>
      <c r="C15" s="384" t="s">
        <v>19</v>
      </c>
      <c r="D15" s="384" t="s">
        <v>20</v>
      </c>
      <c r="E15" s="384" t="s">
        <v>21</v>
      </c>
      <c r="F15" s="384" t="s">
        <v>22</v>
      </c>
    </row>
    <row r="16" spans="1:8" ht="16.2" thickBot="1" x14ac:dyDescent="0.35">
      <c r="A16" s="568" t="s">
        <v>23</v>
      </c>
      <c r="B16" s="382">
        <v>233</v>
      </c>
      <c r="C16" s="382">
        <f>5000+624</f>
        <v>5624</v>
      </c>
      <c r="D16" s="397" t="s">
        <v>24</v>
      </c>
      <c r="E16" s="359"/>
      <c r="F16" s="383"/>
    </row>
    <row r="17" spans="1:6" ht="16.2" thickBot="1" x14ac:dyDescent="0.35">
      <c r="A17" s="568" t="s">
        <v>25</v>
      </c>
      <c r="B17" s="374">
        <v>473</v>
      </c>
      <c r="C17" s="374">
        <f>1000+1335+4000+11250+1674</f>
        <v>19259</v>
      </c>
      <c r="D17" s="394" t="s">
        <v>24</v>
      </c>
      <c r="E17" s="387"/>
      <c r="F17" s="377"/>
    </row>
    <row r="18" spans="1:6" ht="16.2" thickBot="1" x14ac:dyDescent="0.35">
      <c r="A18" s="568" t="s">
        <v>26</v>
      </c>
      <c r="B18" s="374">
        <v>0</v>
      </c>
      <c r="C18" s="374">
        <v>0</v>
      </c>
      <c r="D18" s="394"/>
      <c r="E18" s="387"/>
      <c r="F18" s="377"/>
    </row>
    <row r="19" spans="1:6" ht="16.2" thickBot="1" x14ac:dyDescent="0.35">
      <c r="A19" s="568" t="s">
        <v>27</v>
      </c>
      <c r="B19" s="374">
        <v>0</v>
      </c>
      <c r="C19" s="374">
        <v>0</v>
      </c>
      <c r="D19" s="394"/>
      <c r="E19" s="387"/>
      <c r="F19" s="377"/>
    </row>
    <row r="20" spans="1:6" ht="16.2" thickBot="1" x14ac:dyDescent="0.35">
      <c r="A20" s="568" t="s">
        <v>28</v>
      </c>
      <c r="B20" s="374">
        <v>0</v>
      </c>
      <c r="C20" s="374">
        <v>0</v>
      </c>
      <c r="D20" s="394"/>
      <c r="E20" s="387"/>
      <c r="F20" s="377"/>
    </row>
    <row r="21" spans="1:6" ht="16.2" thickBot="1" x14ac:dyDescent="0.35">
      <c r="A21" s="568" t="s">
        <v>29</v>
      </c>
      <c r="B21" s="374">
        <v>4362.91</v>
      </c>
      <c r="C21" s="374">
        <f>9165.52+1250.1</f>
        <v>10415.620000000001</v>
      </c>
      <c r="D21" s="394" t="s">
        <v>24</v>
      </c>
      <c r="E21" s="387"/>
      <c r="F21" s="377"/>
    </row>
    <row r="22" spans="1:6" ht="16.2" thickBot="1" x14ac:dyDescent="0.35">
      <c r="A22" s="568" t="s">
        <v>30</v>
      </c>
      <c r="B22" s="374">
        <v>3595</v>
      </c>
      <c r="C22" s="374">
        <v>5000</v>
      </c>
      <c r="D22" s="394" t="s">
        <v>24</v>
      </c>
      <c r="E22" s="387"/>
      <c r="F22" s="377"/>
    </row>
    <row r="23" spans="1:6" ht="16.2" thickBot="1" x14ac:dyDescent="0.35">
      <c r="A23" s="570"/>
      <c r="B23" s="374">
        <v>0</v>
      </c>
      <c r="C23" s="374">
        <v>0</v>
      </c>
      <c r="D23" s="387"/>
      <c r="E23" s="387"/>
      <c r="F23" s="377"/>
    </row>
    <row r="24" spans="1:6" ht="16.2" thickBot="1" x14ac:dyDescent="0.35">
      <c r="A24" s="570"/>
      <c r="B24" s="374">
        <v>0</v>
      </c>
      <c r="C24" s="374">
        <v>0</v>
      </c>
      <c r="D24" s="387"/>
      <c r="E24" s="387"/>
      <c r="F24" s="377"/>
    </row>
    <row r="25" spans="1:6" ht="16.2" thickBot="1" x14ac:dyDescent="0.35">
      <c r="A25" s="570"/>
      <c r="B25" s="374">
        <v>0</v>
      </c>
      <c r="C25" s="374">
        <v>0</v>
      </c>
      <c r="D25" s="387"/>
      <c r="E25" s="387"/>
      <c r="F25" s="377"/>
    </row>
    <row r="26" spans="1:6" ht="16.2" thickBot="1" x14ac:dyDescent="0.35">
      <c r="A26" s="570"/>
      <c r="B26" s="374">
        <v>0</v>
      </c>
      <c r="C26" s="374">
        <v>0</v>
      </c>
      <c r="D26" s="387"/>
      <c r="E26" s="387"/>
      <c r="F26" s="377"/>
    </row>
    <row r="27" spans="1:6" ht="16.2" thickBot="1" x14ac:dyDescent="0.35">
      <c r="A27" s="570"/>
      <c r="B27" s="374">
        <v>0</v>
      </c>
      <c r="C27" s="374">
        <v>0</v>
      </c>
      <c r="D27" s="387"/>
      <c r="E27" s="387"/>
      <c r="F27" s="377"/>
    </row>
    <row r="28" spans="1:6" ht="16.2" thickBot="1" x14ac:dyDescent="0.35">
      <c r="A28" s="378"/>
      <c r="B28" s="374">
        <v>0</v>
      </c>
      <c r="C28" s="374">
        <v>0</v>
      </c>
      <c r="D28" s="387"/>
      <c r="E28" s="387"/>
      <c r="F28" s="377"/>
    </row>
    <row r="29" spans="1:6" ht="16.2" thickBot="1" x14ac:dyDescent="0.35">
      <c r="A29" s="569" t="s">
        <v>32</v>
      </c>
      <c r="B29" s="379">
        <f>SUM(B16:B28)</f>
        <v>8663.91</v>
      </c>
      <c r="C29" s="379">
        <f>SUM(C16:C28)</f>
        <v>40298.620000000003</v>
      </c>
      <c r="D29" s="388"/>
      <c r="E29" s="388"/>
      <c r="F29" s="380"/>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C90B3-AE8A-428D-9816-4C30F387E267}">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2155</v>
      </c>
      <c r="H1" s="384" t="s">
        <v>2156</v>
      </c>
    </row>
    <row r="2" spans="1:8" ht="43.8" thickBot="1" x14ac:dyDescent="0.35">
      <c r="A2" s="389" t="s">
        <v>2157</v>
      </c>
      <c r="B2" s="390" t="s">
        <v>2158</v>
      </c>
      <c r="C2" s="508" t="s">
        <v>2159</v>
      </c>
      <c r="D2" s="391">
        <v>16960925</v>
      </c>
      <c r="E2" s="389" t="s">
        <v>108</v>
      </c>
      <c r="F2" s="392"/>
      <c r="G2" s="391">
        <v>0</v>
      </c>
      <c r="H2" s="391"/>
    </row>
    <row r="4" spans="1:8" x14ac:dyDescent="0.3">
      <c r="A4" s="386" t="s">
        <v>11</v>
      </c>
    </row>
    <row r="6" spans="1:8" ht="16.2" thickBot="1" x14ac:dyDescent="0.35">
      <c r="A6" s="507" t="s">
        <v>12</v>
      </c>
      <c r="B6" s="10" t="s">
        <v>9</v>
      </c>
    </row>
    <row r="7" spans="1:8" ht="16.2" thickBot="1" x14ac:dyDescent="0.35">
      <c r="A7" s="506" t="s">
        <v>51</v>
      </c>
      <c r="B7" s="374">
        <v>0</v>
      </c>
    </row>
    <row r="8" spans="1:8" ht="16.2" thickBot="1" x14ac:dyDescent="0.35">
      <c r="A8" s="506" t="s">
        <v>53</v>
      </c>
      <c r="B8" s="374">
        <v>0</v>
      </c>
    </row>
    <row r="9" spans="1:8" ht="16.2" thickBot="1" x14ac:dyDescent="0.35">
      <c r="A9" s="506" t="s">
        <v>55</v>
      </c>
      <c r="B9" s="374">
        <v>97690</v>
      </c>
    </row>
    <row r="10" spans="1:8" ht="16.2" thickBot="1" x14ac:dyDescent="0.35">
      <c r="A10" s="506" t="s">
        <v>57</v>
      </c>
      <c r="B10" s="374">
        <v>73475</v>
      </c>
    </row>
    <row r="11" spans="1:8" ht="16.2" thickBot="1" x14ac:dyDescent="0.35">
      <c r="A11" s="506"/>
      <c r="B11" s="374">
        <v>0</v>
      </c>
    </row>
    <row r="12" spans="1:8" ht="16.2" thickBot="1" x14ac:dyDescent="0.35">
      <c r="A12" s="506"/>
      <c r="B12" s="10"/>
      <c r="C12" s="374">
        <f>SUM(B7:B11)</f>
        <v>171165</v>
      </c>
    </row>
    <row r="13" spans="1:8" x14ac:dyDescent="0.3">
      <c r="A13" s="505"/>
      <c r="C13" s="10" t="s">
        <v>9</v>
      </c>
    </row>
    <row r="15" spans="1:8" ht="31.2" x14ac:dyDescent="0.3">
      <c r="A15" s="384" t="s">
        <v>17</v>
      </c>
      <c r="B15" s="385" t="s">
        <v>18</v>
      </c>
      <c r="C15" s="384" t="s">
        <v>19</v>
      </c>
      <c r="D15" s="384" t="s">
        <v>20</v>
      </c>
      <c r="E15" s="384" t="s">
        <v>21</v>
      </c>
      <c r="F15" s="384" t="s">
        <v>22</v>
      </c>
    </row>
    <row r="16" spans="1:8" ht="16.2" thickBot="1" x14ac:dyDescent="0.35">
      <c r="A16" s="504" t="s">
        <v>23</v>
      </c>
      <c r="B16" s="382">
        <f>855.85+5032.32+5891.71</f>
        <v>11779.880000000001</v>
      </c>
      <c r="C16" s="382">
        <v>15200</v>
      </c>
      <c r="D16" s="359"/>
      <c r="E16" s="359"/>
      <c r="F16" s="383"/>
    </row>
    <row r="17" spans="1:6" ht="16.2" thickBot="1" x14ac:dyDescent="0.35">
      <c r="A17" s="504" t="s">
        <v>25</v>
      </c>
      <c r="B17" s="374">
        <v>11003.76</v>
      </c>
      <c r="C17" s="374">
        <v>22747.26</v>
      </c>
      <c r="D17" s="387"/>
      <c r="E17" s="387"/>
      <c r="F17" s="377"/>
    </row>
    <row r="18" spans="1:6" ht="16.2" thickBot="1" x14ac:dyDescent="0.35">
      <c r="A18" s="504" t="s">
        <v>26</v>
      </c>
      <c r="B18" s="374">
        <v>0</v>
      </c>
      <c r="C18" s="374">
        <v>0</v>
      </c>
      <c r="D18" s="387"/>
      <c r="E18" s="387"/>
      <c r="F18" s="377"/>
    </row>
    <row r="19" spans="1:6" ht="16.2" thickBot="1" x14ac:dyDescent="0.35">
      <c r="A19" s="504" t="s">
        <v>27</v>
      </c>
      <c r="B19" s="374">
        <v>37262.43</v>
      </c>
      <c r="C19" s="374">
        <v>62500</v>
      </c>
      <c r="D19" s="387"/>
      <c r="E19" s="387"/>
      <c r="F19" s="377"/>
    </row>
    <row r="20" spans="1:6" ht="16.2" thickBot="1" x14ac:dyDescent="0.35">
      <c r="A20" s="504" t="s">
        <v>28</v>
      </c>
      <c r="B20" s="374">
        <v>965.16</v>
      </c>
      <c r="C20" s="374">
        <v>20000</v>
      </c>
      <c r="D20" s="387"/>
      <c r="E20" s="387"/>
      <c r="F20" s="377"/>
    </row>
    <row r="21" spans="1:6" ht="16.2" thickBot="1" x14ac:dyDescent="0.35">
      <c r="A21" s="504" t="s">
        <v>29</v>
      </c>
      <c r="B21" s="374">
        <v>41015.5</v>
      </c>
      <c r="C21" s="374">
        <v>74500</v>
      </c>
      <c r="D21" s="387"/>
      <c r="E21" s="387"/>
      <c r="F21" s="377"/>
    </row>
    <row r="22" spans="1:6" ht="16.2" thickBot="1" x14ac:dyDescent="0.35">
      <c r="A22" s="504" t="s">
        <v>30</v>
      </c>
      <c r="B22" s="374">
        <f>7818.93+984.39+2455</f>
        <v>11258.32</v>
      </c>
      <c r="C22" s="374">
        <v>18000</v>
      </c>
      <c r="D22" s="387"/>
      <c r="E22" s="387"/>
      <c r="F22" s="377"/>
    </row>
    <row r="23" spans="1:6" ht="16.2" thickBot="1" x14ac:dyDescent="0.35">
      <c r="A23" s="506"/>
      <c r="B23" s="374">
        <v>0</v>
      </c>
      <c r="C23" s="374">
        <v>0</v>
      </c>
      <c r="D23" s="387"/>
      <c r="E23" s="387"/>
      <c r="F23" s="377"/>
    </row>
    <row r="24" spans="1:6" ht="16.2" thickBot="1" x14ac:dyDescent="0.35">
      <c r="A24" s="506"/>
      <c r="B24" s="374">
        <v>0</v>
      </c>
      <c r="C24" s="374">
        <v>0</v>
      </c>
      <c r="D24" s="387"/>
      <c r="E24" s="387"/>
      <c r="F24" s="377"/>
    </row>
    <row r="25" spans="1:6" ht="16.2" thickBot="1" x14ac:dyDescent="0.35">
      <c r="A25" s="506"/>
      <c r="B25" s="374">
        <v>0</v>
      </c>
      <c r="C25" s="374">
        <v>0</v>
      </c>
      <c r="D25" s="387"/>
      <c r="E25" s="387"/>
      <c r="F25" s="377"/>
    </row>
    <row r="26" spans="1:6" ht="16.2" thickBot="1" x14ac:dyDescent="0.35">
      <c r="A26" s="506"/>
      <c r="B26" s="374">
        <v>0</v>
      </c>
      <c r="C26" s="374">
        <v>0</v>
      </c>
      <c r="D26" s="387"/>
      <c r="E26" s="387"/>
      <c r="F26" s="377"/>
    </row>
    <row r="27" spans="1:6" ht="16.2" thickBot="1" x14ac:dyDescent="0.35">
      <c r="A27" s="506"/>
      <c r="B27" s="374">
        <v>0</v>
      </c>
      <c r="C27" s="374">
        <v>0</v>
      </c>
      <c r="D27" s="387"/>
      <c r="E27" s="387"/>
      <c r="F27" s="377"/>
    </row>
    <row r="28" spans="1:6" ht="16.2" thickBot="1" x14ac:dyDescent="0.35">
      <c r="A28" s="378"/>
      <c r="B28" s="374">
        <v>0</v>
      </c>
      <c r="C28" s="374">
        <v>0</v>
      </c>
      <c r="D28" s="387"/>
      <c r="E28" s="387"/>
      <c r="F28" s="377"/>
    </row>
    <row r="29" spans="1:6" ht="16.2" thickBot="1" x14ac:dyDescent="0.35">
      <c r="A29" s="505" t="s">
        <v>32</v>
      </c>
      <c r="B29" s="379">
        <f>SUM(B16:B28)</f>
        <v>113285.05000000002</v>
      </c>
      <c r="C29" s="379">
        <f>SUM(C16:C28)</f>
        <v>212947.26</v>
      </c>
      <c r="D29" s="388"/>
      <c r="E29" s="388"/>
      <c r="F29" s="3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202</vt:i4>
      </vt:variant>
      <vt:variant>
        <vt:lpstr>Named Ranges</vt:lpstr>
      </vt:variant>
      <vt:variant>
        <vt:i4>4</vt:i4>
      </vt:variant>
    </vt:vector>
  </HeadingPairs>
  <TitlesOfParts>
    <vt:vector size="206" baseType="lpstr">
      <vt:lpstr>REPORT</vt:lpstr>
      <vt:lpstr>CRF AMOUNTS</vt:lpstr>
      <vt:lpstr>REVENUE SUMMARY</vt:lpstr>
      <vt:lpstr>EXPENSE SUMMARY</vt:lpstr>
      <vt:lpstr>Andover</vt:lpstr>
      <vt:lpstr>Ansonia</vt:lpstr>
      <vt:lpstr>Ansonisa w BOE</vt:lpstr>
      <vt:lpstr>Ashford</vt:lpstr>
      <vt:lpstr>Avon</vt:lpstr>
      <vt:lpstr>Barkhamsted</vt:lpstr>
      <vt:lpstr>Beacon Falls</vt:lpstr>
      <vt:lpstr>Berlin</vt:lpstr>
      <vt:lpstr>Bethany</vt:lpstr>
      <vt:lpstr>Bethel</vt:lpstr>
      <vt:lpstr>Bethlehem</vt:lpstr>
      <vt:lpstr>Bloomfield</vt:lpstr>
      <vt:lpstr>Bolton</vt:lpstr>
      <vt:lpstr>Bozrah</vt:lpstr>
      <vt:lpstr>Branford</vt:lpstr>
      <vt:lpstr>Branford BOE</vt:lpstr>
      <vt:lpstr>Bridgeport</vt:lpstr>
      <vt:lpstr>Bridgewater</vt:lpstr>
      <vt:lpstr>Bristol</vt:lpstr>
      <vt:lpstr>Brookfield</vt:lpstr>
      <vt:lpstr>Brooklyn</vt:lpstr>
      <vt:lpstr>Brookyn BOE</vt:lpstr>
      <vt:lpstr>Burlington</vt:lpstr>
      <vt:lpstr>Canaan</vt:lpstr>
      <vt:lpstr>Canterbury</vt:lpstr>
      <vt:lpstr>Canton</vt:lpstr>
      <vt:lpstr>Chaplin</vt:lpstr>
      <vt:lpstr>Cheshire</vt:lpstr>
      <vt:lpstr>Chester</vt:lpstr>
      <vt:lpstr>Clinton</vt:lpstr>
      <vt:lpstr>Clinton BOE</vt:lpstr>
      <vt:lpstr>Colchester</vt:lpstr>
      <vt:lpstr>Colebrook</vt:lpstr>
      <vt:lpstr>Columbia</vt:lpstr>
      <vt:lpstr>Cornwall</vt:lpstr>
      <vt:lpstr>Coventry</vt:lpstr>
      <vt:lpstr>Cromwell</vt:lpstr>
      <vt:lpstr>Danbury</vt:lpstr>
      <vt:lpstr>Danbury with BOE</vt:lpstr>
      <vt:lpstr>Darien</vt:lpstr>
      <vt:lpstr>Deep River</vt:lpstr>
      <vt:lpstr>Derby</vt:lpstr>
      <vt:lpstr>Durham</vt:lpstr>
      <vt:lpstr>Eastford</vt:lpstr>
      <vt:lpstr>East Granby</vt:lpstr>
      <vt:lpstr>East Granby BOE</vt:lpstr>
      <vt:lpstr>East Haddam</vt:lpstr>
      <vt:lpstr>East Hampton</vt:lpstr>
      <vt:lpstr>East Hartford</vt:lpstr>
      <vt:lpstr>East Haven</vt:lpstr>
      <vt:lpstr>East Lyme</vt:lpstr>
      <vt:lpstr>Easton</vt:lpstr>
      <vt:lpstr>East Windsor</vt:lpstr>
      <vt:lpstr>Ellington</vt:lpstr>
      <vt:lpstr>Ellington BOE</vt:lpstr>
      <vt:lpstr>Enfield</vt:lpstr>
      <vt:lpstr>Essex</vt:lpstr>
      <vt:lpstr>Fairfield</vt:lpstr>
      <vt:lpstr>Farmington</vt:lpstr>
      <vt:lpstr>Franklin</vt:lpstr>
      <vt:lpstr>Franklin BOE</vt:lpstr>
      <vt:lpstr>Glastonbury</vt:lpstr>
      <vt:lpstr>Goshen</vt:lpstr>
      <vt:lpstr>Granby</vt:lpstr>
      <vt:lpstr>Greenwich</vt:lpstr>
      <vt:lpstr>Greenwich N. Witherell</vt:lpstr>
      <vt:lpstr>Griswold</vt:lpstr>
      <vt:lpstr>Griswold BOE</vt:lpstr>
      <vt:lpstr>Groton</vt:lpstr>
      <vt:lpstr>Groton City</vt:lpstr>
      <vt:lpstr>Guilford</vt:lpstr>
      <vt:lpstr>Haddam</vt:lpstr>
      <vt:lpstr>Hamden</vt:lpstr>
      <vt:lpstr>Hampton</vt:lpstr>
      <vt:lpstr>Hampton BOE</vt:lpstr>
      <vt:lpstr>Hartford</vt:lpstr>
      <vt:lpstr>Hartland</vt:lpstr>
      <vt:lpstr>Harwinton</vt:lpstr>
      <vt:lpstr>Hebron</vt:lpstr>
      <vt:lpstr>Kent</vt:lpstr>
      <vt:lpstr>Killingly</vt:lpstr>
      <vt:lpstr>Killingworth</vt:lpstr>
      <vt:lpstr>Lebanon</vt:lpstr>
      <vt:lpstr>Ledyard</vt:lpstr>
      <vt:lpstr>Ledyard BOE</vt:lpstr>
      <vt:lpstr>Lisbon</vt:lpstr>
      <vt:lpstr>Lisbon BOE</vt:lpstr>
      <vt:lpstr>Litchfield</vt:lpstr>
      <vt:lpstr>Lyme</vt:lpstr>
      <vt:lpstr>Lyme Old Lyme Reg 18</vt:lpstr>
      <vt:lpstr>Madison</vt:lpstr>
      <vt:lpstr>Manchester</vt:lpstr>
      <vt:lpstr>Mansfield</vt:lpstr>
      <vt:lpstr>Marlborough</vt:lpstr>
      <vt:lpstr>Meriden</vt:lpstr>
      <vt:lpstr>Meriden with BOE</vt:lpstr>
      <vt:lpstr>Middlebury</vt:lpstr>
      <vt:lpstr>Middlefield</vt:lpstr>
      <vt:lpstr>Middletown</vt:lpstr>
      <vt:lpstr>Milford</vt:lpstr>
      <vt:lpstr>Milford BOE</vt:lpstr>
      <vt:lpstr>Monroe</vt:lpstr>
      <vt:lpstr>Montville</vt:lpstr>
      <vt:lpstr>Montville BOE</vt:lpstr>
      <vt:lpstr>Morris</vt:lpstr>
      <vt:lpstr>Naugatuck</vt:lpstr>
      <vt:lpstr>New Britain</vt:lpstr>
      <vt:lpstr>New Canaan</vt:lpstr>
      <vt:lpstr>New Fairfield</vt:lpstr>
      <vt:lpstr>New Hartford</vt:lpstr>
      <vt:lpstr>New Haven</vt:lpstr>
      <vt:lpstr>Newington</vt:lpstr>
      <vt:lpstr>New London</vt:lpstr>
      <vt:lpstr>New Milford</vt:lpstr>
      <vt:lpstr>Newtown</vt:lpstr>
      <vt:lpstr>Norfolk</vt:lpstr>
      <vt:lpstr>North Branford</vt:lpstr>
      <vt:lpstr>North Canaan</vt:lpstr>
      <vt:lpstr>North Haven</vt:lpstr>
      <vt:lpstr>North Stonington</vt:lpstr>
      <vt:lpstr>Norwalk</vt:lpstr>
      <vt:lpstr>Norwich</vt:lpstr>
      <vt:lpstr>Old Lyme</vt:lpstr>
      <vt:lpstr>Old Saybrook</vt:lpstr>
      <vt:lpstr>Orange</vt:lpstr>
      <vt:lpstr>Oxford</vt:lpstr>
      <vt:lpstr>Plainfield</vt:lpstr>
      <vt:lpstr>Plainfield BOE</vt:lpstr>
      <vt:lpstr>Plainville</vt:lpstr>
      <vt:lpstr>Plymouth</vt:lpstr>
      <vt:lpstr>Pomfret</vt:lpstr>
      <vt:lpstr>Portland</vt:lpstr>
      <vt:lpstr>Preston</vt:lpstr>
      <vt:lpstr>Prospect</vt:lpstr>
      <vt:lpstr>Putnam</vt:lpstr>
      <vt:lpstr>Putnam BOE</vt:lpstr>
      <vt:lpstr>Redding</vt:lpstr>
      <vt:lpstr>Ridgefield</vt:lpstr>
      <vt:lpstr>Rocky Hill</vt:lpstr>
      <vt:lpstr>Rocky Hill BOE</vt:lpstr>
      <vt:lpstr>Roxbury</vt:lpstr>
      <vt:lpstr>Salem</vt:lpstr>
      <vt:lpstr>Salisbury</vt:lpstr>
      <vt:lpstr>Scotland </vt:lpstr>
      <vt:lpstr>Seymour</vt:lpstr>
      <vt:lpstr>Sharon</vt:lpstr>
      <vt:lpstr>Shelton</vt:lpstr>
      <vt:lpstr>Sherman</vt:lpstr>
      <vt:lpstr>Simsbury</vt:lpstr>
      <vt:lpstr>Somers</vt:lpstr>
      <vt:lpstr>Southbury</vt:lpstr>
      <vt:lpstr>Southington</vt:lpstr>
      <vt:lpstr>South Windsor</vt:lpstr>
      <vt:lpstr>Sprague</vt:lpstr>
      <vt:lpstr>Stafford</vt:lpstr>
      <vt:lpstr>Stamford</vt:lpstr>
      <vt:lpstr>Sterling</vt:lpstr>
      <vt:lpstr>Stonington</vt:lpstr>
      <vt:lpstr>Stratford</vt:lpstr>
      <vt:lpstr>Stratford BOE</vt:lpstr>
      <vt:lpstr>Suffield</vt:lpstr>
      <vt:lpstr>Thomaston</vt:lpstr>
      <vt:lpstr>Thomaston BOE </vt:lpstr>
      <vt:lpstr>Thompson</vt:lpstr>
      <vt:lpstr>Tolland</vt:lpstr>
      <vt:lpstr>Torrington</vt:lpstr>
      <vt:lpstr>Torrington BOE</vt:lpstr>
      <vt:lpstr>Trumbull</vt:lpstr>
      <vt:lpstr>Trumbull BOE</vt:lpstr>
      <vt:lpstr>Union</vt:lpstr>
      <vt:lpstr>Vernon</vt:lpstr>
      <vt:lpstr>Voluntown</vt:lpstr>
      <vt:lpstr>Wallingford </vt:lpstr>
      <vt:lpstr>Warren</vt:lpstr>
      <vt:lpstr>Washington</vt:lpstr>
      <vt:lpstr>Waterbury</vt:lpstr>
      <vt:lpstr>Waterbury BOE Food</vt:lpstr>
      <vt:lpstr>Waterford</vt:lpstr>
      <vt:lpstr>Watertown</vt:lpstr>
      <vt:lpstr>Westbrook</vt:lpstr>
      <vt:lpstr>West Hartford</vt:lpstr>
      <vt:lpstr>West Hartford BOE</vt:lpstr>
      <vt:lpstr>West Haven</vt:lpstr>
      <vt:lpstr>Weston</vt:lpstr>
      <vt:lpstr>Westport</vt:lpstr>
      <vt:lpstr>Wethersfield</vt:lpstr>
      <vt:lpstr>Willington</vt:lpstr>
      <vt:lpstr>Wilton</vt:lpstr>
      <vt:lpstr>Winchester</vt:lpstr>
      <vt:lpstr>Windham</vt:lpstr>
      <vt:lpstr>Windsor</vt:lpstr>
      <vt:lpstr>Windsor Locks</vt:lpstr>
      <vt:lpstr>Wolcott</vt:lpstr>
      <vt:lpstr>Wolcott BOE</vt:lpstr>
      <vt:lpstr>Woodbridge</vt:lpstr>
      <vt:lpstr>Woodbury</vt:lpstr>
      <vt:lpstr>Woodstock</vt:lpstr>
      <vt:lpstr>BLANK FORM</vt:lpstr>
      <vt:lpstr>'CRF AMOUNTS'!Print_Titles</vt:lpstr>
      <vt:lpstr>'EXPENSE SUMMARY'!Print_Titles</vt:lpstr>
      <vt:lpstr>REPORT!Print_Titles</vt:lpstr>
      <vt:lpstr>'REVENUE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Heft, Martin</dc:creator>
  <cp:lastModifiedBy>Taylor, Kathleen</cp:lastModifiedBy>
  <cp:lastPrinted>2020-06-23T13:52:58Z</cp:lastPrinted>
  <dcterms:created xsi:type="dcterms:W3CDTF">2020-05-05T17:01:45Z</dcterms:created>
  <dcterms:modified xsi:type="dcterms:W3CDTF">2020-09-10T15:33:01Z</dcterms:modified>
</cp:coreProperties>
</file>