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6AR12M\Excel Downloads\"/>
    </mc:Choice>
  </mc:AlternateContent>
  <bookViews>
    <workbookView xWindow="0" yWindow="0" windowWidth="28800" windowHeight="14235" activeTab="9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3">Report500!$A$1:$F$335</definedName>
    <definedName name="_xlnm.Print_Area" localSheetId="14">Report550!$A$1:$E$330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 fullCalcOnLoad="1"/>
</workbook>
</file>

<file path=xl/calcChain.xml><?xml version="1.0" encoding="utf-8"?>
<calcChain xmlns="http://schemas.openxmlformats.org/spreadsheetml/2006/main">
  <c r="D102" i="22" l="1"/>
  <c r="E97" i="22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C88" i="22"/>
  <c r="E83" i="22"/>
  <c r="E102" i="22"/>
  <c r="D83" i="22"/>
  <c r="D101" i="22"/>
  <c r="D103" i="22"/>
  <c r="C83" i="22"/>
  <c r="C102" i="22"/>
  <c r="E76" i="22"/>
  <c r="D76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33" i="22"/>
  <c r="E28" i="22"/>
  <c r="D28" i="22"/>
  <c r="C28" i="22"/>
  <c r="E27" i="22"/>
  <c r="D27" i="22"/>
  <c r="C27" i="22"/>
  <c r="D23" i="22"/>
  <c r="D36" i="22"/>
  <c r="E22" i="22"/>
  <c r="E35" i="22"/>
  <c r="E21" i="22"/>
  <c r="D21" i="22"/>
  <c r="C21" i="22"/>
  <c r="E12" i="22"/>
  <c r="D12" i="22"/>
  <c r="D34" i="22"/>
  <c r="D33" i="22"/>
  <c r="C12" i="22"/>
  <c r="D21" i="21"/>
  <c r="C21" i="21"/>
  <c r="D19" i="21"/>
  <c r="E19" i="21"/>
  <c r="F19" i="21"/>
  <c r="C19" i="21"/>
  <c r="E17" i="21"/>
  <c r="F17" i="21"/>
  <c r="E15" i="21"/>
  <c r="F15" i="21"/>
  <c r="D45" i="20"/>
  <c r="E45" i="20"/>
  <c r="F45" i="20"/>
  <c r="C45" i="20"/>
  <c r="D44" i="20"/>
  <c r="C44" i="20"/>
  <c r="D43" i="20"/>
  <c r="D46" i="20"/>
  <c r="C43" i="20"/>
  <c r="D36" i="20"/>
  <c r="D40" i="20"/>
  <c r="C36" i="20"/>
  <c r="E35" i="20"/>
  <c r="F35" i="20"/>
  <c r="F34" i="20"/>
  <c r="E34" i="20"/>
  <c r="F33" i="20"/>
  <c r="E33" i="20"/>
  <c r="E36" i="20"/>
  <c r="E30" i="20"/>
  <c r="F30" i="20"/>
  <c r="F29" i="20"/>
  <c r="E29" i="20"/>
  <c r="F28" i="20"/>
  <c r="E28" i="20"/>
  <c r="F27" i="20"/>
  <c r="E27" i="20"/>
  <c r="D25" i="20"/>
  <c r="D39" i="20"/>
  <c r="C25" i="20"/>
  <c r="C39" i="20"/>
  <c r="F24" i="20"/>
  <c r="E24" i="20"/>
  <c r="F23" i="20"/>
  <c r="E23" i="20"/>
  <c r="E22" i="20"/>
  <c r="F22" i="20"/>
  <c r="D19" i="20"/>
  <c r="D20" i="20"/>
  <c r="E20" i="20"/>
  <c r="C19" i="20"/>
  <c r="C20" i="20"/>
  <c r="F18" i="20"/>
  <c r="E18" i="20"/>
  <c r="D16" i="20"/>
  <c r="C16" i="20"/>
  <c r="F15" i="20"/>
  <c r="E15" i="20"/>
  <c r="F13" i="20"/>
  <c r="E13" i="20"/>
  <c r="E12" i="20"/>
  <c r="F12" i="20"/>
  <c r="C115" i="19"/>
  <c r="C105" i="19"/>
  <c r="C137" i="19"/>
  <c r="C139" i="19"/>
  <c r="C143" i="19"/>
  <c r="C96" i="19"/>
  <c r="C95" i="19"/>
  <c r="C89" i="19"/>
  <c r="C88" i="19"/>
  <c r="C83" i="19"/>
  <c r="C77" i="19"/>
  <c r="C78" i="19"/>
  <c r="C63" i="19"/>
  <c r="C59" i="19"/>
  <c r="C60" i="19"/>
  <c r="C49" i="19"/>
  <c r="C48" i="19"/>
  <c r="C36" i="19"/>
  <c r="C32" i="19"/>
  <c r="C33" i="19"/>
  <c r="C21" i="19"/>
  <c r="C37" i="19"/>
  <c r="C38" i="19"/>
  <c r="C127" i="19"/>
  <c r="C129" i="19"/>
  <c r="C133" i="19"/>
  <c r="E328" i="18"/>
  <c r="E325" i="18"/>
  <c r="D324" i="18"/>
  <c r="D326" i="18"/>
  <c r="C324" i="18"/>
  <c r="C326" i="18"/>
  <c r="C330" i="18"/>
  <c r="E318" i="18"/>
  <c r="E315" i="18"/>
  <c r="D314" i="18"/>
  <c r="D316" i="18"/>
  <c r="C314" i="18"/>
  <c r="C316" i="18"/>
  <c r="C320" i="18"/>
  <c r="E320" i="18"/>
  <c r="E308" i="18"/>
  <c r="E305" i="18"/>
  <c r="D301" i="18"/>
  <c r="E301" i="18"/>
  <c r="C301" i="18"/>
  <c r="D293" i="18"/>
  <c r="E293" i="18"/>
  <c r="C293" i="18"/>
  <c r="D292" i="18"/>
  <c r="E292" i="18"/>
  <c r="C292" i="18"/>
  <c r="D291" i="18"/>
  <c r="E291" i="18"/>
  <c r="C291" i="18"/>
  <c r="D290" i="18"/>
  <c r="E290" i="18"/>
  <c r="C290" i="18"/>
  <c r="D288" i="18"/>
  <c r="E288" i="18"/>
  <c r="C288" i="18"/>
  <c r="D287" i="18"/>
  <c r="E287" i="18"/>
  <c r="C287" i="18"/>
  <c r="D282" i="18"/>
  <c r="E282" i="18"/>
  <c r="C282" i="18"/>
  <c r="D281" i="18"/>
  <c r="E281" i="18"/>
  <c r="C281" i="18"/>
  <c r="D280" i="18"/>
  <c r="E280" i="18"/>
  <c r="C280" i="18"/>
  <c r="D279" i="18"/>
  <c r="C279" i="18"/>
  <c r="E279" i="18"/>
  <c r="D278" i="18"/>
  <c r="E278" i="18"/>
  <c r="C278" i="18"/>
  <c r="D277" i="18"/>
  <c r="C277" i="18"/>
  <c r="E277" i="18"/>
  <c r="D276" i="18"/>
  <c r="E276" i="18"/>
  <c r="C276" i="18"/>
  <c r="E270" i="18"/>
  <c r="D265" i="18"/>
  <c r="D302" i="18"/>
  <c r="C265" i="18"/>
  <c r="D262" i="18"/>
  <c r="E262" i="18"/>
  <c r="C262" i="18"/>
  <c r="D251" i="18"/>
  <c r="C251" i="18"/>
  <c r="D233" i="18"/>
  <c r="E233" i="18"/>
  <c r="C233" i="18"/>
  <c r="D232" i="18"/>
  <c r="C232" i="18"/>
  <c r="E232" i="18"/>
  <c r="D231" i="18"/>
  <c r="C231" i="18"/>
  <c r="D230" i="18"/>
  <c r="C230" i="18"/>
  <c r="D228" i="18"/>
  <c r="C228" i="18"/>
  <c r="E228" i="18"/>
  <c r="D227" i="18"/>
  <c r="E227" i="18"/>
  <c r="C227" i="18"/>
  <c r="D221" i="18"/>
  <c r="D245" i="18"/>
  <c r="C221" i="18"/>
  <c r="C245" i="18"/>
  <c r="D220" i="18"/>
  <c r="E220" i="18"/>
  <c r="C220" i="18"/>
  <c r="C244" i="18"/>
  <c r="E244" i="18"/>
  <c r="D219" i="18"/>
  <c r="D243" i="18"/>
  <c r="C219" i="18"/>
  <c r="C243" i="18"/>
  <c r="D218" i="18"/>
  <c r="E218" i="18"/>
  <c r="C218" i="18"/>
  <c r="C242" i="18"/>
  <c r="C217" i="18"/>
  <c r="D216" i="18"/>
  <c r="C216" i="18"/>
  <c r="E216" i="18"/>
  <c r="D215" i="18"/>
  <c r="D239" i="18"/>
  <c r="E239" i="18"/>
  <c r="C215" i="18"/>
  <c r="C239" i="18"/>
  <c r="E209" i="18"/>
  <c r="E208" i="18"/>
  <c r="E207" i="18"/>
  <c r="E206" i="18"/>
  <c r="D205" i="18"/>
  <c r="C205" i="18"/>
  <c r="C210" i="18"/>
  <c r="C211" i="18"/>
  <c r="C229" i="18"/>
  <c r="E204" i="18"/>
  <c r="E203" i="18"/>
  <c r="E197" i="18"/>
  <c r="E196" i="18"/>
  <c r="D195" i="18"/>
  <c r="D260" i="18"/>
  <c r="C195" i="18"/>
  <c r="C260" i="18"/>
  <c r="E194" i="18"/>
  <c r="E193" i="18"/>
  <c r="E192" i="18"/>
  <c r="E191" i="18"/>
  <c r="E190" i="18"/>
  <c r="D188" i="18"/>
  <c r="C188" i="18"/>
  <c r="C261" i="18"/>
  <c r="E186" i="18"/>
  <c r="E185" i="18"/>
  <c r="D179" i="18"/>
  <c r="C179" i="18"/>
  <c r="E179" i="18"/>
  <c r="D178" i="18"/>
  <c r="C178" i="18"/>
  <c r="E178" i="18"/>
  <c r="D177" i="18"/>
  <c r="E177" i="18"/>
  <c r="C177" i="18"/>
  <c r="D176" i="18"/>
  <c r="E176" i="18"/>
  <c r="C176" i="18"/>
  <c r="D174" i="18"/>
  <c r="E174" i="18"/>
  <c r="C174" i="18"/>
  <c r="D173" i="18"/>
  <c r="C173" i="18"/>
  <c r="E173" i="18"/>
  <c r="D167" i="18"/>
  <c r="C167" i="18"/>
  <c r="E167" i="18"/>
  <c r="D166" i="18"/>
  <c r="E166" i="18"/>
  <c r="C166" i="18"/>
  <c r="D165" i="18"/>
  <c r="E165" i="18"/>
  <c r="C165" i="18"/>
  <c r="D164" i="18"/>
  <c r="C164" i="18"/>
  <c r="E164" i="18"/>
  <c r="D162" i="18"/>
  <c r="E162" i="18"/>
  <c r="C162" i="18"/>
  <c r="D161" i="18"/>
  <c r="E161" i="18"/>
  <c r="C161" i="18"/>
  <c r="D156" i="18"/>
  <c r="D157" i="18"/>
  <c r="E155" i="18"/>
  <c r="E154" i="18"/>
  <c r="E153" i="18"/>
  <c r="E152" i="18"/>
  <c r="D151" i="18"/>
  <c r="C151" i="18"/>
  <c r="E151" i="18"/>
  <c r="E150" i="18"/>
  <c r="E149" i="18"/>
  <c r="C144" i="18"/>
  <c r="E143" i="18"/>
  <c r="E142" i="18"/>
  <c r="E141" i="18"/>
  <c r="E140" i="18"/>
  <c r="D139" i="18"/>
  <c r="D163" i="18"/>
  <c r="C139" i="18"/>
  <c r="C175" i="18"/>
  <c r="C163" i="18"/>
  <c r="E138" i="18"/>
  <c r="E137" i="18"/>
  <c r="D75" i="18"/>
  <c r="C75" i="18"/>
  <c r="E75" i="18"/>
  <c r="D74" i="18"/>
  <c r="E74" i="18"/>
  <c r="C74" i="18"/>
  <c r="D73" i="18"/>
  <c r="C73" i="18"/>
  <c r="E73" i="18"/>
  <c r="D72" i="18"/>
  <c r="E72" i="18"/>
  <c r="C72" i="18"/>
  <c r="D70" i="18"/>
  <c r="C70" i="18"/>
  <c r="C76" i="18"/>
  <c r="D69" i="18"/>
  <c r="C69" i="18"/>
  <c r="C65" i="18"/>
  <c r="C66" i="18"/>
  <c r="E64" i="18"/>
  <c r="E63" i="18"/>
  <c r="E62" i="18"/>
  <c r="E61" i="18"/>
  <c r="D60" i="18"/>
  <c r="D289" i="18"/>
  <c r="E289" i="18"/>
  <c r="C60" i="18"/>
  <c r="C71" i="18"/>
  <c r="C289" i="18"/>
  <c r="E59" i="18"/>
  <c r="E58" i="18"/>
  <c r="D54" i="18"/>
  <c r="D55" i="18"/>
  <c r="C54" i="18"/>
  <c r="C55" i="18"/>
  <c r="C235" i="18"/>
  <c r="E53" i="18"/>
  <c r="E52" i="18"/>
  <c r="E51" i="18"/>
  <c r="E50" i="18"/>
  <c r="E49" i="18"/>
  <c r="E48" i="18"/>
  <c r="E47" i="18"/>
  <c r="D42" i="18"/>
  <c r="E42" i="18"/>
  <c r="C42" i="18"/>
  <c r="D41" i="18"/>
  <c r="E41" i="18"/>
  <c r="C41" i="18"/>
  <c r="D40" i="18"/>
  <c r="E40" i="18"/>
  <c r="C40" i="18"/>
  <c r="D39" i="18"/>
  <c r="C39" i="18"/>
  <c r="E39" i="18"/>
  <c r="D38" i="18"/>
  <c r="C38" i="18"/>
  <c r="E38" i="18"/>
  <c r="D37" i="18"/>
  <c r="D43" i="18"/>
  <c r="D44" i="18"/>
  <c r="C37" i="18"/>
  <c r="C43" i="18"/>
  <c r="D36" i="18"/>
  <c r="C36" i="18"/>
  <c r="C44" i="18"/>
  <c r="C33" i="18"/>
  <c r="D32" i="18"/>
  <c r="D33" i="18"/>
  <c r="C32" i="18"/>
  <c r="E31" i="18"/>
  <c r="E30" i="18"/>
  <c r="E29" i="18"/>
  <c r="E28" i="18"/>
  <c r="E27" i="18"/>
  <c r="E26" i="18"/>
  <c r="E25" i="18"/>
  <c r="D21" i="18"/>
  <c r="D22" i="18"/>
  <c r="C21" i="18"/>
  <c r="C283" i="18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/>
  <c r="C311" i="17"/>
  <c r="F308" i="17"/>
  <c r="E308" i="17"/>
  <c r="D307" i="17"/>
  <c r="E307" i="17"/>
  <c r="C307" i="17"/>
  <c r="F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E306" i="17"/>
  <c r="C250" i="17"/>
  <c r="C306" i="17"/>
  <c r="E249" i="17"/>
  <c r="F249" i="17"/>
  <c r="E248" i="17"/>
  <c r="F248" i="17"/>
  <c r="F245" i="17"/>
  <c r="E245" i="17"/>
  <c r="E244" i="17"/>
  <c r="F244" i="17"/>
  <c r="E243" i="17"/>
  <c r="F243" i="17"/>
  <c r="D238" i="17"/>
  <c r="E238" i="17"/>
  <c r="F238" i="17"/>
  <c r="C238" i="17"/>
  <c r="D237" i="17"/>
  <c r="C237" i="17"/>
  <c r="E234" i="17"/>
  <c r="F234" i="17"/>
  <c r="F233" i="17"/>
  <c r="E233" i="17"/>
  <c r="D230" i="17"/>
  <c r="E230" i="17"/>
  <c r="F230" i="17"/>
  <c r="C230" i="17"/>
  <c r="D229" i="17"/>
  <c r="E229" i="17"/>
  <c r="F229" i="17"/>
  <c r="C229" i="17"/>
  <c r="E228" i="17"/>
  <c r="F228" i="17"/>
  <c r="D226" i="17"/>
  <c r="E226" i="17"/>
  <c r="C226" i="17"/>
  <c r="F226" i="17"/>
  <c r="E225" i="17"/>
  <c r="F225" i="17"/>
  <c r="E224" i="17"/>
  <c r="F224" i="17"/>
  <c r="D223" i="17"/>
  <c r="E223" i="17"/>
  <c r="F223" i="17"/>
  <c r="C223" i="17"/>
  <c r="E222" i="17"/>
  <c r="F222" i="17"/>
  <c r="E221" i="17"/>
  <c r="F221" i="17"/>
  <c r="D204" i="17"/>
  <c r="C204" i="17"/>
  <c r="C285" i="17"/>
  <c r="D203" i="17"/>
  <c r="C203" i="17"/>
  <c r="C283" i="17"/>
  <c r="D198" i="17"/>
  <c r="C198" i="17"/>
  <c r="D191" i="17"/>
  <c r="C191" i="17"/>
  <c r="C280" i="17"/>
  <c r="D189" i="17"/>
  <c r="C189" i="17"/>
  <c r="C278" i="17"/>
  <c r="D188" i="17"/>
  <c r="C188" i="17"/>
  <c r="C277" i="17"/>
  <c r="D180" i="17"/>
  <c r="E180" i="17"/>
  <c r="F180" i="17"/>
  <c r="C180" i="17"/>
  <c r="D179" i="17"/>
  <c r="C179" i="17"/>
  <c r="D171" i="17"/>
  <c r="E171" i="17"/>
  <c r="C171" i="17"/>
  <c r="D170" i="17"/>
  <c r="E170" i="17"/>
  <c r="F170" i="17"/>
  <c r="C170" i="17"/>
  <c r="E169" i="17"/>
  <c r="F169" i="17"/>
  <c r="E168" i="17"/>
  <c r="F168" i="17"/>
  <c r="D165" i="17"/>
  <c r="E165" i="17"/>
  <c r="F165" i="17"/>
  <c r="C165" i="17"/>
  <c r="D164" i="17"/>
  <c r="E164" i="17"/>
  <c r="C164" i="17"/>
  <c r="F164" i="17"/>
  <c r="E163" i="17"/>
  <c r="F163" i="17"/>
  <c r="D158" i="17"/>
  <c r="E158" i="17"/>
  <c r="C158" i="17"/>
  <c r="E157" i="17"/>
  <c r="F157" i="17"/>
  <c r="E156" i="17"/>
  <c r="F156" i="17"/>
  <c r="D155" i="17"/>
  <c r="E155" i="17"/>
  <c r="F155" i="17"/>
  <c r="C155" i="17"/>
  <c r="E154" i="17"/>
  <c r="F154" i="17"/>
  <c r="E153" i="17"/>
  <c r="F153" i="17"/>
  <c r="D145" i="17"/>
  <c r="E145" i="17"/>
  <c r="F145" i="17"/>
  <c r="C145" i="17"/>
  <c r="D144" i="17"/>
  <c r="E144" i="17"/>
  <c r="C144" i="17"/>
  <c r="F144" i="17"/>
  <c r="D136" i="17"/>
  <c r="E136" i="17"/>
  <c r="C136" i="17"/>
  <c r="F136" i="17"/>
  <c r="C137" i="17"/>
  <c r="D135" i="17"/>
  <c r="C135" i="17"/>
  <c r="E135" i="17"/>
  <c r="E134" i="17"/>
  <c r="F134" i="17"/>
  <c r="E133" i="17"/>
  <c r="F133" i="17"/>
  <c r="D130" i="17"/>
  <c r="C130" i="17"/>
  <c r="E130" i="17"/>
  <c r="D129" i="17"/>
  <c r="E129" i="17"/>
  <c r="C129" i="17"/>
  <c r="F129" i="17"/>
  <c r="E128" i="17"/>
  <c r="F128" i="17"/>
  <c r="D123" i="17"/>
  <c r="E123" i="17"/>
  <c r="F123" i="17"/>
  <c r="C123" i="17"/>
  <c r="E122" i="17"/>
  <c r="F122" i="17"/>
  <c r="E121" i="17"/>
  <c r="F121" i="17"/>
  <c r="D120" i="17"/>
  <c r="C120" i="17"/>
  <c r="E120" i="17"/>
  <c r="F120" i="17"/>
  <c r="E119" i="17"/>
  <c r="F119" i="17"/>
  <c r="E118" i="17"/>
  <c r="F118" i="17"/>
  <c r="D110" i="17"/>
  <c r="E110" i="17"/>
  <c r="C110" i="17"/>
  <c r="F110" i="17"/>
  <c r="D109" i="17"/>
  <c r="E109" i="17"/>
  <c r="C109" i="17"/>
  <c r="F109" i="17"/>
  <c r="C111" i="17"/>
  <c r="D101" i="17"/>
  <c r="E101" i="17"/>
  <c r="F101" i="17"/>
  <c r="C101" i="17"/>
  <c r="C102" i="17"/>
  <c r="C103" i="17"/>
  <c r="D100" i="17"/>
  <c r="E100" i="17"/>
  <c r="C100" i="17"/>
  <c r="F100" i="17"/>
  <c r="E99" i="17"/>
  <c r="F99" i="17"/>
  <c r="E98" i="17"/>
  <c r="F98" i="17"/>
  <c r="D95" i="17"/>
  <c r="E95" i="17"/>
  <c r="C95" i="17"/>
  <c r="D94" i="17"/>
  <c r="E94" i="17"/>
  <c r="C94" i="17"/>
  <c r="E93" i="17"/>
  <c r="F93" i="17"/>
  <c r="D88" i="17"/>
  <c r="D89" i="17"/>
  <c r="C88" i="17"/>
  <c r="C89" i="17"/>
  <c r="E87" i="17"/>
  <c r="F87" i="17"/>
  <c r="E86" i="17"/>
  <c r="F86" i="17"/>
  <c r="D85" i="17"/>
  <c r="C85" i="17"/>
  <c r="E84" i="17"/>
  <c r="F84" i="17"/>
  <c r="E83" i="17"/>
  <c r="F83" i="17"/>
  <c r="D76" i="17"/>
  <c r="D77" i="17"/>
  <c r="C76" i="17"/>
  <c r="C77" i="17"/>
  <c r="F74" i="17"/>
  <c r="E74" i="17"/>
  <c r="E73" i="17"/>
  <c r="F73" i="17"/>
  <c r="D67" i="17"/>
  <c r="E67" i="17"/>
  <c r="C67" i="17"/>
  <c r="F67" i="17"/>
  <c r="D66" i="17"/>
  <c r="D68" i="17"/>
  <c r="C66" i="17"/>
  <c r="C68" i="17"/>
  <c r="E68" i="17"/>
  <c r="D59" i="17"/>
  <c r="D60" i="17"/>
  <c r="C59" i="17"/>
  <c r="C60" i="17"/>
  <c r="D58" i="17"/>
  <c r="E58" i="17"/>
  <c r="C58" i="17"/>
  <c r="F58" i="17"/>
  <c r="E57" i="17"/>
  <c r="F57" i="17"/>
  <c r="E56" i="17"/>
  <c r="F56" i="17"/>
  <c r="D53" i="17"/>
  <c r="E53" i="17"/>
  <c r="C53" i="17"/>
  <c r="F53" i="17"/>
  <c r="D52" i="17"/>
  <c r="E52" i="17"/>
  <c r="C52" i="17"/>
  <c r="F51" i="17"/>
  <c r="E51" i="17"/>
  <c r="D47" i="17"/>
  <c r="E47" i="17"/>
  <c r="C47" i="17"/>
  <c r="E46" i="17"/>
  <c r="F46" i="17"/>
  <c r="E45" i="17"/>
  <c r="F45" i="17"/>
  <c r="D44" i="17"/>
  <c r="E44" i="17"/>
  <c r="C44" i="17"/>
  <c r="F44" i="17"/>
  <c r="E43" i="17"/>
  <c r="F43" i="17"/>
  <c r="E42" i="17"/>
  <c r="F42" i="17"/>
  <c r="D36" i="17"/>
  <c r="E36" i="17"/>
  <c r="F36" i="17"/>
  <c r="C36" i="17"/>
  <c r="D35" i="17"/>
  <c r="E35" i="17"/>
  <c r="C35" i="17"/>
  <c r="F35" i="17"/>
  <c r="D30" i="17"/>
  <c r="E30" i="17"/>
  <c r="F30" i="17"/>
  <c r="C30" i="17"/>
  <c r="C31" i="17"/>
  <c r="C32" i="17"/>
  <c r="D29" i="17"/>
  <c r="E29" i="17"/>
  <c r="C29" i="17"/>
  <c r="E28" i="17"/>
  <c r="F28" i="17"/>
  <c r="E27" i="17"/>
  <c r="F27" i="17"/>
  <c r="D24" i="17"/>
  <c r="E24" i="17"/>
  <c r="C24" i="17"/>
  <c r="F24" i="17"/>
  <c r="D23" i="17"/>
  <c r="E23" i="17"/>
  <c r="C23" i="17"/>
  <c r="F23" i="17"/>
  <c r="E22" i="17"/>
  <c r="F22" i="17"/>
  <c r="D20" i="17"/>
  <c r="C20" i="17"/>
  <c r="E19" i="17"/>
  <c r="F19" i="17"/>
  <c r="E18" i="17"/>
  <c r="F18" i="17"/>
  <c r="D17" i="17"/>
  <c r="E17" i="17"/>
  <c r="C17" i="17"/>
  <c r="F17" i="17"/>
  <c r="E16" i="17"/>
  <c r="F16" i="17"/>
  <c r="E15" i="17"/>
  <c r="F15" i="17"/>
  <c r="D21" i="16"/>
  <c r="E21" i="16"/>
  <c r="C21" i="16"/>
  <c r="F20" i="16"/>
  <c r="E20" i="16"/>
  <c r="D17" i="16"/>
  <c r="E17" i="16"/>
  <c r="F17" i="16"/>
  <c r="C17" i="16"/>
  <c r="E16" i="16"/>
  <c r="F16" i="16"/>
  <c r="D13" i="16"/>
  <c r="E13" i="16"/>
  <c r="C13" i="16"/>
  <c r="F12" i="16"/>
  <c r="E12" i="16"/>
  <c r="D107" i="15"/>
  <c r="E107" i="15"/>
  <c r="F107" i="15"/>
  <c r="C107" i="15"/>
  <c r="E106" i="15"/>
  <c r="F106" i="15"/>
  <c r="F105" i="15"/>
  <c r="E105" i="15"/>
  <c r="E104" i="15"/>
  <c r="F104" i="15"/>
  <c r="D100" i="15"/>
  <c r="E100" i="15"/>
  <c r="C100" i="15"/>
  <c r="F99" i="15"/>
  <c r="E99" i="15"/>
  <c r="E98" i="15"/>
  <c r="F98" i="15"/>
  <c r="F97" i="15"/>
  <c r="E97" i="15"/>
  <c r="E96" i="15"/>
  <c r="F96" i="15"/>
  <c r="F95" i="15"/>
  <c r="E95" i="15"/>
  <c r="D92" i="15"/>
  <c r="E92" i="15"/>
  <c r="F92" i="15"/>
  <c r="C92" i="15"/>
  <c r="F91" i="15"/>
  <c r="E91" i="15"/>
  <c r="F90" i="15"/>
  <c r="E90" i="15"/>
  <c r="E89" i="15"/>
  <c r="F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E74" i="15"/>
  <c r="E75" i="15"/>
  <c r="F75" i="15"/>
  <c r="F73" i="15"/>
  <c r="E73" i="15"/>
  <c r="D70" i="15"/>
  <c r="E70" i="15"/>
  <c r="C70" i="15"/>
  <c r="F69" i="15"/>
  <c r="E69" i="15"/>
  <c r="E68" i="15"/>
  <c r="F68" i="15"/>
  <c r="D65" i="15"/>
  <c r="E65" i="15"/>
  <c r="C65" i="15"/>
  <c r="F65" i="15"/>
  <c r="F64" i="15"/>
  <c r="E64" i="15"/>
  <c r="E63" i="15"/>
  <c r="F63" i="15"/>
  <c r="F60" i="15"/>
  <c r="D60" i="15"/>
  <c r="C60" i="15"/>
  <c r="F59" i="15"/>
  <c r="E59" i="15"/>
  <c r="E60" i="15"/>
  <c r="F58" i="15"/>
  <c r="E58" i="15"/>
  <c r="D55" i="15"/>
  <c r="C55" i="15"/>
  <c r="F55" i="15"/>
  <c r="F54" i="15"/>
  <c r="E54" i="15"/>
  <c r="F53" i="15"/>
  <c r="E53" i="15"/>
  <c r="D50" i="15"/>
  <c r="C50" i="15"/>
  <c r="F50" i="15"/>
  <c r="F49" i="15"/>
  <c r="E49" i="15"/>
  <c r="F48" i="15"/>
  <c r="E48" i="15"/>
  <c r="D45" i="15"/>
  <c r="C45" i="15"/>
  <c r="F45" i="15"/>
  <c r="F44" i="15"/>
  <c r="E44" i="15"/>
  <c r="F43" i="15"/>
  <c r="E43" i="15"/>
  <c r="D37" i="15"/>
  <c r="E37" i="15"/>
  <c r="C37" i="15"/>
  <c r="F37" i="15"/>
  <c r="F36" i="15"/>
  <c r="E36" i="15"/>
  <c r="F35" i="15"/>
  <c r="E35" i="15"/>
  <c r="F34" i="15"/>
  <c r="E34" i="15"/>
  <c r="F33" i="15"/>
  <c r="E33" i="15"/>
  <c r="F30" i="15"/>
  <c r="D30" i="15"/>
  <c r="C30" i="15"/>
  <c r="E30" i="15"/>
  <c r="F29" i="15"/>
  <c r="E29" i="15"/>
  <c r="F28" i="15"/>
  <c r="E28" i="15"/>
  <c r="F27" i="15"/>
  <c r="E27" i="15"/>
  <c r="F26" i="15"/>
  <c r="E26" i="15"/>
  <c r="D23" i="15"/>
  <c r="E23" i="15"/>
  <c r="C23" i="15"/>
  <c r="F22" i="15"/>
  <c r="E22" i="15"/>
  <c r="E21" i="15"/>
  <c r="F21" i="15"/>
  <c r="F20" i="15"/>
  <c r="E20" i="15"/>
  <c r="E19" i="15"/>
  <c r="F19" i="15"/>
  <c r="D16" i="15"/>
  <c r="E16" i="15"/>
  <c r="C16" i="15"/>
  <c r="F15" i="15"/>
  <c r="E15" i="15"/>
  <c r="E14" i="15"/>
  <c r="F14" i="15"/>
  <c r="F13" i="15"/>
  <c r="E13" i="15"/>
  <c r="E12" i="15"/>
  <c r="F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E31" i="14"/>
  <c r="D17" i="14"/>
  <c r="D33" i="14"/>
  <c r="D36" i="14"/>
  <c r="D38" i="14"/>
  <c r="D40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D80" i="13"/>
  <c r="D77" i="13"/>
  <c r="C79" i="13"/>
  <c r="E78" i="13"/>
  <c r="E80" i="13"/>
  <c r="E77" i="13"/>
  <c r="D78" i="13"/>
  <c r="C78" i="13"/>
  <c r="C80" i="13"/>
  <c r="C77" i="13"/>
  <c r="E75" i="13"/>
  <c r="E73" i="13"/>
  <c r="D73" i="13"/>
  <c r="D75" i="13"/>
  <c r="C73" i="13"/>
  <c r="C75" i="13"/>
  <c r="E71" i="13"/>
  <c r="D71" i="13"/>
  <c r="C71" i="13"/>
  <c r="E66" i="13"/>
  <c r="E65" i="13"/>
  <c r="D66" i="13"/>
  <c r="D65" i="13"/>
  <c r="C66" i="13"/>
  <c r="C65" i="13"/>
  <c r="E60" i="13"/>
  <c r="D60" i="13"/>
  <c r="C60" i="13"/>
  <c r="E58" i="13"/>
  <c r="D58" i="13"/>
  <c r="C58" i="13"/>
  <c r="E55" i="13"/>
  <c r="E50" i="13"/>
  <c r="D55" i="13"/>
  <c r="C55" i="13"/>
  <c r="C50" i="13"/>
  <c r="E54" i="13"/>
  <c r="D54" i="13"/>
  <c r="D50" i="13"/>
  <c r="C54" i="13"/>
  <c r="E46" i="13"/>
  <c r="E59" i="13"/>
  <c r="E61" i="13"/>
  <c r="E57" i="13"/>
  <c r="D46" i="13"/>
  <c r="D59" i="13"/>
  <c r="D61" i="13"/>
  <c r="D57" i="13"/>
  <c r="C46" i="13"/>
  <c r="C48" i="13"/>
  <c r="C42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C25" i="13"/>
  <c r="C27" i="13"/>
  <c r="E13" i="13"/>
  <c r="E15" i="13"/>
  <c r="E24" i="13"/>
  <c r="D13" i="13"/>
  <c r="D25" i="13"/>
  <c r="D27" i="13"/>
  <c r="C13" i="13"/>
  <c r="C15" i="13"/>
  <c r="C24" i="13"/>
  <c r="D47" i="12"/>
  <c r="E47" i="12"/>
  <c r="C47" i="12"/>
  <c r="F47" i="12"/>
  <c r="F46" i="12"/>
  <c r="E46" i="12"/>
  <c r="E45" i="12"/>
  <c r="F45" i="12"/>
  <c r="D40" i="12"/>
  <c r="E40" i="12"/>
  <c r="C40" i="12"/>
  <c r="E39" i="12"/>
  <c r="F39" i="12"/>
  <c r="E38" i="12"/>
  <c r="F38" i="12"/>
  <c r="F37" i="12"/>
  <c r="E37" i="12"/>
  <c r="D32" i="12"/>
  <c r="E32" i="12"/>
  <c r="C32" i="12"/>
  <c r="E31" i="12"/>
  <c r="F31" i="12"/>
  <c r="F30" i="12"/>
  <c r="E30" i="12"/>
  <c r="F29" i="12"/>
  <c r="E29" i="12"/>
  <c r="F28" i="12"/>
  <c r="E28" i="12"/>
  <c r="E27" i="12"/>
  <c r="F27" i="12"/>
  <c r="F26" i="12"/>
  <c r="E26" i="12"/>
  <c r="F25" i="12"/>
  <c r="E25" i="12"/>
  <c r="E24" i="12"/>
  <c r="F24" i="12"/>
  <c r="E23" i="12"/>
  <c r="F23" i="12"/>
  <c r="F19" i="12"/>
  <c r="E19" i="12"/>
  <c r="F18" i="12"/>
  <c r="E18" i="12"/>
  <c r="E16" i="12"/>
  <c r="F16" i="12"/>
  <c r="D15" i="12"/>
  <c r="D17" i="12"/>
  <c r="C15" i="12"/>
  <c r="C17" i="12"/>
  <c r="F14" i="12"/>
  <c r="E14" i="12"/>
  <c r="E13" i="12"/>
  <c r="F13" i="12"/>
  <c r="E12" i="12"/>
  <c r="F12" i="12"/>
  <c r="F11" i="12"/>
  <c r="E11" i="12"/>
  <c r="D73" i="11"/>
  <c r="C73" i="11"/>
  <c r="E72" i="11"/>
  <c r="F72" i="11"/>
  <c r="F71" i="11"/>
  <c r="E71" i="11"/>
  <c r="F70" i="11"/>
  <c r="E70" i="11"/>
  <c r="F67" i="11"/>
  <c r="E67" i="11"/>
  <c r="E64" i="11"/>
  <c r="F64" i="11"/>
  <c r="F63" i="11"/>
  <c r="E63" i="11"/>
  <c r="D61" i="11"/>
  <c r="D65" i="11"/>
  <c r="C61" i="11"/>
  <c r="C65" i="11"/>
  <c r="F60" i="11"/>
  <c r="E60" i="11"/>
  <c r="E59" i="11"/>
  <c r="F59" i="11"/>
  <c r="D56" i="11"/>
  <c r="C56" i="11"/>
  <c r="F55" i="11"/>
  <c r="E55" i="11"/>
  <c r="F54" i="11"/>
  <c r="E54" i="11"/>
  <c r="E53" i="11"/>
  <c r="F53" i="11"/>
  <c r="E52" i="11"/>
  <c r="F52" i="11"/>
  <c r="F51" i="11"/>
  <c r="E51" i="11"/>
  <c r="A54" i="11"/>
  <c r="A55" i="11"/>
  <c r="E50" i="11"/>
  <c r="F50" i="11"/>
  <c r="A50" i="11"/>
  <c r="A51" i="11"/>
  <c r="A52" i="11"/>
  <c r="A53" i="11"/>
  <c r="F49" i="11"/>
  <c r="E49" i="11"/>
  <c r="E40" i="11"/>
  <c r="F40" i="11"/>
  <c r="D38" i="11"/>
  <c r="D41" i="11"/>
  <c r="E41" i="11"/>
  <c r="C38" i="11"/>
  <c r="C41" i="11"/>
  <c r="E37" i="11"/>
  <c r="F37" i="11"/>
  <c r="F36" i="11"/>
  <c r="E36" i="11"/>
  <c r="E33" i="11"/>
  <c r="F33" i="11"/>
  <c r="E32" i="11"/>
  <c r="F32" i="11"/>
  <c r="F31" i="11"/>
  <c r="E31" i="11"/>
  <c r="D29" i="11"/>
  <c r="E29" i="11"/>
  <c r="C29" i="11"/>
  <c r="F29" i="11"/>
  <c r="E28" i="11"/>
  <c r="F28" i="11"/>
  <c r="E27" i="11"/>
  <c r="F27" i="11"/>
  <c r="F26" i="11"/>
  <c r="E26" i="11"/>
  <c r="E25" i="11"/>
  <c r="F25" i="11"/>
  <c r="D22" i="11"/>
  <c r="D43" i="11"/>
  <c r="E43" i="11"/>
  <c r="C22" i="11"/>
  <c r="C43" i="11"/>
  <c r="E21" i="11"/>
  <c r="F21" i="11"/>
  <c r="E20" i="11"/>
  <c r="F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E13" i="11"/>
  <c r="F13" i="11"/>
  <c r="D120" i="10"/>
  <c r="E120" i="10"/>
  <c r="C120" i="10"/>
  <c r="F120" i="10"/>
  <c r="D119" i="10"/>
  <c r="E119" i="10"/>
  <c r="C119" i="10"/>
  <c r="F119" i="10"/>
  <c r="D118" i="10"/>
  <c r="E118" i="10"/>
  <c r="C118" i="10"/>
  <c r="F118" i="10"/>
  <c r="D117" i="10"/>
  <c r="E117" i="10"/>
  <c r="C117" i="10"/>
  <c r="F117" i="10"/>
  <c r="D116" i="10"/>
  <c r="E116" i="10"/>
  <c r="C116" i="10"/>
  <c r="F116" i="10"/>
  <c r="D115" i="10"/>
  <c r="E115" i="10"/>
  <c r="C115" i="10"/>
  <c r="F115" i="10"/>
  <c r="D114" i="10"/>
  <c r="E114" i="10"/>
  <c r="C114" i="10"/>
  <c r="C121" i="10"/>
  <c r="F121" i="10"/>
  <c r="D113" i="10"/>
  <c r="C113" i="10"/>
  <c r="F113" i="10"/>
  <c r="C122" i="10"/>
  <c r="F122" i="10"/>
  <c r="F112" i="10"/>
  <c r="D112" i="10"/>
  <c r="D121" i="10"/>
  <c r="C112" i="10"/>
  <c r="F108" i="10"/>
  <c r="D108" i="10"/>
  <c r="E108" i="10"/>
  <c r="C108" i="10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/>
  <c r="D59" i="10"/>
  <c r="C59" i="10"/>
  <c r="F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C48" i="10"/>
  <c r="F48" i="10"/>
  <c r="D47" i="10"/>
  <c r="C47" i="10"/>
  <c r="F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F36" i="10"/>
  <c r="D35" i="10"/>
  <c r="C35" i="10"/>
  <c r="F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4" i="10"/>
  <c r="D23" i="10"/>
  <c r="C23" i="10"/>
  <c r="F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C205" i="9"/>
  <c r="D204" i="9"/>
  <c r="C204" i="9"/>
  <c r="D203" i="9"/>
  <c r="C203" i="9"/>
  <c r="D202" i="9"/>
  <c r="C202" i="9"/>
  <c r="D201" i="9"/>
  <c r="C201" i="9"/>
  <c r="D200" i="9"/>
  <c r="C200" i="9"/>
  <c r="D199" i="9"/>
  <c r="D208" i="9"/>
  <c r="C199" i="9"/>
  <c r="D198" i="9"/>
  <c r="D207" i="9"/>
  <c r="E207" i="9"/>
  <c r="F207" i="9"/>
  <c r="C198" i="9"/>
  <c r="C207" i="9"/>
  <c r="D193" i="9"/>
  <c r="C193" i="9"/>
  <c r="D192" i="9"/>
  <c r="C192" i="9"/>
  <c r="E191" i="9"/>
  <c r="F191" i="9"/>
  <c r="E190" i="9"/>
  <c r="F190" i="9"/>
  <c r="E189" i="9"/>
  <c r="F189" i="9"/>
  <c r="E188" i="9"/>
  <c r="F188" i="9"/>
  <c r="E187" i="9"/>
  <c r="F187" i="9"/>
  <c r="E186" i="9"/>
  <c r="F186" i="9"/>
  <c r="E185" i="9"/>
  <c r="F185" i="9"/>
  <c r="E184" i="9"/>
  <c r="F184" i="9"/>
  <c r="E183" i="9"/>
  <c r="F183" i="9"/>
  <c r="D180" i="9"/>
  <c r="C180" i="9"/>
  <c r="F180" i="9"/>
  <c r="D179" i="9"/>
  <c r="C179" i="9"/>
  <c r="F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F167" i="9"/>
  <c r="D166" i="9"/>
  <c r="C166" i="9"/>
  <c r="F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D153" i="9"/>
  <c r="C153" i="9"/>
  <c r="E152" i="9"/>
  <c r="F152" i="9"/>
  <c r="E151" i="9"/>
  <c r="F151" i="9"/>
  <c r="E150" i="9"/>
  <c r="F150" i="9"/>
  <c r="E149" i="9"/>
  <c r="F149" i="9"/>
  <c r="E148" i="9"/>
  <c r="F148" i="9"/>
  <c r="E147" i="9"/>
  <c r="F147" i="9"/>
  <c r="E146" i="9"/>
  <c r="F146" i="9"/>
  <c r="E145" i="9"/>
  <c r="F145" i="9"/>
  <c r="E144" i="9"/>
  <c r="F144" i="9"/>
  <c r="D141" i="9"/>
  <c r="C141" i="9"/>
  <c r="D140" i="9"/>
  <c r="C140" i="9"/>
  <c r="F139" i="9"/>
  <c r="E139" i="9"/>
  <c r="E138" i="9"/>
  <c r="F138" i="9"/>
  <c r="E137" i="9"/>
  <c r="F137" i="9"/>
  <c r="F136" i="9"/>
  <c r="E136" i="9"/>
  <c r="F135" i="9"/>
  <c r="E135" i="9"/>
  <c r="E134" i="9"/>
  <c r="F134" i="9"/>
  <c r="E133" i="9"/>
  <c r="F133" i="9"/>
  <c r="F132" i="9"/>
  <c r="E132" i="9"/>
  <c r="F131" i="9"/>
  <c r="E131" i="9"/>
  <c r="D128" i="9"/>
  <c r="C128" i="9"/>
  <c r="D127" i="9"/>
  <c r="C127" i="9"/>
  <c r="E126" i="9"/>
  <c r="F126" i="9"/>
  <c r="E125" i="9"/>
  <c r="F125" i="9"/>
  <c r="E124" i="9"/>
  <c r="F124" i="9"/>
  <c r="E123" i="9"/>
  <c r="F123" i="9"/>
  <c r="E122" i="9"/>
  <c r="F122" i="9"/>
  <c r="E121" i="9"/>
  <c r="F121" i="9"/>
  <c r="E120" i="9"/>
  <c r="F120" i="9"/>
  <c r="E119" i="9"/>
  <c r="F119" i="9"/>
  <c r="E118" i="9"/>
  <c r="F118" i="9"/>
  <c r="D115" i="9"/>
  <c r="C115" i="9"/>
  <c r="D114" i="9"/>
  <c r="C114" i="9"/>
  <c r="E113" i="9"/>
  <c r="F113" i="9"/>
  <c r="E112" i="9"/>
  <c r="F112" i="9"/>
  <c r="E111" i="9"/>
  <c r="F111" i="9"/>
  <c r="E110" i="9"/>
  <c r="F110" i="9"/>
  <c r="E109" i="9"/>
  <c r="F109" i="9"/>
  <c r="E108" i="9"/>
  <c r="F108" i="9"/>
  <c r="E107" i="9"/>
  <c r="F107" i="9"/>
  <c r="E106" i="9"/>
  <c r="F106" i="9"/>
  <c r="E105" i="9"/>
  <c r="F105" i="9"/>
  <c r="D102" i="9"/>
  <c r="E102" i="9"/>
  <c r="C102" i="9"/>
  <c r="F102" i="9"/>
  <c r="D101" i="9"/>
  <c r="C101" i="9"/>
  <c r="F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D89" i="9"/>
  <c r="C89" i="9"/>
  <c r="D88" i="9"/>
  <c r="C88" i="9"/>
  <c r="F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C75" i="9"/>
  <c r="E74" i="9"/>
  <c r="F74" i="9"/>
  <c r="E73" i="9"/>
  <c r="F73" i="9"/>
  <c r="E72" i="9"/>
  <c r="F72" i="9"/>
  <c r="E71" i="9"/>
  <c r="F71" i="9"/>
  <c r="E70" i="9"/>
  <c r="F70" i="9"/>
  <c r="E69" i="9"/>
  <c r="F69" i="9"/>
  <c r="E68" i="9"/>
  <c r="F68" i="9"/>
  <c r="E67" i="9"/>
  <c r="F67" i="9"/>
  <c r="E66" i="9"/>
  <c r="F66" i="9"/>
  <c r="D63" i="9"/>
  <c r="C63" i="9"/>
  <c r="F63" i="9"/>
  <c r="D62" i="9"/>
  <c r="E62" i="9"/>
  <c r="C62" i="9"/>
  <c r="F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E50" i="9"/>
  <c r="F50" i="9"/>
  <c r="D49" i="9"/>
  <c r="E49" i="9"/>
  <c r="F49" i="9"/>
  <c r="C49" i="9"/>
  <c r="F48" i="9"/>
  <c r="E48" i="9"/>
  <c r="E47" i="9"/>
  <c r="F47" i="9"/>
  <c r="F46" i="9"/>
  <c r="E46" i="9"/>
  <c r="F45" i="9"/>
  <c r="E45" i="9"/>
  <c r="F44" i="9"/>
  <c r="E44" i="9"/>
  <c r="E43" i="9"/>
  <c r="F43" i="9"/>
  <c r="F42" i="9"/>
  <c r="E42" i="9"/>
  <c r="F41" i="9"/>
  <c r="E41" i="9"/>
  <c r="F40" i="9"/>
  <c r="E40" i="9"/>
  <c r="F37" i="9"/>
  <c r="D37" i="9"/>
  <c r="E37" i="9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E160" i="8"/>
  <c r="E166" i="8"/>
  <c r="E153" i="8"/>
  <c r="D164" i="8"/>
  <c r="D160" i="8"/>
  <c r="D166" i="8"/>
  <c r="D157" i="8"/>
  <c r="C164" i="8"/>
  <c r="C160" i="8"/>
  <c r="C166" i="8"/>
  <c r="C154" i="8"/>
  <c r="E162" i="8"/>
  <c r="D162" i="8"/>
  <c r="C162" i="8"/>
  <c r="E161" i="8"/>
  <c r="D161" i="8"/>
  <c r="C161" i="8"/>
  <c r="E147" i="8"/>
  <c r="E143" i="8"/>
  <c r="E149" i="8"/>
  <c r="E140" i="8"/>
  <c r="D147" i="8"/>
  <c r="D143" i="8"/>
  <c r="D149" i="8"/>
  <c r="C147" i="8"/>
  <c r="E145" i="8"/>
  <c r="D145" i="8"/>
  <c r="C145" i="8"/>
  <c r="E144" i="8"/>
  <c r="D144" i="8"/>
  <c r="C144" i="8"/>
  <c r="C143" i="8"/>
  <c r="C149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/>
  <c r="D106" i="8"/>
  <c r="C107" i="8"/>
  <c r="C109" i="8"/>
  <c r="C106" i="8"/>
  <c r="E104" i="8"/>
  <c r="E102" i="8"/>
  <c r="D102" i="8"/>
  <c r="D104" i="8"/>
  <c r="C102" i="8"/>
  <c r="C104" i="8"/>
  <c r="E100" i="8"/>
  <c r="D100" i="8"/>
  <c r="C100" i="8"/>
  <c r="E95" i="8"/>
  <c r="E94" i="8"/>
  <c r="D95" i="8"/>
  <c r="C95" i="8"/>
  <c r="C94" i="8"/>
  <c r="D94" i="8"/>
  <c r="E89" i="8"/>
  <c r="D89" i="8"/>
  <c r="C89" i="8"/>
  <c r="E87" i="8"/>
  <c r="D87" i="8"/>
  <c r="C87" i="8"/>
  <c r="E84" i="8"/>
  <c r="D84" i="8"/>
  <c r="C84" i="8"/>
  <c r="E83" i="8"/>
  <c r="E79" i="8"/>
  <c r="D83" i="8"/>
  <c r="C83" i="8"/>
  <c r="C79" i="8"/>
  <c r="E77" i="8"/>
  <c r="E75" i="8"/>
  <c r="E88" i="8"/>
  <c r="D75" i="8"/>
  <c r="C75" i="8"/>
  <c r="E74" i="8"/>
  <c r="D74" i="8"/>
  <c r="C74" i="8"/>
  <c r="E67" i="8"/>
  <c r="D67" i="8"/>
  <c r="C67" i="8"/>
  <c r="D43" i="8"/>
  <c r="E38" i="8"/>
  <c r="D38" i="8"/>
  <c r="D57" i="8"/>
  <c r="D62" i="8"/>
  <c r="C38" i="8"/>
  <c r="E33" i="8"/>
  <c r="E34" i="8"/>
  <c r="D33" i="8"/>
  <c r="D34" i="8"/>
  <c r="E26" i="8"/>
  <c r="D26" i="8"/>
  <c r="C26" i="8"/>
  <c r="E13" i="8"/>
  <c r="E15" i="8"/>
  <c r="E24" i="8"/>
  <c r="D13" i="8"/>
  <c r="C13" i="8"/>
  <c r="C15" i="8"/>
  <c r="E186" i="7"/>
  <c r="F186" i="7"/>
  <c r="D183" i="7"/>
  <c r="C183" i="7"/>
  <c r="C188" i="7"/>
  <c r="E182" i="7"/>
  <c r="F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E170" i="7"/>
  <c r="F170" i="7"/>
  <c r="D167" i="7"/>
  <c r="C167" i="7"/>
  <c r="F166" i="7"/>
  <c r="E166" i="7"/>
  <c r="F165" i="7"/>
  <c r="E165" i="7"/>
  <c r="F164" i="7"/>
  <c r="E164" i="7"/>
  <c r="F163" i="7"/>
  <c r="E163" i="7"/>
  <c r="F162" i="7"/>
  <c r="E162" i="7"/>
  <c r="E161" i="7"/>
  <c r="F161" i="7"/>
  <c r="F160" i="7"/>
  <c r="E160" i="7"/>
  <c r="F159" i="7"/>
  <c r="E159" i="7"/>
  <c r="F158" i="7"/>
  <c r="E158" i="7"/>
  <c r="E157" i="7"/>
  <c r="F157" i="7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E145" i="7"/>
  <c r="F145" i="7"/>
  <c r="F144" i="7"/>
  <c r="E144" i="7"/>
  <c r="F143" i="7"/>
  <c r="E143" i="7"/>
  <c r="F142" i="7"/>
  <c r="E142" i="7"/>
  <c r="E141" i="7"/>
  <c r="F141" i="7"/>
  <c r="F140" i="7"/>
  <c r="E140" i="7"/>
  <c r="F139" i="7"/>
  <c r="E139" i="7"/>
  <c r="F138" i="7"/>
  <c r="E138" i="7"/>
  <c r="E137" i="7"/>
  <c r="F137" i="7"/>
  <c r="F136" i="7"/>
  <c r="E136" i="7"/>
  <c r="F135" i="7"/>
  <c r="E135" i="7"/>
  <c r="F134" i="7"/>
  <c r="E134" i="7"/>
  <c r="E133" i="7"/>
  <c r="F133" i="7"/>
  <c r="D130" i="7"/>
  <c r="E130" i="7"/>
  <c r="F130" i="7"/>
  <c r="C130" i="7"/>
  <c r="F129" i="7"/>
  <c r="E129" i="7"/>
  <c r="F128" i="7"/>
  <c r="E128" i="7"/>
  <c r="F127" i="7"/>
  <c r="E127" i="7"/>
  <c r="F126" i="7"/>
  <c r="E126" i="7"/>
  <c r="F125" i="7"/>
  <c r="E125" i="7"/>
  <c r="E124" i="7"/>
  <c r="F124" i="7"/>
  <c r="D121" i="7"/>
  <c r="E121" i="7"/>
  <c r="C121" i="7"/>
  <c r="F120" i="7"/>
  <c r="E120" i="7"/>
  <c r="E119" i="7"/>
  <c r="F119" i="7"/>
  <c r="F118" i="7"/>
  <c r="E118" i="7"/>
  <c r="E117" i="7"/>
  <c r="F117" i="7"/>
  <c r="F116" i="7"/>
  <c r="E116" i="7"/>
  <c r="E115" i="7"/>
  <c r="F115" i="7"/>
  <c r="F114" i="7"/>
  <c r="E114" i="7"/>
  <c r="E113" i="7"/>
  <c r="F113" i="7"/>
  <c r="F112" i="7"/>
  <c r="E112" i="7"/>
  <c r="F111" i="7"/>
  <c r="E111" i="7"/>
  <c r="F110" i="7"/>
  <c r="E110" i="7"/>
  <c r="E109" i="7"/>
  <c r="F109" i="7"/>
  <c r="F108" i="7"/>
  <c r="E108" i="7"/>
  <c r="F107" i="7"/>
  <c r="E107" i="7"/>
  <c r="F106" i="7"/>
  <c r="E106" i="7"/>
  <c r="F105" i="7"/>
  <c r="E105" i="7"/>
  <c r="F104" i="7"/>
  <c r="E104" i="7"/>
  <c r="F103" i="7"/>
  <c r="E103" i="7"/>
  <c r="F93" i="7"/>
  <c r="E93" i="7"/>
  <c r="D90" i="7"/>
  <c r="D95" i="7"/>
  <c r="C90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E77" i="7"/>
  <c r="F77" i="7"/>
  <c r="E76" i="7"/>
  <c r="F76" i="7"/>
  <c r="E75" i="7"/>
  <c r="F75" i="7"/>
  <c r="F74" i="7"/>
  <c r="E74" i="7"/>
  <c r="E73" i="7"/>
  <c r="F73" i="7"/>
  <c r="E72" i="7"/>
  <c r="F72" i="7"/>
  <c r="E71" i="7"/>
  <c r="F71" i="7"/>
  <c r="F70" i="7"/>
  <c r="E70" i="7"/>
  <c r="E69" i="7"/>
  <c r="F69" i="7"/>
  <c r="E68" i="7"/>
  <c r="F68" i="7"/>
  <c r="E67" i="7"/>
  <c r="F67" i="7"/>
  <c r="F66" i="7"/>
  <c r="E66" i="7"/>
  <c r="F65" i="7"/>
  <c r="E65" i="7"/>
  <c r="E64" i="7"/>
  <c r="F64" i="7"/>
  <c r="E63" i="7"/>
  <c r="F63" i="7"/>
  <c r="F62" i="7"/>
  <c r="E62" i="7"/>
  <c r="D59" i="7"/>
  <c r="E59" i="7"/>
  <c r="C59" i="7"/>
  <c r="F59" i="7"/>
  <c r="F58" i="7"/>
  <c r="E58" i="7"/>
  <c r="F57" i="7"/>
  <c r="E57" i="7"/>
  <c r="E56" i="7"/>
  <c r="F56" i="7"/>
  <c r="E55" i="7"/>
  <c r="F55" i="7"/>
  <c r="E54" i="7"/>
  <c r="F54" i="7"/>
  <c r="F53" i="7"/>
  <c r="E53" i="7"/>
  <c r="E50" i="7"/>
  <c r="F50" i="7"/>
  <c r="E47" i="7"/>
  <c r="F47" i="7"/>
  <c r="F44" i="7"/>
  <c r="E44" i="7"/>
  <c r="D41" i="7"/>
  <c r="E41" i="7"/>
  <c r="C41" i="7"/>
  <c r="E40" i="7"/>
  <c r="F40" i="7"/>
  <c r="E39" i="7"/>
  <c r="F39" i="7"/>
  <c r="F38" i="7"/>
  <c r="E38" i="7"/>
  <c r="D35" i="7"/>
  <c r="E35" i="7"/>
  <c r="C35" i="7"/>
  <c r="F35" i="7"/>
  <c r="E34" i="7"/>
  <c r="F34" i="7"/>
  <c r="F33" i="7"/>
  <c r="E33" i="7"/>
  <c r="D30" i="7"/>
  <c r="E30" i="7"/>
  <c r="C30" i="7"/>
  <c r="E29" i="7"/>
  <c r="F29" i="7"/>
  <c r="F28" i="7"/>
  <c r="E28" i="7"/>
  <c r="E27" i="7"/>
  <c r="F27" i="7"/>
  <c r="D24" i="7"/>
  <c r="C24" i="7"/>
  <c r="E24" i="7"/>
  <c r="F23" i="7"/>
  <c r="E23" i="7"/>
  <c r="E22" i="7"/>
  <c r="F22" i="7"/>
  <c r="E21" i="7"/>
  <c r="F21" i="7"/>
  <c r="D18" i="7"/>
  <c r="E18" i="7"/>
  <c r="C18" i="7"/>
  <c r="F18" i="7"/>
  <c r="E17" i="7"/>
  <c r="F17" i="7"/>
  <c r="E16" i="7"/>
  <c r="F16" i="7"/>
  <c r="E15" i="7"/>
  <c r="F15" i="7"/>
  <c r="D179" i="6"/>
  <c r="E179" i="6"/>
  <c r="F179" i="6"/>
  <c r="C179" i="6"/>
  <c r="F178" i="6"/>
  <c r="E178" i="6"/>
  <c r="F177" i="6"/>
  <c r="E177" i="6"/>
  <c r="F176" i="6"/>
  <c r="E176" i="6"/>
  <c r="E175" i="6"/>
  <c r="F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/>
  <c r="C153" i="6"/>
  <c r="F153" i="6"/>
  <c r="F152" i="6"/>
  <c r="E152" i="6"/>
  <c r="F151" i="6"/>
  <c r="E151" i="6"/>
  <c r="F150" i="6"/>
  <c r="E150" i="6"/>
  <c r="E149" i="6"/>
  <c r="F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/>
  <c r="F124" i="6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D94" i="6"/>
  <c r="E94" i="6"/>
  <c r="F94" i="6"/>
  <c r="C94" i="6"/>
  <c r="F93" i="6"/>
  <c r="D93" i="6"/>
  <c r="E93" i="6"/>
  <c r="C93" i="6"/>
  <c r="D92" i="6"/>
  <c r="E92" i="6"/>
  <c r="F92" i="6"/>
  <c r="C92" i="6"/>
  <c r="D91" i="6"/>
  <c r="E91" i="6"/>
  <c r="F91" i="6"/>
  <c r="C91" i="6"/>
  <c r="F90" i="6"/>
  <c r="D90" i="6"/>
  <c r="E90" i="6"/>
  <c r="C90" i="6"/>
  <c r="D89" i="6"/>
  <c r="E89" i="6"/>
  <c r="F89" i="6"/>
  <c r="C89" i="6"/>
  <c r="D88" i="6"/>
  <c r="E88" i="6"/>
  <c r="F88" i="6"/>
  <c r="C88" i="6"/>
  <c r="F87" i="6"/>
  <c r="D87" i="6"/>
  <c r="E87" i="6"/>
  <c r="C87" i="6"/>
  <c r="D86" i="6"/>
  <c r="E86" i="6"/>
  <c r="F86" i="6"/>
  <c r="C86" i="6"/>
  <c r="D85" i="6"/>
  <c r="E85" i="6"/>
  <c r="F85" i="6"/>
  <c r="C85" i="6"/>
  <c r="D84" i="6"/>
  <c r="C84" i="6"/>
  <c r="C95" i="6"/>
  <c r="D81" i="6"/>
  <c r="E81" i="6"/>
  <c r="F81" i="6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/>
  <c r="F68" i="6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D51" i="6"/>
  <c r="E51" i="6"/>
  <c r="F51" i="6"/>
  <c r="C51" i="6"/>
  <c r="F50" i="6"/>
  <c r="D50" i="6"/>
  <c r="E50" i="6"/>
  <c r="C50" i="6"/>
  <c r="D49" i="6"/>
  <c r="E49" i="6"/>
  <c r="F49" i="6"/>
  <c r="C49" i="6"/>
  <c r="D48" i="6"/>
  <c r="E48" i="6"/>
  <c r="F48" i="6"/>
  <c r="C48" i="6"/>
  <c r="F47" i="6"/>
  <c r="D47" i="6"/>
  <c r="E47" i="6"/>
  <c r="C47" i="6"/>
  <c r="D46" i="6"/>
  <c r="E46" i="6"/>
  <c r="F46" i="6"/>
  <c r="C46" i="6"/>
  <c r="D45" i="6"/>
  <c r="E45" i="6"/>
  <c r="F45" i="6"/>
  <c r="C45" i="6"/>
  <c r="F44" i="6"/>
  <c r="D44" i="6"/>
  <c r="E44" i="6"/>
  <c r="C44" i="6"/>
  <c r="D43" i="6"/>
  <c r="E43" i="6"/>
  <c r="F43" i="6"/>
  <c r="C43" i="6"/>
  <c r="D42" i="6"/>
  <c r="E42" i="6"/>
  <c r="F42" i="6"/>
  <c r="C42" i="6"/>
  <c r="D41" i="6"/>
  <c r="C41" i="6"/>
  <c r="C52" i="6"/>
  <c r="D38" i="6"/>
  <c r="C38" i="6"/>
  <c r="E37" i="6"/>
  <c r="F37" i="6"/>
  <c r="F36" i="6"/>
  <c r="E36" i="6"/>
  <c r="E35" i="6"/>
  <c r="F35" i="6"/>
  <c r="E34" i="6"/>
  <c r="F34" i="6"/>
  <c r="F33" i="6"/>
  <c r="E33" i="6"/>
  <c r="E32" i="6"/>
  <c r="F32" i="6"/>
  <c r="E31" i="6"/>
  <c r="F31" i="6"/>
  <c r="F30" i="6"/>
  <c r="E30" i="6"/>
  <c r="E29" i="6"/>
  <c r="F29" i="6"/>
  <c r="E28" i="6"/>
  <c r="F28" i="6"/>
  <c r="E27" i="6"/>
  <c r="F27" i="6"/>
  <c r="D25" i="6"/>
  <c r="E25" i="6"/>
  <c r="C25" i="6"/>
  <c r="E24" i="6"/>
  <c r="F24" i="6"/>
  <c r="F23" i="6"/>
  <c r="E23" i="6"/>
  <c r="E22" i="6"/>
  <c r="F22" i="6"/>
  <c r="E21" i="6"/>
  <c r="F21" i="6"/>
  <c r="F20" i="6"/>
  <c r="E20" i="6"/>
  <c r="E19" i="6"/>
  <c r="F19" i="6"/>
  <c r="E18" i="6"/>
  <c r="F18" i="6"/>
  <c r="F17" i="6"/>
  <c r="E17" i="6"/>
  <c r="E16" i="6"/>
  <c r="F16" i="6"/>
  <c r="E15" i="6"/>
  <c r="F15" i="6"/>
  <c r="E14" i="6"/>
  <c r="F14" i="6"/>
  <c r="E51" i="5"/>
  <c r="F51" i="5"/>
  <c r="D48" i="5"/>
  <c r="E48" i="5"/>
  <c r="C48" i="5"/>
  <c r="F48" i="5"/>
  <c r="F47" i="5"/>
  <c r="E47" i="5"/>
  <c r="E46" i="5"/>
  <c r="F46" i="5"/>
  <c r="D41" i="5"/>
  <c r="E41" i="5"/>
  <c r="C41" i="5"/>
  <c r="F41" i="5"/>
  <c r="E40" i="5"/>
  <c r="F40" i="5"/>
  <c r="E39" i="5"/>
  <c r="F39" i="5"/>
  <c r="E38" i="5"/>
  <c r="F38" i="5"/>
  <c r="D33" i="5"/>
  <c r="C33" i="5"/>
  <c r="E32" i="5"/>
  <c r="F32" i="5"/>
  <c r="E31" i="5"/>
  <c r="F31" i="5"/>
  <c r="F30" i="5"/>
  <c r="E30" i="5"/>
  <c r="F29" i="5"/>
  <c r="E29" i="5"/>
  <c r="E28" i="5"/>
  <c r="F28" i="5"/>
  <c r="E27" i="5"/>
  <c r="F27" i="5"/>
  <c r="F26" i="5"/>
  <c r="E26" i="5"/>
  <c r="E25" i="5"/>
  <c r="F25" i="5"/>
  <c r="E24" i="5"/>
  <c r="F24" i="5"/>
  <c r="F20" i="5"/>
  <c r="E20" i="5"/>
  <c r="F19" i="5"/>
  <c r="E19" i="5"/>
  <c r="E17" i="5"/>
  <c r="F17" i="5"/>
  <c r="D16" i="5"/>
  <c r="E16" i="5"/>
  <c r="C16" i="5"/>
  <c r="F15" i="5"/>
  <c r="E15" i="5"/>
  <c r="F14" i="5"/>
  <c r="E14" i="5"/>
  <c r="F13" i="5"/>
  <c r="E13" i="5"/>
  <c r="F12" i="5"/>
  <c r="E12" i="5"/>
  <c r="D73" i="4"/>
  <c r="E73" i="4"/>
  <c r="F73" i="4"/>
  <c r="C73" i="4"/>
  <c r="E72" i="4"/>
  <c r="F72" i="4"/>
  <c r="F71" i="4"/>
  <c r="E71" i="4"/>
  <c r="F70" i="4"/>
  <c r="E70" i="4"/>
  <c r="F67" i="4"/>
  <c r="E67" i="4"/>
  <c r="E64" i="4"/>
  <c r="F64" i="4"/>
  <c r="F63" i="4"/>
  <c r="E63" i="4"/>
  <c r="D61" i="4"/>
  <c r="E61" i="4"/>
  <c r="F61" i="4"/>
  <c r="C61" i="4"/>
  <c r="C65" i="4"/>
  <c r="C75" i="4"/>
  <c r="F60" i="4"/>
  <c r="E60" i="4"/>
  <c r="E59" i="4"/>
  <c r="F59" i="4"/>
  <c r="D56" i="4"/>
  <c r="E56" i="4"/>
  <c r="F56" i="4"/>
  <c r="C56" i="4"/>
  <c r="F55" i="4"/>
  <c r="E55" i="4"/>
  <c r="F54" i="4"/>
  <c r="E54" i="4"/>
  <c r="F53" i="4"/>
  <c r="E53" i="4"/>
  <c r="E52" i="4"/>
  <c r="F52" i="4"/>
  <c r="F51" i="4"/>
  <c r="E51" i="4"/>
  <c r="E50" i="4"/>
  <c r="F50" i="4"/>
  <c r="A50" i="4"/>
  <c r="A51" i="4"/>
  <c r="A52" i="4"/>
  <c r="A53" i="4"/>
  <c r="A54" i="4"/>
  <c r="A55" i="4"/>
  <c r="E49" i="4"/>
  <c r="F49" i="4"/>
  <c r="F40" i="4"/>
  <c r="E40" i="4"/>
  <c r="D38" i="4"/>
  <c r="E38" i="4"/>
  <c r="F38" i="4"/>
  <c r="C38" i="4"/>
  <c r="C41" i="4"/>
  <c r="E37" i="4"/>
  <c r="F37" i="4"/>
  <c r="E36" i="4"/>
  <c r="F36" i="4"/>
  <c r="E33" i="4"/>
  <c r="F33" i="4"/>
  <c r="E32" i="4"/>
  <c r="F32" i="4"/>
  <c r="F31" i="4"/>
  <c r="E31" i="4"/>
  <c r="D29" i="4"/>
  <c r="E29" i="4"/>
  <c r="C29" i="4"/>
  <c r="E28" i="4"/>
  <c r="F28" i="4"/>
  <c r="E27" i="4"/>
  <c r="F27" i="4"/>
  <c r="F26" i="4"/>
  <c r="E26" i="4"/>
  <c r="E25" i="4"/>
  <c r="F25" i="4"/>
  <c r="D22" i="4"/>
  <c r="C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C34" i="22"/>
  <c r="C23" i="22"/>
  <c r="E34" i="22"/>
  <c r="E23" i="22"/>
  <c r="C22" i="22"/>
  <c r="D111" i="22"/>
  <c r="D54" i="22"/>
  <c r="D46" i="22"/>
  <c r="D40" i="22"/>
  <c r="E29" i="22"/>
  <c r="C33" i="22"/>
  <c r="C108" i="22"/>
  <c r="C109" i="22"/>
  <c r="E108" i="22"/>
  <c r="E109" i="22"/>
  <c r="E110" i="22"/>
  <c r="E53" i="22"/>
  <c r="E45" i="22"/>
  <c r="E39" i="22"/>
  <c r="D109" i="22"/>
  <c r="D108" i="22"/>
  <c r="C101" i="22"/>
  <c r="C103" i="22"/>
  <c r="E101" i="22"/>
  <c r="E103" i="22"/>
  <c r="D22" i="22"/>
  <c r="F20" i="20"/>
  <c r="D41" i="20"/>
  <c r="E39" i="20"/>
  <c r="E19" i="20"/>
  <c r="F19" i="20"/>
  <c r="E43" i="20"/>
  <c r="C22" i="19"/>
  <c r="D258" i="18"/>
  <c r="D101" i="18"/>
  <c r="D99" i="18"/>
  <c r="D97" i="18"/>
  <c r="D95" i="18"/>
  <c r="D88" i="18"/>
  <c r="D86" i="18"/>
  <c r="D98" i="18"/>
  <c r="D87" i="18"/>
  <c r="D83" i="18"/>
  <c r="D100" i="18"/>
  <c r="D96" i="18"/>
  <c r="D89" i="18"/>
  <c r="D85" i="18"/>
  <c r="D84" i="18"/>
  <c r="E43" i="18"/>
  <c r="E33" i="18"/>
  <c r="C99" i="18"/>
  <c r="E85" i="17"/>
  <c r="E294" i="17"/>
  <c r="E295" i="17"/>
  <c r="E296" i="17"/>
  <c r="E297" i="17"/>
  <c r="F297" i="17"/>
  <c r="E298" i="17"/>
  <c r="E299" i="17"/>
  <c r="D283" i="18"/>
  <c r="E283" i="18"/>
  <c r="C22" i="18"/>
  <c r="C284" i="18"/>
  <c r="C294" i="18"/>
  <c r="E32" i="18"/>
  <c r="E36" i="18"/>
  <c r="E54" i="18"/>
  <c r="E60" i="18"/>
  <c r="D65" i="18"/>
  <c r="D294" i="18"/>
  <c r="E294" i="18"/>
  <c r="E70" i="18"/>
  <c r="D71" i="18"/>
  <c r="E71" i="18"/>
  <c r="E163" i="18"/>
  <c r="E21" i="18"/>
  <c r="D284" i="18"/>
  <c r="C295" i="18"/>
  <c r="E37" i="18"/>
  <c r="E69" i="18"/>
  <c r="E139" i="18"/>
  <c r="D144" i="18"/>
  <c r="C145" i="18"/>
  <c r="C156" i="18"/>
  <c r="C157" i="18"/>
  <c r="D175" i="18"/>
  <c r="E175" i="18"/>
  <c r="C180" i="18"/>
  <c r="C189" i="18"/>
  <c r="E260" i="18"/>
  <c r="C241" i="18"/>
  <c r="E243" i="18"/>
  <c r="E245" i="18"/>
  <c r="D261" i="18"/>
  <c r="E261" i="18"/>
  <c r="D189" i="18"/>
  <c r="E189" i="18"/>
  <c r="E188" i="18"/>
  <c r="D320" i="18"/>
  <c r="E316" i="18"/>
  <c r="E326" i="18"/>
  <c r="D330" i="18"/>
  <c r="E330" i="18"/>
  <c r="E195" i="18"/>
  <c r="E215" i="18"/>
  <c r="E219" i="18"/>
  <c r="E221" i="18"/>
  <c r="D222" i="18"/>
  <c r="C234" i="18"/>
  <c r="D240" i="18"/>
  <c r="D242" i="18"/>
  <c r="E242" i="18"/>
  <c r="D244" i="18"/>
  <c r="D303" i="18"/>
  <c r="E314" i="18"/>
  <c r="E205" i="18"/>
  <c r="D217" i="18"/>
  <c r="C222" i="18"/>
  <c r="C246" i="18"/>
  <c r="D223" i="18"/>
  <c r="E231" i="18"/>
  <c r="E251" i="18"/>
  <c r="E324" i="18"/>
  <c r="C105" i="17"/>
  <c r="D61" i="17"/>
  <c r="E60" i="17"/>
  <c r="F60" i="17"/>
  <c r="E77" i="17"/>
  <c r="E89" i="17"/>
  <c r="F89" i="17"/>
  <c r="E20" i="17"/>
  <c r="F20" i="17"/>
  <c r="D21" i="17"/>
  <c r="D31" i="17"/>
  <c r="D37" i="17"/>
  <c r="D48" i="17"/>
  <c r="C61" i="17"/>
  <c r="C21" i="17"/>
  <c r="C37" i="17"/>
  <c r="E59" i="17"/>
  <c r="F59" i="17"/>
  <c r="E66" i="17"/>
  <c r="F66" i="17"/>
  <c r="E76" i="17"/>
  <c r="F76" i="17"/>
  <c r="F85" i="17"/>
  <c r="C138" i="17"/>
  <c r="D277" i="17"/>
  <c r="D261" i="17"/>
  <c r="E188" i="17"/>
  <c r="F188" i="17"/>
  <c r="D280" i="17"/>
  <c r="D264" i="17"/>
  <c r="E191" i="17"/>
  <c r="F191" i="17"/>
  <c r="D192" i="17"/>
  <c r="D193" i="17"/>
  <c r="D283" i="17"/>
  <c r="D267" i="17"/>
  <c r="E203" i="17"/>
  <c r="F203" i="17"/>
  <c r="E88" i="17"/>
  <c r="F88" i="17"/>
  <c r="D102" i="17"/>
  <c r="D111" i="17"/>
  <c r="E111" i="17"/>
  <c r="F111" i="17"/>
  <c r="D124" i="17"/>
  <c r="D137" i="17"/>
  <c r="D146" i="17"/>
  <c r="D159" i="17"/>
  <c r="D172" i="17"/>
  <c r="D278" i="17"/>
  <c r="D262" i="17"/>
  <c r="E189" i="17"/>
  <c r="F189" i="17"/>
  <c r="D190" i="17"/>
  <c r="D290" i="17"/>
  <c r="D274" i="17"/>
  <c r="E198" i="17"/>
  <c r="F198" i="17"/>
  <c r="D199" i="17"/>
  <c r="D200" i="17"/>
  <c r="D285" i="17"/>
  <c r="E285" i="17"/>
  <c r="D269" i="17"/>
  <c r="E204" i="17"/>
  <c r="F204" i="17"/>
  <c r="D205" i="17"/>
  <c r="D215" i="17"/>
  <c r="D227" i="17"/>
  <c r="D239" i="17"/>
  <c r="C124" i="17"/>
  <c r="C287" i="17"/>
  <c r="C284" i="17"/>
  <c r="C279" i="17"/>
  <c r="C288" i="17"/>
  <c r="C190" i="17"/>
  <c r="C192" i="17"/>
  <c r="C290" i="17"/>
  <c r="C274" i="17"/>
  <c r="C199" i="17"/>
  <c r="C200" i="17"/>
  <c r="C286" i="17"/>
  <c r="F285" i="17"/>
  <c r="C205" i="17"/>
  <c r="C206" i="17"/>
  <c r="C214" i="17"/>
  <c r="C215" i="17"/>
  <c r="E250" i="17"/>
  <c r="F250" i="17"/>
  <c r="C254" i="17"/>
  <c r="C255" i="17"/>
  <c r="C261" i="17"/>
  <c r="C262" i="17"/>
  <c r="C264" i="17"/>
  <c r="C267" i="17"/>
  <c r="C269" i="17"/>
  <c r="F294" i="17"/>
  <c r="F295" i="17"/>
  <c r="F296" i="17"/>
  <c r="F298" i="17"/>
  <c r="F299" i="17"/>
  <c r="I31" i="14"/>
  <c r="F36" i="14"/>
  <c r="F38" i="14"/>
  <c r="F40" i="14"/>
  <c r="I17" i="14"/>
  <c r="D31" i="14"/>
  <c r="F31" i="14"/>
  <c r="H31" i="14"/>
  <c r="C33" i="14"/>
  <c r="C36" i="14"/>
  <c r="C38" i="14"/>
  <c r="C40" i="14"/>
  <c r="E33" i="14"/>
  <c r="E36" i="14"/>
  <c r="E38" i="14"/>
  <c r="E40" i="14"/>
  <c r="G33" i="14"/>
  <c r="H17" i="14"/>
  <c r="D21" i="13"/>
  <c r="C20" i="13"/>
  <c r="C21" i="13"/>
  <c r="D15" i="13"/>
  <c r="C17" i="13"/>
  <c r="C28" i="13"/>
  <c r="C22" i="13"/>
  <c r="C70" i="13"/>
  <c r="C72" i="13"/>
  <c r="C69" i="13"/>
  <c r="E17" i="13"/>
  <c r="E28" i="13"/>
  <c r="E70" i="13"/>
  <c r="E72" i="13"/>
  <c r="E69" i="13"/>
  <c r="D48" i="13"/>
  <c r="D42" i="13"/>
  <c r="D20" i="12"/>
  <c r="E17" i="12"/>
  <c r="E15" i="12"/>
  <c r="F15" i="12"/>
  <c r="F43" i="11"/>
  <c r="F41" i="11"/>
  <c r="E22" i="11"/>
  <c r="F22" i="11"/>
  <c r="E38" i="11"/>
  <c r="F38" i="11"/>
  <c r="E56" i="11"/>
  <c r="F56" i="11"/>
  <c r="E61" i="11"/>
  <c r="F61" i="11"/>
  <c r="E121" i="10"/>
  <c r="E23" i="10"/>
  <c r="E24" i="10"/>
  <c r="E35" i="10"/>
  <c r="E36" i="10"/>
  <c r="E47" i="10"/>
  <c r="E48" i="10"/>
  <c r="E59" i="10"/>
  <c r="E60" i="10"/>
  <c r="E112" i="10"/>
  <c r="E113" i="10"/>
  <c r="E76" i="9"/>
  <c r="E114" i="9"/>
  <c r="F114" i="9"/>
  <c r="F128" i="9"/>
  <c r="E128" i="9"/>
  <c r="E141" i="9"/>
  <c r="F141" i="9"/>
  <c r="E153" i="9"/>
  <c r="F153" i="9"/>
  <c r="E166" i="9"/>
  <c r="E179" i="9"/>
  <c r="E193" i="9"/>
  <c r="F193" i="9"/>
  <c r="E199" i="9"/>
  <c r="F199" i="9"/>
  <c r="F201" i="9"/>
  <c r="E201" i="9"/>
  <c r="E203" i="9"/>
  <c r="F203" i="9"/>
  <c r="E205" i="9"/>
  <c r="F205" i="9"/>
  <c r="C208" i="9"/>
  <c r="E63" i="9"/>
  <c r="E75" i="9"/>
  <c r="F75" i="9"/>
  <c r="E88" i="9"/>
  <c r="E101" i="9"/>
  <c r="E115" i="9"/>
  <c r="F115" i="9"/>
  <c r="E127" i="9"/>
  <c r="F127" i="9"/>
  <c r="E140" i="9"/>
  <c r="F140" i="9"/>
  <c r="F154" i="9"/>
  <c r="E154" i="9"/>
  <c r="E167" i="9"/>
  <c r="E180" i="9"/>
  <c r="E192" i="9"/>
  <c r="F192" i="9"/>
  <c r="E198" i="9"/>
  <c r="F198" i="9"/>
  <c r="F200" i="9"/>
  <c r="E200" i="9"/>
  <c r="E202" i="9"/>
  <c r="F202" i="9"/>
  <c r="E204" i="9"/>
  <c r="F204" i="9"/>
  <c r="E206" i="9"/>
  <c r="F206" i="9"/>
  <c r="D25" i="8"/>
  <c r="D27" i="8"/>
  <c r="D15" i="8"/>
  <c r="C53" i="8"/>
  <c r="C43" i="8"/>
  <c r="E53" i="8"/>
  <c r="E43" i="8"/>
  <c r="C49" i="8"/>
  <c r="E57" i="8"/>
  <c r="E62" i="8"/>
  <c r="D88" i="8"/>
  <c r="D90" i="8"/>
  <c r="D86" i="8"/>
  <c r="D77" i="8"/>
  <c r="D71" i="8"/>
  <c r="E139" i="8"/>
  <c r="E137" i="8"/>
  <c r="E135" i="8"/>
  <c r="E138" i="8"/>
  <c r="E136" i="8"/>
  <c r="D140" i="8"/>
  <c r="D136" i="8"/>
  <c r="D139" i="8"/>
  <c r="D137" i="8"/>
  <c r="C157" i="8"/>
  <c r="C155" i="8"/>
  <c r="C156" i="8"/>
  <c r="C152" i="8"/>
  <c r="C158" i="8"/>
  <c r="C153" i="8"/>
  <c r="E17" i="8"/>
  <c r="E49" i="8"/>
  <c r="C57" i="8"/>
  <c r="C62" i="8"/>
  <c r="E71" i="8"/>
  <c r="C137" i="8"/>
  <c r="C135" i="8"/>
  <c r="C140" i="8"/>
  <c r="C136" i="8"/>
  <c r="E157" i="8"/>
  <c r="E155" i="8"/>
  <c r="E156" i="8"/>
  <c r="E154" i="8"/>
  <c r="E152" i="8"/>
  <c r="D156" i="8"/>
  <c r="D158" i="8"/>
  <c r="D154" i="8"/>
  <c r="D152" i="8"/>
  <c r="D155" i="8"/>
  <c r="D153" i="8"/>
  <c r="D49" i="8"/>
  <c r="E90" i="7"/>
  <c r="F90" i="7"/>
  <c r="E183" i="7"/>
  <c r="F183" i="7"/>
  <c r="E41" i="6"/>
  <c r="F41" i="6"/>
  <c r="D18" i="5"/>
  <c r="D41" i="4"/>
  <c r="E41" i="4"/>
  <c r="F41" i="4"/>
  <c r="D65" i="4"/>
  <c r="E65" i="4"/>
  <c r="F65" i="4"/>
  <c r="D53" i="22"/>
  <c r="D45" i="22"/>
  <c r="D39" i="22"/>
  <c r="D35" i="22"/>
  <c r="D29" i="22"/>
  <c r="D110" i="22"/>
  <c r="E112" i="22"/>
  <c r="E55" i="22"/>
  <c r="E47" i="22"/>
  <c r="E37" i="22"/>
  <c r="E54" i="22"/>
  <c r="E46" i="22"/>
  <c r="E40" i="22"/>
  <c r="E36" i="22"/>
  <c r="E30" i="22"/>
  <c r="E111" i="22"/>
  <c r="C54" i="22"/>
  <c r="C46" i="22"/>
  <c r="C40" i="22"/>
  <c r="C36" i="22"/>
  <c r="C30" i="22"/>
  <c r="C111" i="22"/>
  <c r="C110" i="22"/>
  <c r="C53" i="22"/>
  <c r="C45" i="22"/>
  <c r="C39" i="22"/>
  <c r="C35" i="22"/>
  <c r="C29" i="22"/>
  <c r="F39" i="20"/>
  <c r="F43" i="20"/>
  <c r="D306" i="18"/>
  <c r="D253" i="18"/>
  <c r="C223" i="18"/>
  <c r="C247" i="18"/>
  <c r="D145" i="18"/>
  <c r="E144" i="18"/>
  <c r="D168" i="18"/>
  <c r="C168" i="18"/>
  <c r="D76" i="18"/>
  <c r="E76" i="18"/>
  <c r="D90" i="18"/>
  <c r="E99" i="18"/>
  <c r="D247" i="18"/>
  <c r="E247" i="18"/>
  <c r="E223" i="18"/>
  <c r="D241" i="18"/>
  <c r="E241" i="18"/>
  <c r="E217" i="18"/>
  <c r="E222" i="18"/>
  <c r="D246" i="18"/>
  <c r="E246" i="18"/>
  <c r="D252" i="18"/>
  <c r="C181" i="18"/>
  <c r="C169" i="18"/>
  <c r="D66" i="18"/>
  <c r="E65" i="18"/>
  <c r="D102" i="18"/>
  <c r="E22" i="18"/>
  <c r="C270" i="17"/>
  <c r="E270" i="17"/>
  <c r="F270" i="17"/>
  <c r="C272" i="17"/>
  <c r="C216" i="17"/>
  <c r="D255" i="17"/>
  <c r="E255" i="17"/>
  <c r="F255" i="17"/>
  <c r="E215" i="17"/>
  <c r="F215" i="17"/>
  <c r="E205" i="17"/>
  <c r="F205" i="17"/>
  <c r="E269" i="17"/>
  <c r="F269" i="17"/>
  <c r="E200" i="17"/>
  <c r="F200" i="17"/>
  <c r="E290" i="17"/>
  <c r="F290" i="17"/>
  <c r="E190" i="17"/>
  <c r="F190" i="17"/>
  <c r="D272" i="17"/>
  <c r="E272" i="17"/>
  <c r="F272" i="17"/>
  <c r="E262" i="17"/>
  <c r="F262" i="17"/>
  <c r="E137" i="17"/>
  <c r="F137" i="17"/>
  <c r="D207" i="17"/>
  <c r="D138" i="17"/>
  <c r="E138" i="17"/>
  <c r="F138" i="17"/>
  <c r="D270" i="17"/>
  <c r="E267" i="17"/>
  <c r="F267" i="17"/>
  <c r="E280" i="17"/>
  <c r="F280" i="17"/>
  <c r="D271" i="17"/>
  <c r="D268" i="17"/>
  <c r="E268" i="17"/>
  <c r="F268" i="17"/>
  <c r="D263" i="17"/>
  <c r="E261" i="17"/>
  <c r="F261" i="17"/>
  <c r="C126" i="17"/>
  <c r="C91" i="17"/>
  <c r="C92" i="17"/>
  <c r="E37" i="17"/>
  <c r="F37" i="17"/>
  <c r="D161" i="17"/>
  <c r="D162" i="17"/>
  <c r="D126" i="17"/>
  <c r="D91" i="17"/>
  <c r="D49" i="17"/>
  <c r="E21" i="17"/>
  <c r="F21" i="17"/>
  <c r="C106" i="17"/>
  <c r="C300" i="17"/>
  <c r="C271" i="17"/>
  <c r="C268" i="17"/>
  <c r="C263" i="17"/>
  <c r="C291" i="17"/>
  <c r="C305" i="17"/>
  <c r="C289" i="17"/>
  <c r="E199" i="17"/>
  <c r="F199" i="17"/>
  <c r="E274" i="17"/>
  <c r="F274" i="17"/>
  <c r="E278" i="17"/>
  <c r="F278" i="17"/>
  <c r="D288" i="17"/>
  <c r="E288" i="17"/>
  <c r="F288" i="17"/>
  <c r="D173" i="17"/>
  <c r="E124" i="17"/>
  <c r="F124" i="17"/>
  <c r="E102" i="17"/>
  <c r="F102" i="17"/>
  <c r="D103" i="17"/>
  <c r="E103" i="17"/>
  <c r="F103" i="17"/>
  <c r="E283" i="17"/>
  <c r="F283" i="17"/>
  <c r="D286" i="17"/>
  <c r="E286" i="17"/>
  <c r="F286" i="17"/>
  <c r="E192" i="17"/>
  <c r="F192" i="17"/>
  <c r="D300" i="17"/>
  <c r="E300" i="17"/>
  <c r="F300" i="17"/>
  <c r="E264" i="17"/>
  <c r="F264" i="17"/>
  <c r="E277" i="17"/>
  <c r="F277" i="17"/>
  <c r="D287" i="17"/>
  <c r="D284" i="17"/>
  <c r="E284" i="17"/>
  <c r="F284" i="17"/>
  <c r="D279" i="17"/>
  <c r="E279" i="17"/>
  <c r="F279" i="17"/>
  <c r="C304" i="17"/>
  <c r="C139" i="17"/>
  <c r="C104" i="17"/>
  <c r="D160" i="17"/>
  <c r="D125" i="17"/>
  <c r="D90" i="17"/>
  <c r="E31" i="17"/>
  <c r="F31" i="17"/>
  <c r="D32" i="17"/>
  <c r="D174" i="17"/>
  <c r="D104" i="17"/>
  <c r="E61" i="17"/>
  <c r="F61" i="17"/>
  <c r="C62" i="17"/>
  <c r="C140" i="17"/>
  <c r="C141" i="17"/>
  <c r="G36" i="14"/>
  <c r="G38" i="14"/>
  <c r="G40" i="14"/>
  <c r="I33" i="14"/>
  <c r="I36" i="14"/>
  <c r="I38" i="14"/>
  <c r="I40" i="14"/>
  <c r="H33" i="14"/>
  <c r="H36" i="14"/>
  <c r="H38" i="14"/>
  <c r="H40" i="14"/>
  <c r="D24" i="13"/>
  <c r="D20" i="13"/>
  <c r="D17" i="13"/>
  <c r="D28" i="13"/>
  <c r="D34" i="12"/>
  <c r="D42" i="12"/>
  <c r="E208" i="9"/>
  <c r="F208" i="9"/>
  <c r="E141" i="8"/>
  <c r="D20" i="8"/>
  <c r="D21" i="8"/>
  <c r="E28" i="8"/>
  <c r="E99" i="8"/>
  <c r="E101" i="8"/>
  <c r="E98" i="8"/>
  <c r="E112" i="8"/>
  <c r="E111" i="8"/>
  <c r="D24" i="8"/>
  <c r="D17" i="8"/>
  <c r="D112" i="8"/>
  <c r="D111" i="8"/>
  <c r="D21" i="5"/>
  <c r="D75" i="4"/>
  <c r="E75" i="4"/>
  <c r="F75" i="4"/>
  <c r="D43" i="4"/>
  <c r="C112" i="22"/>
  <c r="C55" i="22"/>
  <c r="C47" i="22"/>
  <c r="C37" i="22"/>
  <c r="C56" i="22"/>
  <c r="C48" i="22"/>
  <c r="C38" i="22"/>
  <c r="C113" i="22"/>
  <c r="E56" i="22"/>
  <c r="E48" i="22"/>
  <c r="E38" i="22"/>
  <c r="E113" i="22"/>
  <c r="D55" i="22"/>
  <c r="D47" i="22"/>
  <c r="D37" i="22"/>
  <c r="D112" i="22"/>
  <c r="D139" i="17"/>
  <c r="E139" i="17"/>
  <c r="F139" i="17"/>
  <c r="D91" i="18"/>
  <c r="E66" i="18"/>
  <c r="D295" i="18"/>
  <c r="E295" i="18"/>
  <c r="D259" i="18"/>
  <c r="D263" i="18"/>
  <c r="E168" i="18"/>
  <c r="D169" i="18"/>
  <c r="E169" i="18"/>
  <c r="E145" i="18"/>
  <c r="D310" i="18"/>
  <c r="D254" i="18"/>
  <c r="D103" i="18"/>
  <c r="C63" i="17"/>
  <c r="D175" i="17"/>
  <c r="D140" i="17"/>
  <c r="D105" i="17"/>
  <c r="D62" i="17"/>
  <c r="D63" i="17"/>
  <c r="E63" i="17"/>
  <c r="F63" i="17"/>
  <c r="E32" i="17"/>
  <c r="F32" i="17"/>
  <c r="E287" i="17"/>
  <c r="F287" i="17"/>
  <c r="D291" i="17"/>
  <c r="E291" i="17"/>
  <c r="F291" i="17"/>
  <c r="D289" i="17"/>
  <c r="E289" i="17"/>
  <c r="F289" i="17"/>
  <c r="D92" i="17"/>
  <c r="C127" i="17"/>
  <c r="E263" i="17"/>
  <c r="F263" i="17"/>
  <c r="D304" i="17"/>
  <c r="D273" i="17"/>
  <c r="D208" i="17"/>
  <c r="D50" i="17"/>
  <c r="E126" i="17"/>
  <c r="F126" i="17"/>
  <c r="D127" i="17"/>
  <c r="D35" i="5"/>
  <c r="D43" i="5"/>
  <c r="D105" i="18"/>
  <c r="E127" i="17"/>
  <c r="F127" i="17"/>
  <c r="D305" i="17"/>
  <c r="D309" i="17"/>
  <c r="E105" i="17"/>
  <c r="F105" i="17"/>
  <c r="D106" i="17"/>
  <c r="E106" i="17"/>
  <c r="F106" i="17"/>
  <c r="D176" i="17"/>
  <c r="D209" i="17"/>
  <c r="E304" i="17"/>
  <c r="F304" i="17"/>
  <c r="E62" i="17"/>
  <c r="F62" i="17"/>
  <c r="E140" i="17"/>
  <c r="D141" i="17"/>
  <c r="D210" i="17"/>
  <c r="D211" i="17"/>
  <c r="D113" i="17"/>
  <c r="D324" i="17"/>
  <c r="D322" i="17"/>
  <c r="D148" i="17"/>
  <c r="E43" i="4"/>
  <c r="D310" i="17"/>
  <c r="E309" i="17"/>
  <c r="C148" i="17"/>
  <c r="F148" i="17"/>
  <c r="F141" i="17"/>
  <c r="C322" i="17"/>
  <c r="E141" i="17"/>
  <c r="C309" i="17"/>
  <c r="F188" i="7"/>
  <c r="E148" i="17"/>
  <c r="E263" i="18"/>
  <c r="D264" i="18"/>
  <c r="E273" i="17"/>
  <c r="D49" i="12"/>
  <c r="D22" i="13"/>
  <c r="D70" i="13"/>
  <c r="D72" i="13"/>
  <c r="D69" i="13"/>
  <c r="F104" i="17"/>
  <c r="D323" i="17"/>
  <c r="D325" i="17"/>
  <c r="D183" i="17"/>
  <c r="D50" i="5"/>
  <c r="C113" i="17"/>
  <c r="E113" i="17"/>
  <c r="C324" i="17"/>
  <c r="E324" i="17"/>
  <c r="E92" i="17"/>
  <c r="F92" i="17"/>
  <c r="D70" i="17"/>
  <c r="F140" i="17"/>
  <c r="D28" i="8"/>
  <c r="C273" i="17"/>
  <c r="E271" i="17"/>
  <c r="F271" i="17"/>
  <c r="E22" i="4"/>
  <c r="E84" i="6"/>
  <c r="F84" i="6"/>
  <c r="D95" i="6"/>
  <c r="E95" i="6"/>
  <c r="F95" i="6"/>
  <c r="F41" i="7"/>
  <c r="D188" i="7"/>
  <c r="E188" i="7"/>
  <c r="E167" i="7"/>
  <c r="F167" i="7"/>
  <c r="C88" i="8"/>
  <c r="C90" i="8"/>
  <c r="C86" i="8"/>
  <c r="C77" i="8"/>
  <c r="C71" i="8"/>
  <c r="F23" i="9"/>
  <c r="D77" i="18"/>
  <c r="E104" i="17"/>
  <c r="D282" i="17"/>
  <c r="E158" i="8"/>
  <c r="E284" i="18"/>
  <c r="E33" i="5"/>
  <c r="F121" i="7"/>
  <c r="E90" i="8"/>
  <c r="E86" i="8"/>
  <c r="D79" i="8"/>
  <c r="E44" i="20"/>
  <c r="E46" i="20"/>
  <c r="F44" i="20"/>
  <c r="E21" i="21"/>
  <c r="F21" i="21"/>
  <c r="E91" i="17"/>
  <c r="F91" i="17"/>
  <c r="D52" i="6"/>
  <c r="E52" i="6"/>
  <c r="F52" i="6"/>
  <c r="F30" i="7"/>
  <c r="F73" i="11"/>
  <c r="C20" i="12"/>
  <c r="F17" i="12"/>
  <c r="C65" i="19"/>
  <c r="C114" i="19"/>
  <c r="C116" i="19"/>
  <c r="C119" i="19"/>
  <c r="C123" i="19"/>
  <c r="C17" i="8"/>
  <c r="C24" i="8"/>
  <c r="C139" i="8"/>
  <c r="C138" i="8"/>
  <c r="C141" i="8"/>
  <c r="D135" i="8"/>
  <c r="D138" i="8"/>
  <c r="F33" i="5"/>
  <c r="D194" i="17"/>
  <c r="E98" i="18"/>
  <c r="F89" i="9"/>
  <c r="E89" i="9"/>
  <c r="C77" i="18"/>
  <c r="C259" i="18"/>
  <c r="C263" i="18"/>
  <c r="E157" i="18"/>
  <c r="D210" i="18"/>
  <c r="D229" i="18"/>
  <c r="E229" i="18"/>
  <c r="C302" i="18"/>
  <c r="E265" i="18"/>
  <c r="E305" i="17"/>
  <c r="F305" i="17"/>
  <c r="F29" i="4"/>
  <c r="F16" i="5"/>
  <c r="F25" i="6"/>
  <c r="F76" i="9"/>
  <c r="C239" i="17"/>
  <c r="E44" i="18"/>
  <c r="C87" i="18"/>
  <c r="E87" i="18"/>
  <c r="C88" i="18"/>
  <c r="E88" i="18"/>
  <c r="C85" i="18"/>
  <c r="E85" i="18"/>
  <c r="C83" i="18"/>
  <c r="C258" i="18"/>
  <c r="C101" i="18"/>
  <c r="E101" i="18"/>
  <c r="C100" i="18"/>
  <c r="E100" i="18"/>
  <c r="C97" i="18"/>
  <c r="E97" i="18"/>
  <c r="C98" i="18"/>
  <c r="C86" i="18"/>
  <c r="E86" i="18"/>
  <c r="C96" i="18"/>
  <c r="C84" i="18"/>
  <c r="C89" i="18"/>
  <c r="E89" i="18"/>
  <c r="C95" i="18"/>
  <c r="F68" i="17"/>
  <c r="D266" i="17"/>
  <c r="F22" i="4"/>
  <c r="C43" i="4"/>
  <c r="E38" i="6"/>
  <c r="F38" i="6"/>
  <c r="C95" i="7"/>
  <c r="E179" i="17"/>
  <c r="F179" i="17"/>
  <c r="D181" i="17"/>
  <c r="C25" i="8"/>
  <c r="C27" i="8"/>
  <c r="F100" i="15"/>
  <c r="F29" i="17"/>
  <c r="C48" i="17"/>
  <c r="F47" i="17"/>
  <c r="C159" i="17"/>
  <c r="E159" i="17"/>
  <c r="C193" i="17"/>
  <c r="F158" i="17"/>
  <c r="E16" i="20"/>
  <c r="F16" i="20"/>
  <c r="E156" i="18"/>
  <c r="E25" i="8"/>
  <c r="E27" i="8"/>
  <c r="D53" i="8"/>
  <c r="E73" i="11"/>
  <c r="C59" i="13"/>
  <c r="C61" i="13"/>
  <c r="C57" i="13"/>
  <c r="F94" i="17"/>
  <c r="E237" i="17"/>
  <c r="F237" i="17"/>
  <c r="E55" i="18"/>
  <c r="C18" i="5"/>
  <c r="F40" i="12"/>
  <c r="F16" i="15"/>
  <c r="F23" i="15"/>
  <c r="F70" i="15"/>
  <c r="F13" i="16"/>
  <c r="F21" i="16"/>
  <c r="F52" i="17"/>
  <c r="F95" i="17"/>
  <c r="E230" i="18"/>
  <c r="C40" i="20"/>
  <c r="F36" i="20"/>
  <c r="D122" i="10"/>
  <c r="E122" i="10"/>
  <c r="F24" i="7"/>
  <c r="E65" i="11"/>
  <c r="F65" i="11"/>
  <c r="D75" i="11"/>
  <c r="F32" i="12"/>
  <c r="C172" i="17"/>
  <c r="F171" i="17"/>
  <c r="D206" i="17"/>
  <c r="E206" i="17"/>
  <c r="F206" i="17"/>
  <c r="D214" i="17"/>
  <c r="C75" i="11"/>
  <c r="C46" i="20"/>
  <c r="F46" i="20"/>
  <c r="E48" i="13"/>
  <c r="E42" i="13"/>
  <c r="E25" i="13"/>
  <c r="E27" i="13"/>
  <c r="E45" i="15"/>
  <c r="E50" i="15"/>
  <c r="E55" i="15"/>
  <c r="F74" i="15"/>
  <c r="F130" i="17"/>
  <c r="F135" i="17"/>
  <c r="C146" i="17"/>
  <c r="F25" i="20"/>
  <c r="C181" i="17"/>
  <c r="C227" i="17"/>
  <c r="C240" i="18"/>
  <c r="E25" i="20"/>
  <c r="D30" i="22"/>
  <c r="F114" i="10"/>
  <c r="C64" i="19"/>
  <c r="D99" i="8"/>
  <c r="D101" i="8"/>
  <c r="D98" i="8"/>
  <c r="D22" i="8"/>
  <c r="E227" i="17"/>
  <c r="F227" i="17"/>
  <c r="C194" i="17"/>
  <c r="C282" i="17"/>
  <c r="C266" i="17"/>
  <c r="F193" i="17"/>
  <c r="E181" i="17"/>
  <c r="C252" i="18"/>
  <c r="C253" i="18"/>
  <c r="E253" i="18"/>
  <c r="E240" i="18"/>
  <c r="E95" i="18"/>
  <c r="C103" i="18"/>
  <c r="E103" i="18"/>
  <c r="E302" i="18"/>
  <c r="C303" i="18"/>
  <c r="E21" i="8"/>
  <c r="E22" i="8"/>
  <c r="E20" i="8"/>
  <c r="E258" i="18"/>
  <c r="C264" i="18"/>
  <c r="C266" i="18"/>
  <c r="C267" i="18"/>
  <c r="D196" i="17"/>
  <c r="E194" i="17"/>
  <c r="D195" i="17"/>
  <c r="C28" i="8"/>
  <c r="C99" i="8"/>
  <c r="C101" i="8"/>
  <c r="C98" i="8"/>
  <c r="C112" i="8"/>
  <c r="C111" i="8"/>
  <c r="F181" i="17"/>
  <c r="C41" i="20"/>
  <c r="F41" i="20"/>
  <c r="F239" i="17"/>
  <c r="E20" i="13"/>
  <c r="E21" i="13"/>
  <c r="E22" i="13"/>
  <c r="E146" i="17"/>
  <c r="F146" i="17"/>
  <c r="E75" i="11"/>
  <c r="C21" i="5"/>
  <c r="E18" i="5"/>
  <c r="F18" i="5"/>
  <c r="C195" i="17"/>
  <c r="C160" i="17"/>
  <c r="C90" i="17"/>
  <c r="C125" i="17"/>
  <c r="E48" i="17"/>
  <c r="F48" i="17"/>
  <c r="C49" i="17"/>
  <c r="C90" i="18"/>
  <c r="E90" i="18"/>
  <c r="E84" i="18"/>
  <c r="E83" i="18"/>
  <c r="D234" i="18"/>
  <c r="E234" i="18"/>
  <c r="D211" i="18"/>
  <c r="D180" i="18"/>
  <c r="E180" i="18"/>
  <c r="E210" i="18"/>
  <c r="E259" i="18"/>
  <c r="D266" i="18"/>
  <c r="F309" i="17"/>
  <c r="C310" i="17"/>
  <c r="E310" i="17"/>
  <c r="F324" i="17"/>
  <c r="C173" i="17"/>
  <c r="C207" i="17"/>
  <c r="E172" i="17"/>
  <c r="F172" i="17"/>
  <c r="F159" i="17"/>
  <c r="C161" i="17"/>
  <c r="E239" i="17"/>
  <c r="F75" i="11"/>
  <c r="F43" i="4"/>
  <c r="D281" i="17"/>
  <c r="E282" i="17"/>
  <c r="F113" i="17"/>
  <c r="D312" i="17"/>
  <c r="E96" i="18"/>
  <c r="C102" i="18"/>
  <c r="E102" i="18"/>
  <c r="D38" i="22"/>
  <c r="D113" i="22"/>
  <c r="D48" i="22"/>
  <c r="D56" i="22"/>
  <c r="D254" i="17"/>
  <c r="D216" i="17"/>
  <c r="E216" i="17"/>
  <c r="F216" i="17"/>
  <c r="E214" i="17"/>
  <c r="F214" i="17"/>
  <c r="E40" i="20"/>
  <c r="E41" i="20"/>
  <c r="C21" i="8"/>
  <c r="C20" i="8"/>
  <c r="C109" i="18"/>
  <c r="C127" i="18"/>
  <c r="C126" i="18"/>
  <c r="C125" i="18"/>
  <c r="C124" i="18"/>
  <c r="C123" i="18"/>
  <c r="C122" i="18"/>
  <c r="C121" i="18"/>
  <c r="C115" i="18"/>
  <c r="C114" i="18"/>
  <c r="C111" i="18"/>
  <c r="C110" i="18"/>
  <c r="C113" i="18"/>
  <c r="C112" i="18"/>
  <c r="D141" i="8"/>
  <c r="E20" i="12"/>
  <c r="F20" i="12"/>
  <c r="C34" i="12"/>
  <c r="E95" i="7"/>
  <c r="F95" i="7"/>
  <c r="F273" i="17"/>
  <c r="E193" i="17"/>
  <c r="E322" i="17"/>
  <c r="F322" i="17"/>
  <c r="D265" i="17"/>
  <c r="D123" i="18"/>
  <c r="E123" i="18"/>
  <c r="D126" i="18"/>
  <c r="E126" i="18"/>
  <c r="D111" i="18"/>
  <c r="E111" i="18"/>
  <c r="D125" i="18"/>
  <c r="E125" i="18"/>
  <c r="D121" i="18"/>
  <c r="D124" i="18"/>
  <c r="E124" i="18"/>
  <c r="D114" i="18"/>
  <c r="D109" i="18"/>
  <c r="D127" i="18"/>
  <c r="D122" i="18"/>
  <c r="E77" i="18"/>
  <c r="D112" i="18"/>
  <c r="D115" i="18"/>
  <c r="D110" i="18"/>
  <c r="D113" i="18"/>
  <c r="E113" i="18"/>
  <c r="E122" i="18"/>
  <c r="D128" i="18"/>
  <c r="E254" i="17"/>
  <c r="F254" i="17"/>
  <c r="E127" i="18"/>
  <c r="E109" i="18"/>
  <c r="E265" i="17"/>
  <c r="C22" i="8"/>
  <c r="E264" i="18"/>
  <c r="C91" i="18"/>
  <c r="E160" i="17"/>
  <c r="F160" i="17"/>
  <c r="F282" i="17"/>
  <c r="C281" i="17"/>
  <c r="E125" i="17"/>
  <c r="F125" i="17"/>
  <c r="F90" i="17"/>
  <c r="E90" i="17"/>
  <c r="C265" i="17"/>
  <c r="E114" i="18"/>
  <c r="E266" i="17"/>
  <c r="F266" i="17"/>
  <c r="C128" i="18"/>
  <c r="C129" i="18"/>
  <c r="E266" i="18"/>
  <c r="D267" i="18"/>
  <c r="F195" i="17"/>
  <c r="C196" i="17"/>
  <c r="F194" i="17"/>
  <c r="C268" i="18"/>
  <c r="C269" i="18"/>
  <c r="E207" i="17"/>
  <c r="F207" i="17"/>
  <c r="C208" i="17"/>
  <c r="E115" i="18"/>
  <c r="E121" i="18"/>
  <c r="D129" i="18"/>
  <c r="C174" i="17"/>
  <c r="C175" i="17"/>
  <c r="E173" i="17"/>
  <c r="F173" i="17"/>
  <c r="C50" i="17"/>
  <c r="E49" i="17"/>
  <c r="F49" i="17"/>
  <c r="E21" i="5"/>
  <c r="C35" i="5"/>
  <c r="F21" i="5"/>
  <c r="E195" i="17"/>
  <c r="C254" i="18"/>
  <c r="E254" i="18"/>
  <c r="E252" i="18"/>
  <c r="C312" i="17"/>
  <c r="F310" i="17"/>
  <c r="D116" i="18"/>
  <c r="E116" i="18"/>
  <c r="E110" i="18"/>
  <c r="E281" i="17"/>
  <c r="E112" i="18"/>
  <c r="C116" i="18"/>
  <c r="C117" i="18"/>
  <c r="C131" i="18"/>
  <c r="E34" i="12"/>
  <c r="F34" i="12"/>
  <c r="C42" i="12"/>
  <c r="E161" i="17"/>
  <c r="C162" i="17"/>
  <c r="F161" i="17"/>
  <c r="D313" i="17"/>
  <c r="D256" i="17"/>
  <c r="D181" i="18"/>
  <c r="E181" i="18"/>
  <c r="E211" i="18"/>
  <c r="D235" i="18"/>
  <c r="E235" i="18"/>
  <c r="F40" i="20"/>
  <c r="E196" i="17"/>
  <c r="D197" i="17"/>
  <c r="C306" i="18"/>
  <c r="E303" i="18"/>
  <c r="D257" i="17"/>
  <c r="E197" i="17"/>
  <c r="F175" i="17"/>
  <c r="C176" i="17"/>
  <c r="C323" i="17"/>
  <c r="E175" i="17"/>
  <c r="C183" i="17"/>
  <c r="F162" i="17"/>
  <c r="C197" i="17"/>
  <c r="E162" i="17"/>
  <c r="C43" i="5"/>
  <c r="E35" i="5"/>
  <c r="F35" i="5"/>
  <c r="E174" i="17"/>
  <c r="F174" i="17"/>
  <c r="C271" i="18"/>
  <c r="D117" i="18"/>
  <c r="E129" i="18"/>
  <c r="F265" i="17"/>
  <c r="C49" i="12"/>
  <c r="E42" i="12"/>
  <c r="F42" i="12"/>
  <c r="F196" i="17"/>
  <c r="C313" i="17"/>
  <c r="C105" i="18"/>
  <c r="E105" i="18"/>
  <c r="E91" i="18"/>
  <c r="C70" i="17"/>
  <c r="E50" i="17"/>
  <c r="F50" i="17"/>
  <c r="D269" i="18"/>
  <c r="E269" i="18"/>
  <c r="E267" i="18"/>
  <c r="D268" i="18"/>
  <c r="C210" i="17"/>
  <c r="F208" i="17"/>
  <c r="C209" i="17"/>
  <c r="E208" i="17"/>
  <c r="D315" i="17"/>
  <c r="D314" i="17"/>
  <c r="D251" i="17"/>
  <c r="C310" i="18"/>
  <c r="E310" i="18"/>
  <c r="E306" i="18"/>
  <c r="E312" i="17"/>
  <c r="F312" i="17"/>
  <c r="E128" i="18"/>
  <c r="F281" i="17"/>
  <c r="C325" i="17"/>
  <c r="E323" i="17"/>
  <c r="F323" i="17"/>
  <c r="E183" i="17"/>
  <c r="F183" i="17"/>
  <c r="D318" i="17"/>
  <c r="E314" i="17"/>
  <c r="E70" i="17"/>
  <c r="F70" i="17"/>
  <c r="C314" i="17"/>
  <c r="C251" i="17"/>
  <c r="C256" i="17"/>
  <c r="C315" i="17"/>
  <c r="F313" i="17"/>
  <c r="F209" i="17"/>
  <c r="E209" i="17"/>
  <c r="E49" i="12"/>
  <c r="F49" i="12"/>
  <c r="C211" i="17"/>
  <c r="E176" i="17"/>
  <c r="F176" i="17"/>
  <c r="E313" i="17"/>
  <c r="F43" i="5"/>
  <c r="C50" i="5"/>
  <c r="E43" i="5"/>
  <c r="E210" i="17"/>
  <c r="F210" i="17"/>
  <c r="E251" i="17"/>
  <c r="E268" i="18"/>
  <c r="D271" i="18"/>
  <c r="E271" i="18"/>
  <c r="E117" i="18"/>
  <c r="D131" i="18"/>
  <c r="E131" i="18"/>
  <c r="F197" i="17"/>
  <c r="F315" i="17"/>
  <c r="E211" i="17"/>
  <c r="F211" i="17"/>
  <c r="C257" i="17"/>
  <c r="E256" i="17"/>
  <c r="F256" i="17"/>
  <c r="F251" i="17"/>
  <c r="C318" i="17"/>
  <c r="F314" i="17"/>
  <c r="E325" i="17"/>
  <c r="F325" i="17"/>
  <c r="E315" i="17"/>
  <c r="E50" i="5"/>
  <c r="F50" i="5"/>
  <c r="E257" i="17"/>
  <c r="F257" i="17"/>
  <c r="E318" i="17"/>
  <c r="F318" i="17"/>
</calcChain>
</file>

<file path=xl/sharedStrings.xml><?xml version="1.0" encoding="utf-8"?>
<sst xmlns="http://schemas.openxmlformats.org/spreadsheetml/2006/main" count="2333" uniqueCount="1007">
  <si>
    <t>WINDHAM COMMUNITY MEMORIAL HOSPITAL</t>
  </si>
  <si>
    <t>TWELVE MONTHS ACTUAL FILING</t>
  </si>
  <si>
    <t>FISCAL YEAR 2016</t>
  </si>
  <si>
    <t>REPORT 100 - HOSPITAL BALANCE SHEET INFORMATION</t>
  </si>
  <si>
    <t>FY 2015</t>
  </si>
  <si>
    <t>FY 2016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</si>
  <si>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</si>
  <si>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</si>
  <si>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</si>
  <si>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</si>
  <si>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</si>
  <si>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</si>
  <si>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</si>
  <si>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</si>
  <si>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</si>
  <si>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</si>
  <si>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</si>
  <si>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</si>
  <si>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</si>
  <si>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</si>
  <si>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</si>
  <si>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</si>
  <si>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</si>
  <si>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</si>
  <si>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</si>
  <si>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</si>
  <si>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</si>
  <si>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</si>
  <si>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</si>
  <si>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</si>
  <si>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</si>
  <si>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</si>
  <si>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</si>
  <si>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</si>
  <si>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</si>
  <si>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</si>
  <si>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</si>
  <si>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</si>
  <si>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</si>
  <si>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</si>
  <si>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</si>
  <si>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</si>
  <si>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</si>
  <si>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</si>
  <si>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</si>
  <si>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</si>
  <si>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</si>
  <si>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</si>
  <si>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</si>
  <si>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</si>
  <si>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</si>
  <si>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</si>
  <si>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</si>
  <si>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</si>
  <si>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</si>
  <si>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</si>
  <si>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</si>
  <si>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</si>
  <si>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</si>
  <si>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</si>
  <si>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</si>
  <si>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</si>
  <si>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</si>
  <si>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</si>
  <si>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</si>
  <si>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</si>
  <si>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</si>
  <si>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</si>
  <si>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</si>
  <si>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</si>
  <si>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</si>
  <si>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</si>
  <si>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</si>
  <si>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</si>
  <si>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</si>
  <si>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</si>
  <si>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</si>
  <si>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</si>
  <si>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</si>
  <si>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</si>
  <si>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</si>
  <si>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</si>
  <si>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</si>
  <si>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</si>
  <si>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</si>
  <si>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</si>
  <si>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</si>
  <si>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</si>
  <si>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</si>
  <si>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</si>
  <si>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</si>
  <si>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</si>
  <si>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</si>
  <si>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</si>
  <si>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</si>
  <si>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</si>
  <si>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</si>
  <si>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</si>
  <si>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</si>
  <si>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</si>
  <si>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</si>
  <si>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</si>
  <si>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</si>
  <si>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</si>
  <si>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</si>
  <si>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</si>
  <si>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</si>
  <si>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2015                ACTUAL</t>
  </si>
  <si>
    <t>FY 2016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</si>
  <si>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</si>
  <si>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</si>
  <si>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</si>
  <si>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</si>
  <si>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</si>
  <si>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</si>
  <si>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</si>
  <si>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</si>
  <si>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</si>
  <si>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</si>
  <si>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</si>
  <si>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</si>
  <si>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</si>
  <si>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</si>
  <si>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</si>
  <si>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</si>
  <si>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</si>
  <si>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</si>
  <si>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</si>
  <si>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</si>
  <si>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</si>
  <si>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</si>
  <si>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</si>
  <si>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</si>
  <si>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</si>
  <si>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</si>
  <si>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</si>
  <si>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</si>
  <si>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</si>
  <si>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</si>
  <si>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</si>
  <si>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</si>
  <si>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</si>
  <si>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</si>
  <si>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</si>
  <si>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</si>
  <si>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</si>
  <si>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</si>
  <si>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</si>
  <si>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</si>
  <si>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</si>
  <si>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</si>
  <si>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</si>
  <si>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</si>
  <si>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</si>
  <si>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</si>
  <si>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</si>
  <si>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</si>
  <si>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</si>
  <si>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</si>
  <si>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</si>
  <si>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</si>
  <si>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</si>
  <si>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</si>
  <si>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</si>
  <si>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</si>
  <si>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</si>
  <si>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</si>
  <si>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</si>
  <si>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</si>
  <si>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</si>
  <si>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</si>
  <si>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</si>
  <si>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</si>
  <si>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</si>
  <si>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</si>
  <si>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</si>
  <si>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</si>
  <si>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</si>
  <si>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</si>
  <si>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</si>
  <si>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</si>
  <si>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</si>
  <si>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</si>
  <si>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</si>
  <si>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</si>
  <si>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</si>
  <si>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</si>
  <si>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</si>
  <si>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</si>
  <si>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</si>
  <si>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</si>
  <si>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</si>
  <si>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</si>
  <si>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</si>
  <si>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</si>
  <si>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</si>
  <si>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</si>
  <si>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</si>
  <si>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</si>
  <si>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</si>
  <si>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</si>
  <si>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</si>
  <si>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</si>
  <si>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</si>
  <si>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</si>
  <si>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</si>
  <si>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</si>
  <si>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</si>
  <si>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</si>
  <si>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</si>
  <si>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</si>
  <si>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</si>
  <si>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</si>
  <si>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</si>
  <si>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</si>
  <si>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</si>
  <si>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</si>
  <si>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</si>
  <si>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</si>
  <si>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</si>
  <si>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</si>
  <si>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</si>
  <si>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</si>
  <si>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</si>
  <si>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</si>
  <si>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</si>
  <si>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</si>
  <si>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</si>
  <si>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</si>
  <si>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</si>
  <si>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</si>
  <si>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</si>
  <si>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</si>
  <si>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</si>
  <si>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</si>
  <si>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</si>
  <si>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</si>
  <si>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</si>
  <si>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</si>
  <si>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</si>
  <si>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</si>
  <si>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</si>
  <si>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</si>
  <si>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</si>
  <si>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</si>
  <si>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</si>
  <si>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</si>
  <si>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</si>
  <si>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</si>
  <si>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</si>
  <si>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</si>
  <si>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</si>
  <si>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</si>
  <si>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</si>
  <si>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</si>
  <si>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</si>
  <si>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</si>
  <si>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</si>
  <si>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</si>
  <si>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</si>
  <si>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</si>
  <si>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</si>
  <si>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</si>
  <si>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</si>
  <si>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</si>
  <si>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</si>
  <si>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</si>
  <si>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</si>
  <si>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</si>
  <si>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</si>
  <si>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</si>
  <si>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</si>
  <si>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</si>
  <si>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</si>
  <si>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</si>
  <si>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</si>
  <si>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</si>
  <si>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</si>
  <si>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</si>
  <si>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</si>
  <si>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</si>
  <si>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</si>
  <si>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</si>
  <si>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</si>
  <si>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</si>
  <si>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</si>
  <si>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</si>
  <si>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</si>
  <si>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</si>
  <si>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</si>
  <si>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</si>
  <si>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</si>
  <si>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</si>
  <si>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</si>
  <si>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</si>
  <si>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</si>
  <si>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</si>
  <si>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</si>
  <si>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</si>
  <si>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</si>
  <si>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</si>
  <si>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</si>
  <si>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</si>
  <si>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</si>
  <si>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</si>
  <si>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</si>
  <si>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</si>
  <si>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</si>
  <si>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</si>
  <si>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</si>
  <si>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</si>
  <si>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</si>
  <si>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</si>
  <si>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</si>
  <si>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2016</t>
  </si>
  <si>
    <t>REPORT 185 - HOSPITAL FINANCIAL AND STATISTICAL DATA ANALYSIS</t>
  </si>
  <si>
    <t xml:space="preserve">      FY 2014</t>
  </si>
  <si>
    <t xml:space="preserve">      FY 2015</t>
  </si>
  <si>
    <t xml:space="preserve">      FY 2016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</si>
  <si>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</si>
  <si>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</si>
  <si>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</si>
  <si>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</si>
  <si>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</si>
  <si>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</si>
  <si>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</si>
  <si>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</si>
  <si>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</si>
  <si>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</si>
  <si>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</si>
  <si>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</si>
  <si>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</si>
  <si>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</si>
  <si>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</si>
  <si>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</si>
  <si>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</si>
  <si>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</si>
  <si>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</si>
  <si>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</si>
  <si>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</si>
  <si>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</si>
  <si>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</si>
  <si>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</si>
  <si>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</si>
  <si>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</si>
  <si>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</si>
  <si>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</si>
  <si>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</si>
  <si>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</si>
  <si>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</si>
  <si>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</si>
  <si>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</si>
  <si>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</si>
  <si>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</si>
  <si>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</si>
  <si>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</si>
  <si>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</si>
  <si>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</si>
  <si>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</si>
  <si>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</si>
  <si>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</si>
  <si>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</si>
  <si>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</si>
  <si>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</si>
  <si>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</si>
  <si>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</si>
  <si>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</si>
  <si>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</si>
  <si>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</si>
  <si>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</si>
  <si>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</si>
  <si>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</si>
  <si>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</si>
  <si>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</si>
  <si>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</si>
  <si>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</si>
  <si>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</si>
  <si>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</si>
  <si>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</si>
  <si>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</si>
  <si>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</si>
  <si>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</si>
  <si>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</si>
  <si>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</si>
  <si>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</si>
  <si>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</si>
  <si>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</si>
  <si>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</si>
  <si>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</si>
  <si>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</si>
  <si>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</si>
  <si>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</si>
  <si>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</si>
  <si>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</si>
  <si>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</si>
  <si>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</si>
  <si>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</si>
  <si>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</si>
  <si>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</si>
  <si>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</si>
  <si>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</si>
  <si>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</si>
  <si>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</si>
  <si>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</si>
  <si>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</si>
  <si>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</si>
  <si>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</si>
  <si>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</si>
  <si>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</si>
  <si>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</si>
  <si>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</si>
  <si>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</si>
  <si>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</si>
  <si>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</si>
  <si>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</si>
  <si>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</si>
  <si>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</si>
  <si>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</si>
  <si>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</si>
  <si>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</si>
  <si>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</si>
  <si>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</si>
  <si>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</si>
  <si>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</si>
  <si>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</si>
  <si>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</si>
  <si>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</si>
  <si>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</si>
  <si>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</si>
  <si>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</si>
  <si>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</si>
  <si>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</si>
  <si>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</si>
  <si>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</si>
  <si>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</si>
  <si>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</si>
  <si>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2015 ACTUAL</t>
  </si>
  <si>
    <t>FY 2016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</si>
  <si>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</si>
  <si>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</si>
  <si>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</si>
  <si>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</si>
  <si>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</si>
  <si>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</si>
  <si>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</si>
  <si>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</si>
  <si>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</si>
  <si>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</si>
  <si>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</si>
  <si>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</si>
  <si>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</si>
  <si>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</si>
  <si>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</si>
  <si>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</si>
  <si>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</si>
  <si>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</si>
  <si>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</si>
  <si>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</si>
  <si>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</si>
  <si>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</si>
  <si>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</si>
  <si>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</si>
  <si>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</si>
  <si>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</si>
  <si>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</si>
  <si>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</si>
  <si>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</si>
  <si>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</si>
  <si>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</si>
  <si>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</si>
  <si>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</si>
  <si>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</si>
  <si>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</si>
  <si>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</si>
  <si>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2015 ACTUAL     </t>
  </si>
  <si>
    <t xml:space="preserve">      FY 2016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</si>
  <si>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</si>
  <si>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</si>
  <si>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</si>
  <si>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</si>
  <si>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</si>
  <si>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</si>
  <si>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</si>
  <si>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</si>
  <si>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</si>
  <si>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</si>
  <si>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</si>
  <si>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</si>
  <si>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</si>
  <si>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</si>
  <si>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</si>
  <si>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</si>
  <si>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</si>
  <si>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</si>
  <si>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</si>
  <si>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</si>
  <si>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</si>
  <si>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</si>
  <si>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</si>
  <si>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</si>
  <si>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</si>
  <si>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</si>
  <si>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</si>
  <si>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</si>
  <si>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2014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</si>
  <si>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</si>
  <si>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</si>
  <si>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</si>
  <si>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</si>
  <si>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</si>
  <si>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</si>
  <si>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</si>
  <si>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</si>
  <si>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</si>
  <si>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</si>
  <si>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</si>
  <si>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</si>
  <si>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</si>
  <si>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</si>
  <si>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</si>
  <si>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</si>
  <si>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</si>
  <si>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</si>
  <si>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</si>
  <si>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</si>
  <si>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</si>
  <si>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</si>
  <si>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</si>
  <si>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</si>
  <si>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</si>
  <si>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</si>
  <si>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</si>
  <si>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</si>
  <si>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</si>
  <si>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</si>
  <si>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</si>
  <si>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</si>
  <si>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</si>
  <si>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</si>
  <si>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</si>
  <si>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</si>
  <si>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</si>
  <si>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</si>
  <si>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</si>
  <si>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</si>
  <si>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</si>
  <si>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</si>
  <si>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</si>
  <si>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</si>
  <si>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</si>
  <si>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</si>
  <si>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</si>
  <si>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</si>
  <si>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</si>
  <si>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</si>
  <si>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</si>
  <si>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</si>
  <si>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</si>
  <si>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</si>
  <si>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</si>
  <si>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</si>
  <si>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</si>
  <si>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</si>
  <si>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</si>
  <si>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</si>
  <si>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</si>
  <si>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</si>
  <si>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</si>
  <si>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</si>
  <si>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</si>
  <si>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</si>
  <si>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</si>
  <si>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</si>
  <si>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</si>
  <si>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</si>
  <si>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</si>
  <si>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</si>
  <si>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</si>
  <si>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</si>
  <si>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</si>
  <si>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</si>
  <si>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</si>
  <si>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</si>
  <si>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</si>
  <si>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</si>
  <si>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</si>
  <si>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</si>
  <si>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</si>
  <si>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</si>
  <si>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</si>
  <si>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</si>
  <si>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</si>
  <si>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</si>
  <si>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</si>
  <si>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</si>
  <si>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</si>
  <si>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</si>
  <si>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</si>
  <si>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</si>
  <si>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</si>
  <si>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</si>
  <si>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</si>
  <si>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</si>
  <si>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</si>
  <si>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</si>
  <si>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</si>
  <si>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</si>
  <si>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</si>
  <si>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</si>
  <si>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</si>
  <si>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</si>
  <si>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</si>
  <si>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</si>
  <si>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</si>
  <si>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</si>
  <si>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</si>
  <si>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</si>
  <si>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</si>
  <si>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</si>
  <si>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</si>
  <si>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Windham 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</si>
  <si>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</si>
  <si>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</si>
  <si>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</si>
  <si>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</si>
  <si>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</si>
  <si>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</si>
  <si>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</si>
  <si>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</si>
  <si>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</si>
  <si>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</si>
  <si>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</si>
  <si>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</si>
  <si>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</si>
  <si>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</si>
  <si>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</si>
  <si>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</si>
  <si>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</si>
  <si>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</si>
  <si>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</si>
  <si>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</si>
  <si>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</si>
  <si>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</si>
  <si>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</si>
  <si>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</si>
  <si>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</si>
  <si>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</si>
  <si>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</si>
  <si>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</si>
  <si>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</si>
  <si>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</si>
  <si>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</si>
  <si>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</si>
  <si>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</si>
  <si>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</si>
  <si>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</si>
  <si>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</si>
  <si>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</si>
  <si>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</si>
  <si>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</si>
  <si>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</si>
  <si>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</si>
  <si>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</si>
  <si>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</si>
  <si>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</si>
  <si>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</si>
  <si>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</si>
  <si>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</si>
  <si>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</si>
  <si>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</si>
  <si>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</si>
  <si>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</si>
  <si>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</si>
  <si>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</si>
  <si>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</si>
  <si>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</si>
  <si>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</si>
  <si>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</si>
  <si>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</si>
  <si>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</si>
  <si>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</si>
  <si>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</si>
  <si>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</si>
  <si>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</si>
  <si>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</si>
  <si>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</si>
  <si>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</si>
  <si>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</si>
  <si>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</si>
  <si>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</si>
  <si>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</si>
  <si>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</si>
  <si>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</si>
  <si>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</si>
  <si>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</si>
  <si>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</si>
  <si>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</si>
  <si>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</si>
  <si>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</si>
  <si>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</si>
  <si>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</si>
  <si>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</si>
  <si>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</si>
  <si>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</si>
  <si>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</si>
  <si>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</si>
  <si>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</si>
  <si>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</si>
  <si>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</si>
  <si>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</si>
  <si>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</si>
  <si>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</si>
  <si>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</si>
  <si>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</si>
  <si>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</si>
  <si>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</si>
  <si>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</si>
  <si>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</si>
  <si>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</si>
  <si>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</si>
  <si>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</si>
  <si>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</si>
  <si>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</si>
  <si>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</si>
  <si>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</si>
  <si>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</si>
  <si>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</si>
  <si>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</si>
  <si>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</si>
  <si>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</si>
  <si>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</si>
  <si>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</si>
  <si>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</si>
  <si>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</si>
  <si>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</si>
  <si>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</si>
  <si>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</si>
  <si>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</si>
  <si>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</si>
  <si>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</si>
  <si>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</si>
  <si>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</si>
  <si>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</si>
  <si>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</si>
  <si>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</si>
  <si>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</si>
  <si>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</si>
  <si>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</si>
  <si>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</si>
  <si>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</si>
  <si>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</si>
  <si>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</si>
  <si>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</si>
  <si>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</si>
  <si>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</si>
  <si>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</si>
  <si>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</si>
  <si>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</si>
  <si>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</si>
  <si>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</si>
  <si>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</si>
  <si>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</si>
  <si>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</si>
  <si>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</si>
  <si>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</si>
  <si>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</si>
  <si>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</si>
  <si>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</si>
  <si>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2016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</si>
  <si>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</si>
  <si>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</si>
  <si>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</si>
  <si>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ACTUAL            </t>
    </r>
    <r>
      <rPr>
        <b/>
        <u/>
        <sz val="12"/>
        <rFont val="Arial"/>
        <family val="2"/>
      </rPr>
      <t>FY 2016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</si>
  <si>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</si>
  <si>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</si>
  <si>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</si>
  <si>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</si>
  <si>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</si>
  <si>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</si>
  <si>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</si>
  <si>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</si>
  <si>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</si>
  <si>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</si>
  <si>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</si>
  <si>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</si>
  <si>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</si>
  <si>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</si>
  <si>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</si>
  <si>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</si>
  <si>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</si>
  <si>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</si>
  <si>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</si>
  <si>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</si>
  <si>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</si>
  <si>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</si>
  <si>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</si>
  <si>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</si>
  <si>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</si>
  <si>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</si>
  <si>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</si>
  <si>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</si>
  <si>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</si>
  <si>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</si>
  <si>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</si>
  <si>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</si>
  <si>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</si>
  <si>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</si>
  <si>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</si>
  <si>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</si>
  <si>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</si>
  <si>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</si>
  <si>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</si>
  <si>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</si>
  <si>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</si>
  <si>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</si>
  <si>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</si>
  <si>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</si>
  <si>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</si>
  <si>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</si>
  <si>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</si>
  <si>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</si>
  <si>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</si>
  <si>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</si>
  <si>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</si>
  <si>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</si>
  <si>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</si>
  <si>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</si>
  <si>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</si>
  <si>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</si>
  <si>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</si>
  <si>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</si>
  <si>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</si>
  <si>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</si>
  <si>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</si>
  <si>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</si>
  <si>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</si>
  <si>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</si>
  <si>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</si>
  <si>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</si>
  <si>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</si>
  <si>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</si>
  <si>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</si>
  <si>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</si>
  <si>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</si>
  <si>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</si>
  <si>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</si>
  <si>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</si>
  <si>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</si>
  <si>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</si>
  <si>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</si>
  <si>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</si>
  <si>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</si>
  <si>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</si>
  <si>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</si>
  <si>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</si>
  <si>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</si>
  <si>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</si>
  <si>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</si>
  <si>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</si>
  <si>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</si>
  <si>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</si>
  <si>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</si>
  <si>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</si>
  <si>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</si>
  <si>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</si>
  <si>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</si>
  <si>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</si>
  <si>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</si>
  <si>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</si>
  <si>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</si>
  <si>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2016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</si>
  <si>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</si>
  <si>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</si>
  <si>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</si>
  <si>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</si>
  <si>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</si>
  <si>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</si>
  <si>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</si>
  <si>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</si>
  <si>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</si>
  <si>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</si>
  <si>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</si>
  <si>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</si>
  <si>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</si>
  <si>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</si>
  <si>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</si>
  <si>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</si>
  <si>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</si>
  <si>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</si>
  <si>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</si>
  <si>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</si>
  <si>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</si>
  <si>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</si>
  <si>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</si>
  <si>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</si>
  <si>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</si>
  <si>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</si>
  <si>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</si>
  <si>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</si>
  <si>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</si>
  <si>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</si>
  <si>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</si>
  <si>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</si>
  <si>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</si>
  <si>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</si>
  <si>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</si>
  <si>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</si>
  <si>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</si>
  <si>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</si>
  <si>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</si>
  <si>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</si>
  <si>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</si>
  <si>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</si>
  <si>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</si>
  <si>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</si>
  <si>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</si>
  <si>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</si>
  <si>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</si>
  <si>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</si>
  <si>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</si>
  <si>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</si>
  <si>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</si>
  <si>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</si>
  <si>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</si>
  <si>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</si>
  <si>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</si>
  <si>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</si>
  <si>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</si>
  <si>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r>
      <t xml:space="preserve">ACTUAL          </t>
    </r>
    <r>
      <rPr>
        <b/>
        <u/>
        <sz val="14"/>
        <rFont val="Arial"/>
        <family val="2"/>
      </rPr>
      <t>FY 2016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</si>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</sst>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2" xfId="6" applyBorder="1" applyAlignment="1"/>
    <xf numFmtId="0" fontId="2" fillId="0" borderId="32" xfId="6" applyFont="1" applyBorder="1" applyAlignment="1">
      <alignment horizontal="centerContinuous"/>
    </xf>
    <xf numFmtId="0" fontId="1" fillId="0" borderId="32" xfId="6" applyFont="1" applyBorder="1" applyAlignment="1">
      <alignment horizontal="centerContinuous"/>
    </xf>
    <xf numFmtId="0" fontId="1" fillId="0" borderId="32" xfId="6" applyFont="1" applyBorder="1" applyAlignment="1"/>
    <xf numFmtId="164" fontId="2" fillId="0" borderId="32" xfId="6" applyNumberFormat="1" applyFont="1" applyBorder="1" applyAlignment="1">
      <alignment horizontal="center"/>
    </xf>
    <xf numFmtId="0" fontId="1" fillId="0" borderId="32" xfId="6" applyFill="1" applyBorder="1" applyAlignment="1"/>
    <xf numFmtId="0" fontId="2" fillId="0" borderId="32" xfId="6" applyFont="1" applyFill="1" applyBorder="1" applyAlignment="1">
      <alignment horizontal="left"/>
    </xf>
    <xf numFmtId="0" fontId="2" fillId="0" borderId="32" xfId="6" applyFont="1" applyFill="1" applyBorder="1" applyAlignment="1">
      <alignment horizontal="centerContinuous"/>
    </xf>
    <xf numFmtId="164" fontId="3" fillId="0" borderId="32" xfId="6" applyNumberFormat="1" applyFont="1" applyBorder="1" applyAlignment="1">
      <alignment horizontal="center"/>
    </xf>
    <xf numFmtId="0" fontId="2" fillId="0" borderId="32" xfId="6" applyFont="1" applyFill="1" applyBorder="1" applyAlignment="1">
      <alignment horizontal="center"/>
    </xf>
    <xf numFmtId="0" fontId="1" fillId="0" borderId="32" xfId="6" applyFill="1" applyBorder="1" applyAlignment="1">
      <alignment horizontal="center"/>
    </xf>
    <xf numFmtId="0" fontId="4" fillId="0" borderId="32" xfId="6" applyFont="1" applyFill="1" applyBorder="1" applyAlignment="1">
      <alignment horizontal="center"/>
    </xf>
    <xf numFmtId="164" fontId="5" fillId="0" borderId="32" xfId="6" applyNumberFormat="1" applyFont="1" applyBorder="1" applyAlignment="1">
      <alignment horizontal="center" wrapText="1"/>
    </xf>
    <xf numFmtId="0" fontId="5" fillId="0" borderId="32" xfId="6" applyFont="1" applyFill="1" applyBorder="1" applyAlignment="1">
      <alignment horizontal="center"/>
    </xf>
    <xf numFmtId="0" fontId="4" fillId="0" borderId="32" xfId="6" applyFont="1" applyFill="1" applyBorder="1" applyAlignment="1">
      <alignment horizontal="left"/>
    </xf>
    <xf numFmtId="0" fontId="1" fillId="0" borderId="32" xfId="6" applyFont="1" applyFill="1" applyBorder="1" applyAlignment="1">
      <alignment horizontal="center"/>
    </xf>
    <xf numFmtId="0" fontId="1" fillId="0" borderId="32" xfId="6" applyFont="1" applyFill="1" applyBorder="1" applyAlignment="1"/>
    <xf numFmtId="0" fontId="1" fillId="0" borderId="32" xfId="6" applyFont="1" applyFill="1" applyBorder="1" applyAlignment="1">
      <alignment horizontal="center" wrapText="1"/>
    </xf>
    <xf numFmtId="0" fontId="3" fillId="0" borderId="32" xfId="6" applyFont="1" applyFill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1" fillId="0" borderId="32" xfId="6" applyFont="1" applyBorder="1" applyAlignment="1">
      <alignment horizontal="left"/>
    </xf>
    <xf numFmtId="5" fontId="1" fillId="0" borderId="32" xfId="6" applyNumberFormat="1" applyFont="1" applyBorder="1" applyAlignment="1">
      <alignment horizontal="right"/>
    </xf>
    <xf numFmtId="9" fontId="1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center"/>
    </xf>
    <xf numFmtId="0" fontId="2" fillId="0" borderId="32" xfId="6" applyFont="1" applyBorder="1" applyAlignment="1">
      <alignment horizontal="left"/>
    </xf>
    <xf numFmtId="5" fontId="3" fillId="0" borderId="32" xfId="6" applyNumberFormat="1" applyFont="1" applyBorder="1" applyAlignment="1">
      <alignment horizontal="right"/>
    </xf>
    <xf numFmtId="9" fontId="3" fillId="0" borderId="32" xfId="6" applyNumberFormat="1" applyFont="1" applyBorder="1" applyAlignment="1">
      <alignment horizontal="right"/>
    </xf>
    <xf numFmtId="37" fontId="1" fillId="0" borderId="32" xfId="6" applyNumberFormat="1" applyFont="1" applyBorder="1" applyAlignment="1">
      <alignment horizontal="right"/>
    </xf>
    <xf numFmtId="0" fontId="3" fillId="0" borderId="32" xfId="6" applyFont="1" applyBorder="1" applyAlignment="1">
      <alignment horizontal="center"/>
    </xf>
    <xf numFmtId="0" fontId="5" fillId="0" borderId="32" xfId="6" applyFont="1" applyBorder="1" applyAlignment="1">
      <alignment horizontal="left"/>
    </xf>
    <xf numFmtId="37" fontId="1" fillId="0" borderId="32" xfId="6" applyNumberFormat="1" applyFont="1" applyBorder="1" applyAlignment="1"/>
    <xf numFmtId="0" fontId="1" fillId="0" borderId="32" xfId="6" applyBorder="1" applyAlignment="1">
      <alignment horizontal="left"/>
    </xf>
    <xf numFmtId="6" fontId="1" fillId="0" borderId="32" xfId="6" applyNumberFormat="1" applyBorder="1" applyAlignment="1">
      <alignment horizontal="right"/>
    </xf>
    <xf numFmtId="9" fontId="1" fillId="0" borderId="32" xfId="6" applyNumberFormat="1" applyBorder="1" applyAlignment="1">
      <alignment horizontal="right"/>
    </xf>
    <xf numFmtId="0" fontId="2" fillId="0" borderId="32" xfId="6" applyFont="1" applyBorder="1" applyAlignment="1">
      <alignment horizontal="center"/>
    </xf>
    <xf numFmtId="37" fontId="2" fillId="0" borderId="32" xfId="6" applyNumberFormat="1" applyFont="1" applyBorder="1" applyAlignment="1">
      <alignment horizontal="centerContinuous"/>
    </xf>
    <xf numFmtId="37" fontId="1" fillId="0" borderId="32" xfId="6" applyNumberFormat="1" applyFont="1" applyBorder="1" applyAlignment="1">
      <alignment horizontal="centerContinuous"/>
    </xf>
    <xf numFmtId="37" fontId="4" fillId="0" borderId="32" xfId="6" applyNumberFormat="1" applyFont="1" applyFill="1" applyBorder="1" applyAlignment="1">
      <alignment horizontal="center"/>
    </xf>
    <xf numFmtId="37" fontId="1" fillId="0" borderId="32" xfId="6" applyNumberFormat="1" applyFont="1" applyFill="1" applyBorder="1" applyAlignment="1"/>
    <xf numFmtId="37" fontId="1" fillId="0" borderId="32" xfId="6" applyNumberFormat="1" applyFont="1" applyFill="1" applyBorder="1" applyAlignment="1">
      <alignment horizontal="center"/>
    </xf>
    <xf numFmtId="0" fontId="4" fillId="0" borderId="32" xfId="6" applyFont="1" applyBorder="1" applyAlignment="1">
      <alignment horizontal="left"/>
    </xf>
    <xf numFmtId="37" fontId="3" fillId="0" borderId="32" xfId="6" applyNumberFormat="1" applyFont="1" applyBorder="1" applyAlignment="1">
      <alignment horizontal="right"/>
    </xf>
    <xf numFmtId="0" fontId="6" fillId="0" borderId="32" xfId="6" applyFont="1" applyFill="1" applyBorder="1" applyAlignment="1">
      <alignment horizontal="center"/>
    </xf>
    <xf numFmtId="0" fontId="6" fillId="0" borderId="32" xfId="6" applyFont="1" applyFill="1" applyBorder="1" applyAlignment="1">
      <alignment horizontal="left"/>
    </xf>
    <xf numFmtId="9" fontId="6" fillId="0" borderId="32" xfId="6" applyNumberFormat="1" applyFont="1" applyFill="1" applyBorder="1" applyAlignment="1">
      <alignment horizontal="right"/>
    </xf>
    <xf numFmtId="0" fontId="7" fillId="0" borderId="32" xfId="6" applyFont="1" applyBorder="1" applyAlignment="1"/>
    <xf numFmtId="0" fontId="3" fillId="0" borderId="32" xfId="6" applyFont="1" applyBorder="1"/>
    <xf numFmtId="0" fontId="6" fillId="0" borderId="32" xfId="6" applyFont="1" applyBorder="1" applyAlignment="1">
      <alignment horizontal="left"/>
    </xf>
    <xf numFmtId="37" fontId="6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left" wrapText="1"/>
    </xf>
    <xf numFmtId="5" fontId="6" fillId="0" borderId="32" xfId="6" applyNumberFormat="1" applyFont="1" applyBorder="1" applyAlignment="1">
      <alignment horizontal="right"/>
    </xf>
    <xf numFmtId="165" fontId="6" fillId="0" borderId="32" xfId="6" applyNumberFormat="1" applyFont="1" applyBorder="1" applyAlignment="1">
      <alignment horizontal="right"/>
    </xf>
    <xf numFmtId="165" fontId="3" fillId="0" borderId="32" xfId="6" applyNumberFormat="1" applyFont="1" applyBorder="1" applyAlignment="1">
      <alignment horizontal="right"/>
    </xf>
    <xf numFmtId="0" fontId="1" fillId="0" borderId="32" xfId="6" applyFont="1" applyBorder="1" applyAlignment="1">
      <alignment horizontal="right"/>
    </xf>
    <xf numFmtId="0" fontId="6" fillId="0" borderId="32" xfId="6" applyFont="1" applyBorder="1" applyAlignment="1"/>
    <xf numFmtId="0" fontId="8" fillId="0" borderId="0" xfId="7" applyBorder="1" applyAlignment="1"/>
    <xf numFmtId="164" fontId="3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right"/>
    </xf>
    <xf numFmtId="0" fontId="3" fillId="0" borderId="32" xfId="7" applyFont="1" applyBorder="1" applyAlignment="1"/>
    <xf numFmtId="164" fontId="3" fillId="0" borderId="32" xfId="7" applyNumberFormat="1" applyFont="1" applyBorder="1" applyAlignment="1">
      <alignment horizontal="center"/>
    </xf>
    <xf numFmtId="0" fontId="5" fillId="0" borderId="32" xfId="7" applyFont="1" applyBorder="1" applyAlignment="1">
      <alignment horizontal="right"/>
    </xf>
    <xf numFmtId="0" fontId="5" fillId="0" borderId="32" xfId="7" applyFont="1" applyBorder="1" applyAlignment="1"/>
    <xf numFmtId="164" fontId="5" fillId="0" borderId="32" xfId="7" applyNumberFormat="1" applyFont="1" applyBorder="1" applyAlignment="1">
      <alignment horizontal="center" wrapText="1"/>
    </xf>
    <xf numFmtId="6" fontId="5" fillId="0" borderId="32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3" xfId="7" applyFill="1" applyBorder="1" applyAlignment="1">
      <alignment horizontal="center"/>
    </xf>
    <xf numFmtId="0" fontId="6" fillId="0" borderId="32" xfId="7" applyFont="1" applyBorder="1" applyAlignment="1"/>
    <xf numFmtId="164" fontId="6" fillId="0" borderId="32" xfId="7" applyNumberFormat="1" applyFont="1" applyFill="1" applyBorder="1" applyAlignment="1">
      <alignment horizontal="center"/>
    </xf>
    <xf numFmtId="6" fontId="3" fillId="0" borderId="32" xfId="7" applyNumberFormat="1" applyFont="1" applyBorder="1" applyAlignment="1">
      <alignment horizontal="center"/>
    </xf>
    <xf numFmtId="0" fontId="8" fillId="0" borderId="32" xfId="7" applyBorder="1" applyAlignment="1"/>
    <xf numFmtId="0" fontId="3" fillId="0" borderId="32" xfId="7" applyFont="1" applyBorder="1" applyAlignment="1">
      <alignment horizontal="center"/>
    </xf>
    <xf numFmtId="0" fontId="5" fillId="0" borderId="32" xfId="7" applyFont="1" applyBorder="1" applyAlignment="1">
      <alignment horizontal="left"/>
    </xf>
    <xf numFmtId="6" fontId="6" fillId="0" borderId="32" xfId="7" applyNumberFormat="1" applyFont="1" applyBorder="1" applyAlignment="1">
      <alignment horizontal="center"/>
    </xf>
    <xf numFmtId="0" fontId="6" fillId="0" borderId="32" xfId="7" applyFont="1" applyBorder="1" applyAlignment="1">
      <alignment horizontal="center"/>
    </xf>
    <xf numFmtId="0" fontId="6" fillId="0" borderId="32" xfId="7" applyFont="1" applyBorder="1" applyAlignment="1">
      <alignment horizontal="left"/>
    </xf>
    <xf numFmtId="5" fontId="6" fillId="0" borderId="32" xfId="7" applyNumberFormat="1" applyFont="1" applyBorder="1" applyAlignment="1">
      <alignment horizontal="right"/>
    </xf>
    <xf numFmtId="9" fontId="6" fillId="0" borderId="32" xfId="7" applyNumberFormat="1" applyFont="1" applyBorder="1" applyAlignment="1">
      <alignment horizontal="right"/>
    </xf>
    <xf numFmtId="0" fontId="3" fillId="0" borderId="32" xfId="7" applyFont="1" applyBorder="1" applyAlignment="1">
      <alignment horizontal="left"/>
    </xf>
    <xf numFmtId="5" fontId="3" fillId="0" borderId="32" xfId="7" applyNumberFormat="1" applyFont="1" applyBorder="1" applyAlignment="1">
      <alignment horizontal="right"/>
    </xf>
    <xf numFmtId="9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 wrapText="1"/>
    </xf>
    <xf numFmtId="0" fontId="6" fillId="0" borderId="32" xfId="7" applyFont="1" applyFill="1" applyBorder="1" applyAlignment="1">
      <alignment horizontal="left" wrapText="1"/>
    </xf>
    <xf numFmtId="0" fontId="3" fillId="0" borderId="32" xfId="7" applyFont="1" applyFill="1" applyBorder="1" applyAlignment="1">
      <alignment horizontal="center"/>
    </xf>
    <xf numFmtId="0" fontId="6" fillId="0" borderId="32" xfId="7" applyFont="1" applyBorder="1" applyAlignment="1">
      <alignment horizontal="right"/>
    </xf>
    <xf numFmtId="0" fontId="6" fillId="0" borderId="32" xfId="7" applyFont="1" applyFill="1" applyBorder="1" applyAlignment="1">
      <alignment horizontal="center"/>
    </xf>
    <xf numFmtId="37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/>
    </xf>
    <xf numFmtId="165" fontId="3" fillId="0" borderId="32" xfId="7" applyNumberFormat="1" applyFont="1" applyBorder="1" applyAlignment="1">
      <alignment horizontal="right"/>
    </xf>
    <xf numFmtId="42" fontId="6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9" xfId="6" applyNumberFormat="1" applyFont="1" applyBorder="1" applyAlignment="1">
      <alignment horizontal="center"/>
    </xf>
    <xf numFmtId="164" fontId="5" fillId="0" borderId="9" xfId="6" applyNumberFormat="1" applyFont="1" applyBorder="1" applyAlignment="1">
      <alignment horizontal="left" wrapText="1"/>
    </xf>
    <xf numFmtId="5" fontId="6" fillId="0" borderId="9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center" vertical="center"/>
    </xf>
    <xf numFmtId="43" fontId="6" fillId="0" borderId="9" xfId="1" applyFont="1" applyBorder="1" applyProtection="1">
      <protection locked="0"/>
    </xf>
    <xf numFmtId="164" fontId="3" fillId="0" borderId="9" xfId="6" applyNumberFormat="1" applyFont="1" applyBorder="1" applyAlignment="1">
      <alignment horizontal="center" vertical="center"/>
    </xf>
    <xf numFmtId="164" fontId="3" fillId="0" borderId="9" xfId="6" applyNumberFormat="1" applyFont="1" applyBorder="1" applyAlignment="1">
      <alignment horizontal="left" wrapText="1"/>
    </xf>
    <xf numFmtId="5" fontId="3" fillId="0" borderId="9" xfId="6" applyNumberFormat="1" applyFont="1" applyBorder="1" applyAlignment="1">
      <alignment horizontal="right"/>
    </xf>
    <xf numFmtId="9" fontId="3" fillId="0" borderId="9" xfId="6" applyNumberFormat="1" applyFont="1" applyBorder="1" applyAlignment="1">
      <alignment horizontal="right"/>
    </xf>
    <xf numFmtId="164" fontId="3" fillId="0" borderId="9" xfId="6" applyNumberFormat="1" applyFont="1" applyBorder="1" applyAlignment="1">
      <alignment horizontal="right"/>
    </xf>
    <xf numFmtId="43" fontId="3" fillId="0" borderId="9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0" xfId="6" applyNumberFormat="1" applyFont="1" applyFill="1" applyBorder="1" applyAlignment="1">
      <alignment horizontal="center"/>
    </xf>
    <xf numFmtId="164" fontId="3" fillId="0" borderId="11" xfId="6" applyNumberFormat="1" applyFont="1" applyBorder="1" applyAlignment="1">
      <alignment horizontal="left"/>
    </xf>
    <xf numFmtId="5" fontId="3" fillId="0" borderId="10" xfId="6" applyNumberFormat="1" applyFont="1" applyBorder="1" applyAlignment="1">
      <alignment horizontal="right"/>
    </xf>
    <xf numFmtId="5" fontId="3" fillId="0" borderId="12" xfId="6" applyNumberFormat="1" applyFont="1" applyBorder="1" applyAlignment="1">
      <alignment horizontal="right"/>
    </xf>
    <xf numFmtId="9" fontId="3" fillId="0" borderId="12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right"/>
    </xf>
    <xf numFmtId="164" fontId="3" fillId="0" borderId="12" xfId="6" applyNumberFormat="1" applyFont="1" applyFill="1" applyBorder="1" applyAlignment="1">
      <alignment horizontal="center"/>
    </xf>
    <xf numFmtId="164" fontId="3" fillId="0" borderId="10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13" xfId="7" applyFont="1" applyBorder="1" applyAlignment="1">
      <alignment horizontal="center"/>
    </xf>
    <xf numFmtId="0" fontId="6" fillId="0" borderId="0" xfId="7" applyFont="1" applyBorder="1"/>
    <xf numFmtId="164" fontId="3" fillId="0" borderId="9" xfId="7" applyNumberFormat="1" applyFont="1" applyBorder="1" applyAlignment="1">
      <alignment horizontal="center"/>
    </xf>
    <xf numFmtId="164" fontId="3" fillId="0" borderId="14" xfId="7" applyNumberFormat="1" applyFont="1" applyBorder="1" applyAlignment="1">
      <alignment horizontal="center"/>
    </xf>
    <xf numFmtId="164" fontId="3" fillId="0" borderId="14" xfId="7" applyNumberFormat="1" applyFont="1" applyBorder="1" applyAlignment="1"/>
    <xf numFmtId="0" fontId="3" fillId="0" borderId="14" xfId="7" applyFont="1" applyBorder="1" applyAlignment="1">
      <alignment horizontal="center" wrapText="1"/>
    </xf>
    <xf numFmtId="164" fontId="3" fillId="0" borderId="14" xfId="7" applyNumberFormat="1" applyFont="1" applyBorder="1" applyAlignment="1">
      <alignment horizontal="center" wrapText="1"/>
    </xf>
    <xf numFmtId="164" fontId="5" fillId="0" borderId="14" xfId="7" applyNumberFormat="1" applyFont="1" applyBorder="1" applyAlignment="1">
      <alignment horizontal="center"/>
    </xf>
    <xf numFmtId="164" fontId="5" fillId="0" borderId="14" xfId="7" applyNumberFormat="1" applyFont="1" applyBorder="1" applyAlignment="1">
      <alignment horizontal="left"/>
    </xf>
    <xf numFmtId="164" fontId="5" fillId="0" borderId="14" xfId="7" applyNumberFormat="1" applyFont="1" applyBorder="1" applyAlignment="1">
      <alignment horizontal="center" wrapText="1"/>
    </xf>
    <xf numFmtId="0" fontId="5" fillId="0" borderId="14" xfId="7" applyFont="1" applyBorder="1" applyAlignment="1">
      <alignment horizontal="center" wrapText="1"/>
    </xf>
    <xf numFmtId="164" fontId="6" fillId="0" borderId="9" xfId="7" applyNumberFormat="1" applyFont="1" applyBorder="1" applyAlignment="1">
      <alignment horizontal="center"/>
    </xf>
    <xf numFmtId="0" fontId="5" fillId="0" borderId="9" xfId="7" applyNumberFormat="1" applyFont="1" applyBorder="1" applyAlignment="1">
      <alignment horizontal="left" wrapText="1"/>
    </xf>
    <xf numFmtId="164" fontId="6" fillId="0" borderId="9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horizontal="right"/>
    </xf>
    <xf numFmtId="0" fontId="6" fillId="0" borderId="9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9" xfId="7" applyFont="1" applyBorder="1" applyAlignment="1">
      <alignment horizontal="center"/>
    </xf>
    <xf numFmtId="0" fontId="5" fillId="0" borderId="9" xfId="7" applyNumberFormat="1" applyFont="1" applyBorder="1"/>
    <xf numFmtId="5" fontId="6" fillId="0" borderId="9" xfId="7" applyNumberFormat="1" applyFont="1" applyBorder="1" applyAlignment="1">
      <alignment horizontal="right"/>
    </xf>
    <xf numFmtId="5" fontId="3" fillId="0" borderId="9" xfId="7" applyNumberFormat="1" applyFont="1" applyBorder="1" applyAlignment="1">
      <alignment horizontal="right"/>
    </xf>
    <xf numFmtId="9" fontId="3" fillId="0" borderId="9" xfId="7" applyNumberFormat="1" applyFont="1" applyBorder="1" applyAlignment="1">
      <alignment horizontal="right"/>
    </xf>
    <xf numFmtId="0" fontId="6" fillId="0" borderId="9" xfId="2" applyNumberFormat="1" applyFont="1" applyBorder="1" applyProtection="1">
      <protection locked="0"/>
    </xf>
    <xf numFmtId="9" fontId="6" fillId="0" borderId="9" xfId="7" applyNumberFormat="1" applyFont="1" applyBorder="1" applyAlignment="1">
      <alignment horizontal="right"/>
    </xf>
    <xf numFmtId="0" fontId="3" fillId="0" borderId="9" xfId="7" applyNumberFormat="1" applyFont="1" applyBorder="1"/>
    <xf numFmtId="43" fontId="6" fillId="0" borderId="9" xfId="2" applyFont="1" applyBorder="1" applyProtection="1">
      <protection locked="0"/>
    </xf>
    <xf numFmtId="164" fontId="6" fillId="0" borderId="9" xfId="7" applyNumberFormat="1" applyFont="1" applyFill="1" applyBorder="1" applyAlignment="1">
      <alignment horizontal="center"/>
    </xf>
    <xf numFmtId="3" fontId="3" fillId="0" borderId="9" xfId="7" applyNumberFormat="1" applyFont="1" applyBorder="1" applyAlignment="1" applyProtection="1"/>
    <xf numFmtId="9" fontId="6" fillId="0" borderId="9" xfId="9" applyFont="1" applyBorder="1" applyAlignment="1">
      <alignment horizontal="right"/>
    </xf>
    <xf numFmtId="0" fontId="3" fillId="0" borderId="9" xfId="7" applyNumberFormat="1" applyFont="1" applyBorder="1" applyAlignment="1">
      <alignment horizontal="left"/>
    </xf>
    <xf numFmtId="164" fontId="9" fillId="0" borderId="9" xfId="7" applyNumberFormat="1" applyFont="1" applyBorder="1" applyAlignment="1">
      <alignment horizontal="center"/>
    </xf>
    <xf numFmtId="0" fontId="6" fillId="0" borderId="9" xfId="7" applyFont="1" applyBorder="1"/>
    <xf numFmtId="3" fontId="6" fillId="0" borderId="9" xfId="7" applyNumberFormat="1" applyFont="1" applyBorder="1" applyAlignment="1" applyProtection="1"/>
    <xf numFmtId="0" fontId="8" fillId="0" borderId="9" xfId="7" applyBorder="1"/>
    <xf numFmtId="0" fontId="6" fillId="0" borderId="0" xfId="7" applyFont="1" applyBorder="1" applyAlignment="1">
      <alignment horizontal="right"/>
    </xf>
    <xf numFmtId="0" fontId="1" fillId="0" borderId="32" xfId="7" applyFont="1" applyBorder="1" applyAlignment="1">
      <alignment horizontal="center"/>
    </xf>
    <xf numFmtId="0" fontId="2" fillId="0" borderId="32" xfId="7" applyFont="1" applyBorder="1" applyAlignment="1">
      <alignment horizontal="centerContinuous"/>
    </xf>
    <xf numFmtId="0" fontId="1" fillId="0" borderId="32" xfId="7" applyFont="1" applyBorder="1" applyAlignment="1">
      <alignment horizontal="centerContinuous"/>
    </xf>
    <xf numFmtId="0" fontId="1" fillId="0" borderId="32" xfId="7" applyFont="1" applyBorder="1" applyAlignment="1"/>
    <xf numFmtId="0" fontId="2" fillId="0" borderId="32" xfId="7" applyFont="1" applyBorder="1" applyAlignment="1">
      <alignment horizontal="center"/>
    </xf>
    <xf numFmtId="164" fontId="2" fillId="0" borderId="32" xfId="7" applyNumberFormat="1" applyFont="1" applyBorder="1" applyAlignment="1">
      <alignment horizontal="center"/>
    </xf>
    <xf numFmtId="0" fontId="2" fillId="0" borderId="32" xfId="7" applyFont="1" applyFill="1" applyBorder="1" applyAlignment="1">
      <alignment horizontal="center"/>
    </xf>
    <xf numFmtId="0" fontId="2" fillId="0" borderId="32" xfId="7" applyFont="1" applyFill="1" applyBorder="1" applyAlignment="1">
      <alignment horizontal="centerContinuous"/>
    </xf>
    <xf numFmtId="0" fontId="4" fillId="0" borderId="32" xfId="7" applyFont="1" applyFill="1" applyBorder="1" applyAlignment="1">
      <alignment horizontal="center"/>
    </xf>
    <xf numFmtId="0" fontId="4" fillId="0" borderId="32" xfId="7" applyFont="1" applyFill="1" applyBorder="1" applyAlignment="1">
      <alignment horizontal="left"/>
    </xf>
    <xf numFmtId="5" fontId="1" fillId="0" borderId="32" xfId="7" applyNumberFormat="1" applyFont="1" applyBorder="1" applyAlignment="1"/>
    <xf numFmtId="0" fontId="6" fillId="0" borderId="34" xfId="7" applyFont="1" applyFill="1" applyBorder="1" applyAlignment="1">
      <alignment horizontal="left"/>
    </xf>
    <xf numFmtId="37" fontId="6" fillId="0" borderId="32" xfId="7" applyNumberFormat="1" applyFont="1" applyBorder="1" applyAlignment="1">
      <alignment horizontal="right"/>
    </xf>
    <xf numFmtId="0" fontId="6" fillId="0" borderId="34" xfId="7" applyFont="1" applyBorder="1" applyAlignment="1">
      <alignment horizontal="left"/>
    </xf>
    <xf numFmtId="166" fontId="6" fillId="0" borderId="32" xfId="7" applyNumberFormat="1" applyFont="1" applyBorder="1" applyAlignment="1">
      <alignment horizontal="right"/>
    </xf>
    <xf numFmtId="166" fontId="3" fillId="0" borderId="32" xfId="7" applyNumberFormat="1" applyFont="1" applyBorder="1" applyAlignment="1">
      <alignment horizontal="right"/>
    </xf>
    <xf numFmtId="10" fontId="6" fillId="0" borderId="32" xfId="7" applyNumberFormat="1" applyFont="1" applyBorder="1" applyAlignment="1">
      <alignment horizontal="right"/>
    </xf>
    <xf numFmtId="0" fontId="8" fillId="0" borderId="32" xfId="7" applyBorder="1"/>
    <xf numFmtId="0" fontId="4" fillId="0" borderId="32" xfId="7" applyFont="1" applyBorder="1" applyAlignment="1">
      <alignment horizontal="left"/>
    </xf>
    <xf numFmtId="0" fontId="1" fillId="0" borderId="32" xfId="7" applyFont="1" applyBorder="1" applyAlignment="1">
      <alignment horizontal="left"/>
    </xf>
    <xf numFmtId="167" fontId="6" fillId="0" borderId="32" xfId="7" applyNumberFormat="1" applyFont="1" applyBorder="1" applyAlignment="1">
      <alignment horizontal="right"/>
    </xf>
    <xf numFmtId="0" fontId="2" fillId="0" borderId="32" xfId="7" applyFont="1" applyBorder="1" applyAlignment="1">
      <alignment horizontal="left"/>
    </xf>
    <xf numFmtId="43" fontId="3" fillId="0" borderId="32" xfId="7" applyNumberFormat="1" applyFont="1" applyBorder="1" applyAlignment="1">
      <alignment horizontal="right"/>
    </xf>
    <xf numFmtId="5" fontId="1" fillId="0" borderId="32" xfId="7" applyNumberFormat="1" applyFont="1" applyBorder="1" applyAlignment="1">
      <alignment horizontal="right"/>
    </xf>
    <xf numFmtId="39" fontId="3" fillId="0" borderId="32" xfId="7" applyNumberFormat="1" applyFont="1" applyBorder="1" applyAlignment="1">
      <alignment horizontal="right"/>
    </xf>
    <xf numFmtId="4" fontId="3" fillId="0" borderId="32" xfId="7" applyNumberFormat="1" applyFont="1" applyBorder="1" applyAlignment="1">
      <alignment horizontal="right"/>
    </xf>
    <xf numFmtId="165" fontId="6" fillId="0" borderId="32" xfId="7" applyNumberFormat="1" applyFont="1" applyFill="1" applyBorder="1" applyAlignment="1">
      <alignment horizontal="right"/>
    </xf>
    <xf numFmtId="0" fontId="10" fillId="0" borderId="32" xfId="7" applyFont="1" applyBorder="1" applyAlignment="1">
      <alignment horizontal="left"/>
    </xf>
    <xf numFmtId="165" fontId="6" fillId="0" borderId="32" xfId="7" applyNumberFormat="1" applyFont="1" applyBorder="1" applyAlignment="1">
      <alignment horizontal="right"/>
    </xf>
    <xf numFmtId="167" fontId="3" fillId="0" borderId="32" xfId="7" applyNumberFormat="1" applyFont="1" applyFill="1" applyBorder="1" applyAlignment="1">
      <alignment horizontal="right"/>
    </xf>
    <xf numFmtId="164" fontId="3" fillId="0" borderId="32" xfId="7" applyNumberFormat="1" applyFont="1" applyBorder="1" applyAlignment="1">
      <alignment horizontal="right"/>
    </xf>
    <xf numFmtId="5" fontId="6" fillId="0" borderId="32" xfId="7" applyNumberFormat="1" applyFont="1" applyBorder="1" applyAlignment="1"/>
    <xf numFmtId="0" fontId="1" fillId="0" borderId="34" xfId="7" applyFont="1" applyBorder="1" applyAlignment="1">
      <alignment horizontal="left"/>
    </xf>
    <xf numFmtId="37" fontId="6" fillId="0" borderId="32" xfId="7" applyNumberFormat="1" applyFont="1" applyBorder="1" applyAlignment="1"/>
    <xf numFmtId="0" fontId="2" fillId="0" borderId="32" xfId="7" applyFont="1" applyFill="1" applyBorder="1" applyAlignment="1">
      <alignment horizontal="left"/>
    </xf>
    <xf numFmtId="5" fontId="3" fillId="0" borderId="32" xfId="7" applyNumberFormat="1" applyFont="1" applyBorder="1" applyAlignment="1"/>
    <xf numFmtId="165" fontId="3" fillId="0" borderId="32" xfId="7" applyNumberFormat="1" applyFont="1" applyBorder="1" applyAlignment="1"/>
    <xf numFmtId="0" fontId="5" fillId="0" borderId="32" xfId="7" applyFont="1" applyFill="1" applyBorder="1" applyAlignment="1">
      <alignment horizontal="left"/>
    </xf>
    <xf numFmtId="0" fontId="1" fillId="0" borderId="32" xfId="7" applyFont="1" applyFill="1" applyBorder="1" applyAlignment="1">
      <alignment horizontal="left"/>
    </xf>
    <xf numFmtId="165" fontId="1" fillId="0" borderId="32" xfId="7" applyNumberFormat="1" applyFont="1" applyBorder="1" applyAlignment="1"/>
    <xf numFmtId="42" fontId="6" fillId="0" borderId="32" xfId="7" applyNumberFormat="1" applyFont="1" applyBorder="1" applyAlignment="1">
      <alignment horizontal="right"/>
    </xf>
    <xf numFmtId="168" fontId="3" fillId="0" borderId="32" xfId="7" applyNumberFormat="1" applyFont="1" applyBorder="1" applyAlignment="1">
      <alignment horizontal="right"/>
    </xf>
    <xf numFmtId="1" fontId="3" fillId="0" borderId="32" xfId="7" applyNumberFormat="1" applyFont="1" applyBorder="1" applyAlignment="1">
      <alignment horizontal="right"/>
    </xf>
    <xf numFmtId="165" fontId="6" fillId="0" borderId="32" xfId="7" applyNumberFormat="1" applyFont="1" applyBorder="1" applyAlignment="1"/>
    <xf numFmtId="0" fontId="1" fillId="0" borderId="32" xfId="7" applyFont="1" applyFill="1" applyBorder="1" applyAlignment="1">
      <alignment horizontal="center"/>
    </xf>
    <xf numFmtId="41" fontId="6" fillId="0" borderId="32" xfId="7" applyNumberFormat="1" applyFont="1" applyBorder="1" applyAlignment="1">
      <alignment horizontal="right"/>
    </xf>
    <xf numFmtId="168" fontId="6" fillId="0" borderId="32" xfId="7" applyNumberFormat="1" applyFont="1" applyBorder="1" applyAlignment="1">
      <alignment horizontal="right"/>
    </xf>
    <xf numFmtId="0" fontId="8" fillId="0" borderId="32" xfId="7" applyFill="1" applyBorder="1" applyAlignment="1"/>
    <xf numFmtId="0" fontId="8" fillId="0" borderId="32" xfId="7" applyFill="1" applyBorder="1" applyAlignment="1">
      <alignment horizontal="center"/>
    </xf>
    <xf numFmtId="0" fontId="11" fillId="0" borderId="32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2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15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17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9" xfId="6" applyFont="1" applyBorder="1" applyAlignment="1">
      <alignment horizontal="center" vertical="center"/>
    </xf>
    <xf numFmtId="0" fontId="12" fillId="0" borderId="9" xfId="6" applyFont="1" applyBorder="1" applyAlignment="1">
      <alignment horizontal="left" vertical="center"/>
    </xf>
    <xf numFmtId="164" fontId="12" fillId="0" borderId="9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18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9" xfId="6" applyNumberFormat="1" applyFont="1" applyBorder="1" applyAlignment="1">
      <alignment horizontal="center"/>
    </xf>
    <xf numFmtId="0" fontId="13" fillId="0" borderId="9" xfId="6" applyFont="1" applyBorder="1"/>
    <xf numFmtId="5" fontId="13" fillId="0" borderId="9" xfId="6" applyNumberFormat="1" applyFont="1" applyBorder="1" applyAlignment="1">
      <alignment horizontal="right"/>
    </xf>
    <xf numFmtId="9" fontId="13" fillId="0" borderId="9" xfId="10" applyNumberFormat="1" applyFont="1" applyBorder="1" applyAlignment="1">
      <alignment horizontal="right"/>
    </xf>
    <xf numFmtId="37" fontId="13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left"/>
    </xf>
    <xf numFmtId="5" fontId="12" fillId="0" borderId="9" xfId="6" applyNumberFormat="1" applyFont="1" applyBorder="1" applyAlignment="1">
      <alignment horizontal="right"/>
    </xf>
    <xf numFmtId="9" fontId="12" fillId="0" borderId="9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9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9" xfId="6" applyFont="1" applyBorder="1" applyAlignment="1">
      <alignment horizontal="center"/>
    </xf>
    <xf numFmtId="0" fontId="12" fillId="0" borderId="9" xfId="6" applyFont="1" applyBorder="1" applyAlignment="1">
      <alignment wrapText="1"/>
    </xf>
    <xf numFmtId="9" fontId="12" fillId="0" borderId="9" xfId="10" applyFont="1" applyBorder="1" applyAlignment="1">
      <alignment horizontal="right"/>
    </xf>
    <xf numFmtId="37" fontId="12" fillId="0" borderId="9" xfId="6" applyNumberFormat="1" applyFont="1" applyFill="1" applyBorder="1" applyAlignment="1">
      <alignment horizontal="right"/>
    </xf>
    <xf numFmtId="164" fontId="12" fillId="0" borderId="16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9" xfId="6" applyNumberFormat="1" applyFont="1" applyFill="1" applyBorder="1" applyAlignment="1">
      <alignment horizontal="left"/>
    </xf>
    <xf numFmtId="164" fontId="12" fillId="3" borderId="20" xfId="6" applyNumberFormat="1" applyFont="1" applyFill="1" applyBorder="1" applyAlignment="1">
      <alignment horizontal="center" wrapText="1"/>
    </xf>
    <xf numFmtId="164" fontId="12" fillId="3" borderId="21" xfId="6" applyNumberFormat="1" applyFont="1" applyFill="1" applyBorder="1" applyAlignment="1">
      <alignment horizontal="center" wrapText="1"/>
    </xf>
    <xf numFmtId="9" fontId="12" fillId="3" borderId="19" xfId="10" applyFont="1" applyFill="1" applyBorder="1" applyAlignment="1">
      <alignment horizontal="center" wrapText="1"/>
    </xf>
    <xf numFmtId="0" fontId="15" fillId="0" borderId="9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9" xfId="6" applyNumberFormat="1" applyFont="1" applyFill="1" applyBorder="1" applyAlignment="1">
      <alignment horizontal="left" wrapText="1"/>
    </xf>
    <xf numFmtId="0" fontId="12" fillId="0" borderId="9" xfId="6" applyFont="1" applyBorder="1" applyAlignment="1">
      <alignment horizontal="center" vertical="center"/>
    </xf>
    <xf numFmtId="0" fontId="12" fillId="0" borderId="9" xfId="6" applyFont="1" applyFill="1" applyBorder="1" applyAlignment="1">
      <alignment wrapText="1"/>
    </xf>
    <xf numFmtId="37" fontId="12" fillId="0" borderId="9" xfId="1" applyNumberFormat="1" applyFont="1" applyBorder="1" applyAlignment="1">
      <alignment horizontal="right"/>
    </xf>
    <xf numFmtId="0" fontId="1" fillId="0" borderId="32" xfId="6" applyBorder="1" applyAlignment="1">
      <alignment wrapText="1"/>
    </xf>
    <xf numFmtId="0" fontId="2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wrapText="1"/>
    </xf>
    <xf numFmtId="164" fontId="2" fillId="0" borderId="32" xfId="6" applyNumberFormat="1" applyFont="1" applyBorder="1" applyAlignment="1">
      <alignment horizontal="center" wrapText="1"/>
    </xf>
    <xf numFmtId="0" fontId="1" fillId="0" borderId="32" xfId="6" applyFill="1" applyBorder="1" applyAlignment="1">
      <alignment wrapText="1"/>
    </xf>
    <xf numFmtId="0" fontId="2" fillId="0" borderId="32" xfId="6" applyFont="1" applyFill="1" applyBorder="1" applyAlignment="1">
      <alignment horizontal="left" wrapText="1"/>
    </xf>
    <xf numFmtId="0" fontId="2" fillId="0" borderId="32" xfId="6" applyFont="1" applyFill="1" applyBorder="1" applyAlignment="1">
      <alignment horizontal="centerContinuous" wrapText="1"/>
    </xf>
    <xf numFmtId="164" fontId="3" fillId="0" borderId="32" xfId="6" applyNumberFormat="1" applyFont="1" applyBorder="1" applyAlignment="1">
      <alignment horizontal="center" wrapText="1"/>
    </xf>
    <xf numFmtId="0" fontId="2" fillId="0" borderId="32" xfId="6" applyFont="1" applyFill="1" applyBorder="1" applyAlignment="1">
      <alignment horizontal="center" wrapText="1"/>
    </xf>
    <xf numFmtId="0" fontId="1" fillId="0" borderId="32" xfId="6" applyFill="1" applyBorder="1" applyAlignment="1">
      <alignment horizontal="center" wrapText="1"/>
    </xf>
    <xf numFmtId="0" fontId="4" fillId="0" borderId="32" xfId="6" applyFont="1" applyFill="1" applyBorder="1" applyAlignment="1">
      <alignment horizontal="center" wrapText="1"/>
    </xf>
    <xf numFmtId="0" fontId="5" fillId="0" borderId="32" xfId="6" applyFont="1" applyFill="1" applyBorder="1" applyAlignment="1">
      <alignment horizontal="center" wrapText="1"/>
    </xf>
    <xf numFmtId="0" fontId="4" fillId="0" borderId="32" xfId="6" applyFont="1" applyFill="1" applyBorder="1" applyAlignment="1">
      <alignment horizontal="left" wrapText="1"/>
    </xf>
    <xf numFmtId="0" fontId="1" fillId="0" borderId="32" xfId="6" applyFont="1" applyFill="1" applyBorder="1" applyAlignment="1">
      <alignment wrapText="1"/>
    </xf>
    <xf numFmtId="0" fontId="3" fillId="0" borderId="32" xfId="6" applyFont="1" applyFill="1" applyBorder="1" applyAlignment="1">
      <alignment horizontal="center" wrapText="1"/>
    </xf>
    <xf numFmtId="0" fontId="1" fillId="0" borderId="32" xfId="6" applyFont="1" applyBorder="1" applyAlignment="1">
      <alignment horizontal="center" wrapText="1"/>
    </xf>
    <xf numFmtId="0" fontId="1" fillId="0" borderId="32" xfId="6" applyFont="1" applyBorder="1" applyAlignment="1">
      <alignment horizontal="left" wrapText="1"/>
    </xf>
    <xf numFmtId="9" fontId="1" fillId="0" borderId="32" xfId="6" applyNumberFormat="1" applyFont="1" applyBorder="1" applyAlignment="1">
      <alignment horizontal="right" wrapText="1"/>
    </xf>
    <xf numFmtId="0" fontId="6" fillId="0" borderId="32" xfId="6" applyFont="1" applyBorder="1" applyAlignment="1">
      <alignment horizontal="center" wrapText="1"/>
    </xf>
    <xf numFmtId="0" fontId="2" fillId="0" borderId="32" xfId="6" applyFont="1" applyBorder="1" applyAlignment="1">
      <alignment horizontal="left" wrapText="1"/>
    </xf>
    <xf numFmtId="5" fontId="3" fillId="0" borderId="32" xfId="6" applyNumberFormat="1" applyFont="1" applyBorder="1" applyAlignment="1">
      <alignment horizontal="right" wrapText="1"/>
    </xf>
    <xf numFmtId="9" fontId="3" fillId="0" borderId="32" xfId="6" applyNumberFormat="1" applyFont="1" applyBorder="1" applyAlignment="1">
      <alignment horizontal="right" wrapText="1"/>
    </xf>
    <xf numFmtId="37" fontId="1" fillId="0" borderId="32" xfId="6" applyNumberFormat="1" applyFont="1" applyBorder="1" applyAlignment="1">
      <alignment horizontal="right" wrapText="1"/>
    </xf>
    <xf numFmtId="0" fontId="3" fillId="0" borderId="32" xfId="6" applyFont="1" applyBorder="1" applyAlignment="1">
      <alignment horizontal="center" wrapText="1"/>
    </xf>
    <xf numFmtId="0" fontId="5" fillId="0" borderId="32" xfId="6" applyFont="1" applyBorder="1" applyAlignment="1">
      <alignment horizontal="left" wrapText="1"/>
    </xf>
    <xf numFmtId="0" fontId="1" fillId="0" borderId="32" xfId="6" applyBorder="1" applyAlignment="1">
      <alignment horizontal="left" wrapText="1"/>
    </xf>
    <xf numFmtId="6" fontId="1" fillId="0" borderId="32" xfId="6" applyNumberFormat="1" applyBorder="1" applyAlignment="1">
      <alignment horizontal="right" wrapText="1"/>
    </xf>
    <xf numFmtId="9" fontId="1" fillId="0" borderId="32" xfId="6" applyNumberFormat="1" applyBorder="1" applyAlignment="1">
      <alignment horizontal="right" wrapText="1"/>
    </xf>
    <xf numFmtId="0" fontId="2" fillId="0" borderId="32" xfId="6" applyFont="1" applyBorder="1" applyAlignment="1">
      <alignment horizontal="center" wrapText="1"/>
    </xf>
    <xf numFmtId="0" fontId="4" fillId="0" borderId="32" xfId="6" applyFont="1" applyBorder="1" applyAlignment="1">
      <alignment horizontal="left" wrapText="1"/>
    </xf>
    <xf numFmtId="0" fontId="6" fillId="0" borderId="32" xfId="6" applyFont="1" applyFill="1" applyBorder="1" applyAlignment="1">
      <alignment horizontal="center" wrapText="1"/>
    </xf>
    <xf numFmtId="0" fontId="6" fillId="0" borderId="32" xfId="6" applyFont="1" applyFill="1" applyBorder="1" applyAlignment="1">
      <alignment horizontal="left" wrapText="1"/>
    </xf>
    <xf numFmtId="9" fontId="6" fillId="0" borderId="32" xfId="6" applyNumberFormat="1" applyFont="1" applyFill="1" applyBorder="1" applyAlignment="1">
      <alignment horizontal="right" wrapText="1"/>
    </xf>
    <xf numFmtId="0" fontId="16" fillId="0" borderId="32" xfId="6" applyFont="1" applyBorder="1" applyAlignment="1">
      <alignment wrapText="1"/>
    </xf>
    <xf numFmtId="5" fontId="6" fillId="0" borderId="32" xfId="6" applyNumberFormat="1" applyFont="1" applyBorder="1" applyAlignment="1">
      <alignment horizontal="right" wrapText="1"/>
    </xf>
    <xf numFmtId="165" fontId="6" fillId="0" borderId="32" xfId="6" applyNumberFormat="1" applyFont="1" applyBorder="1" applyAlignment="1">
      <alignment horizontal="right" wrapText="1"/>
    </xf>
    <xf numFmtId="165" fontId="3" fillId="0" borderId="32" xfId="6" applyNumberFormat="1" applyFont="1" applyBorder="1" applyAlignment="1">
      <alignment horizontal="right" wrapText="1"/>
    </xf>
    <xf numFmtId="0" fontId="1" fillId="0" borderId="32" xfId="6" applyFont="1" applyBorder="1" applyAlignment="1">
      <alignment horizontal="right" wrapText="1"/>
    </xf>
    <xf numFmtId="0" fontId="11" fillId="0" borderId="32" xfId="6" applyFont="1" applyBorder="1" applyAlignment="1">
      <alignment wrapText="1"/>
    </xf>
    <xf numFmtId="164" fontId="5" fillId="0" borderId="32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2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5" xfId="7" applyFont="1" applyFill="1" applyBorder="1" applyAlignment="1">
      <alignment horizontal="center"/>
    </xf>
    <xf numFmtId="0" fontId="3" fillId="2" borderId="32" xfId="7" applyFont="1" applyFill="1" applyBorder="1" applyAlignment="1">
      <alignment horizontal="center"/>
    </xf>
    <xf numFmtId="0" fontId="4" fillId="2" borderId="32" xfId="7" applyFont="1" applyFill="1" applyBorder="1" applyAlignment="1">
      <alignment horizontal="left"/>
    </xf>
    <xf numFmtId="5" fontId="3" fillId="2" borderId="32" xfId="7" applyNumberFormat="1" applyFont="1" applyFill="1" applyBorder="1" applyAlignment="1">
      <alignment horizontal="right"/>
    </xf>
    <xf numFmtId="165" fontId="3" fillId="2" borderId="32" xfId="7" applyNumberFormat="1" applyFont="1" applyFill="1" applyBorder="1" applyAlignment="1">
      <alignment horizontal="right"/>
    </xf>
    <xf numFmtId="0" fontId="5" fillId="2" borderId="32" xfId="7" applyFont="1" applyFill="1" applyBorder="1" applyAlignment="1">
      <alignment horizontal="left"/>
    </xf>
    <xf numFmtId="43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center"/>
    </xf>
    <xf numFmtId="0" fontId="6" fillId="2" borderId="32" xfId="7" applyFont="1" applyFill="1" applyBorder="1" applyAlignment="1">
      <alignment horizontal="left" wrapText="1"/>
    </xf>
    <xf numFmtId="5" fontId="6" fillId="2" borderId="32" xfId="7" applyNumberFormat="1" applyFont="1" applyFill="1" applyBorder="1" applyAlignment="1"/>
    <xf numFmtId="0" fontId="2" fillId="2" borderId="32" xfId="7" applyFont="1" applyFill="1" applyBorder="1" applyAlignment="1">
      <alignment horizontal="left"/>
    </xf>
    <xf numFmtId="164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left"/>
    </xf>
    <xf numFmtId="5" fontId="1" fillId="2" borderId="32" xfId="7" applyNumberFormat="1" applyFont="1" applyFill="1" applyBorder="1" applyAlignment="1"/>
    <xf numFmtId="0" fontId="1" fillId="2" borderId="34" xfId="7" applyFont="1" applyFill="1" applyBorder="1" applyAlignment="1">
      <alignment horizontal="left"/>
    </xf>
    <xf numFmtId="0" fontId="8" fillId="2" borderId="32" xfId="7" applyFill="1" applyBorder="1"/>
    <xf numFmtId="5" fontId="3" fillId="2" borderId="32" xfId="7" applyNumberFormat="1" applyFont="1" applyFill="1" applyBorder="1" applyAlignment="1"/>
    <xf numFmtId="165" fontId="3" fillId="2" borderId="32" xfId="7" applyNumberFormat="1" applyFont="1" applyFill="1" applyBorder="1" applyAlignment="1"/>
    <xf numFmtId="1" fontId="3" fillId="2" borderId="32" xfId="7" applyNumberFormat="1" applyFont="1" applyFill="1" applyBorder="1" applyAlignment="1"/>
    <xf numFmtId="42" fontId="1" fillId="2" borderId="32" xfId="7" applyNumberFormat="1" applyFont="1" applyFill="1" applyBorder="1" applyAlignment="1"/>
    <xf numFmtId="42" fontId="6" fillId="2" borderId="32" xfId="7" applyNumberFormat="1" applyFont="1" applyFill="1" applyBorder="1" applyAlignment="1"/>
    <xf numFmtId="5" fontId="6" fillId="2" borderId="32" xfId="7" applyNumberFormat="1" applyFont="1" applyFill="1" applyBorder="1" applyAlignment="1">
      <alignment horizontal="right"/>
    </xf>
    <xf numFmtId="42" fontId="6" fillId="2" borderId="32" xfId="7" applyNumberFormat="1" applyFont="1" applyFill="1" applyBorder="1" applyAlignment="1">
      <alignment horizontal="right"/>
    </xf>
    <xf numFmtId="1" fontId="3" fillId="2" borderId="32" xfId="7" applyNumberFormat="1" applyFont="1" applyFill="1" applyBorder="1" applyAlignment="1">
      <alignment horizontal="right"/>
    </xf>
    <xf numFmtId="165" fontId="6" fillId="2" borderId="32" xfId="7" applyNumberFormat="1" applyFont="1" applyFill="1" applyBorder="1" applyAlignment="1">
      <alignment horizontal="right"/>
    </xf>
    <xf numFmtId="168" fontId="3" fillId="2" borderId="32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2" xfId="7" applyNumberFormat="1" applyFont="1" applyFill="1" applyBorder="1" applyAlignment="1"/>
    <xf numFmtId="0" fontId="1" fillId="0" borderId="13" xfId="7" applyFont="1" applyBorder="1" applyAlignment="1">
      <alignment horizontal="center"/>
    </xf>
    <xf numFmtId="164" fontId="2" fillId="0" borderId="9" xfId="7" applyNumberFormat="1" applyFont="1" applyBorder="1" applyAlignment="1"/>
    <xf numFmtId="164" fontId="2" fillId="0" borderId="9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13" xfId="7" applyFont="1" applyBorder="1" applyAlignment="1">
      <alignment horizontal="center"/>
    </xf>
    <xf numFmtId="164" fontId="5" fillId="0" borderId="9" xfId="7" applyNumberFormat="1" applyFont="1" applyFill="1" applyBorder="1" applyAlignment="1"/>
    <xf numFmtId="164" fontId="5" fillId="0" borderId="9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9" xfId="7" applyNumberFormat="1" applyFont="1" applyBorder="1" applyAlignment="1">
      <alignment horizontal="center"/>
    </xf>
    <xf numFmtId="0" fontId="6" fillId="0" borderId="13" xfId="7" applyFont="1" applyBorder="1" applyAlignment="1">
      <alignment horizontal="center"/>
    </xf>
    <xf numFmtId="164" fontId="6" fillId="0" borderId="9" xfId="7" applyNumberFormat="1" applyFont="1" applyBorder="1" applyAlignment="1"/>
    <xf numFmtId="3" fontId="1" fillId="0" borderId="9" xfId="7" applyNumberFormat="1" applyFont="1" applyBorder="1" applyAlignment="1">
      <alignment horizontal="right"/>
    </xf>
    <xf numFmtId="1" fontId="1" fillId="0" borderId="9" xfId="7" applyNumberFormat="1" applyFont="1" applyBorder="1" applyAlignment="1">
      <alignment horizontal="right"/>
    </xf>
    <xf numFmtId="167" fontId="1" fillId="0" borderId="9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9" xfId="7" applyNumberFormat="1" applyFont="1" applyBorder="1" applyAlignment="1"/>
    <xf numFmtId="3" fontId="3" fillId="0" borderId="9" xfId="7" applyNumberFormat="1" applyFont="1" applyBorder="1" applyAlignment="1">
      <alignment horizontal="right"/>
    </xf>
    <xf numFmtId="167" fontId="3" fillId="0" borderId="9" xfId="9" applyNumberFormat="1" applyFont="1" applyBorder="1" applyAlignment="1">
      <alignment horizontal="right"/>
    </xf>
    <xf numFmtId="164" fontId="1" fillId="0" borderId="9" xfId="7" applyNumberFormat="1" applyFont="1" applyBorder="1" applyAlignment="1"/>
    <xf numFmtId="3" fontId="2" fillId="0" borderId="9" xfId="7" applyNumberFormat="1" applyFont="1" applyBorder="1" applyAlignment="1">
      <alignment horizontal="right"/>
    </xf>
    <xf numFmtId="167" fontId="2" fillId="0" borderId="9" xfId="9" applyNumberFormat="1" applyFont="1" applyBorder="1" applyAlignment="1">
      <alignment horizontal="right"/>
    </xf>
    <xf numFmtId="1" fontId="2" fillId="0" borderId="9" xfId="7" applyNumberFormat="1" applyFont="1" applyBorder="1" applyAlignment="1">
      <alignment horizontal="right"/>
    </xf>
    <xf numFmtId="167" fontId="2" fillId="0" borderId="9" xfId="7" applyNumberFormat="1" applyFont="1" applyBorder="1" applyAlignment="1">
      <alignment horizontal="right"/>
    </xf>
    <xf numFmtId="37" fontId="2" fillId="0" borderId="9" xfId="7" applyNumberFormat="1" applyFont="1" applyBorder="1" applyAlignment="1">
      <alignment horizontal="right"/>
    </xf>
    <xf numFmtId="9" fontId="2" fillId="0" borderId="9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wrapText="1"/>
    </xf>
    <xf numFmtId="37" fontId="3" fillId="0" borderId="9" xfId="2" applyNumberFormat="1" applyFont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9" fontId="3" fillId="0" borderId="9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20" xfId="7" applyFont="1" applyBorder="1" applyAlignment="1">
      <alignment horizontal="center"/>
    </xf>
    <xf numFmtId="164" fontId="5" fillId="0" borderId="9" xfId="7" applyNumberFormat="1" applyFont="1" applyBorder="1" applyAlignment="1">
      <alignment wrapText="1"/>
    </xf>
    <xf numFmtId="164" fontId="4" fillId="0" borderId="9" xfId="7" applyNumberFormat="1" applyFont="1" applyBorder="1" applyAlignment="1">
      <alignment horizontal="center"/>
    </xf>
    <xf numFmtId="164" fontId="6" fillId="0" borderId="9" xfId="7" applyNumberFormat="1" applyFont="1" applyBorder="1" applyAlignment="1">
      <alignment wrapText="1"/>
    </xf>
    <xf numFmtId="3" fontId="1" fillId="0" borderId="9" xfId="2" applyNumberFormat="1" applyFont="1" applyBorder="1" applyAlignment="1">
      <alignment horizontal="right"/>
    </xf>
    <xf numFmtId="9" fontId="1" fillId="0" borderId="9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9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9" xfId="7" applyNumberFormat="1" applyFont="1" applyBorder="1" applyAlignment="1">
      <alignment horizontal="right"/>
    </xf>
    <xf numFmtId="3" fontId="6" fillId="0" borderId="9" xfId="2" applyNumberFormat="1" applyFont="1" applyBorder="1" applyAlignment="1">
      <alignment horizontal="right"/>
    </xf>
    <xf numFmtId="170" fontId="1" fillId="0" borderId="9" xfId="7" applyNumberFormat="1" applyFont="1" applyBorder="1" applyAlignment="1">
      <alignment horizontal="right"/>
    </xf>
    <xf numFmtId="170" fontId="1" fillId="0" borderId="9" xfId="2" applyNumberFormat="1" applyFont="1" applyBorder="1" applyAlignment="1">
      <alignment horizontal="right"/>
    </xf>
    <xf numFmtId="170" fontId="3" fillId="0" borderId="9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9" xfId="8" applyFont="1" applyBorder="1" applyAlignment="1" applyProtection="1">
      <alignment horizontal="left"/>
      <protection locked="0"/>
    </xf>
    <xf numFmtId="0" fontId="3" fillId="0" borderId="9" xfId="8" applyFont="1" applyBorder="1" applyAlignment="1" applyProtection="1">
      <alignment horizontal="center"/>
      <protection locked="0"/>
    </xf>
    <xf numFmtId="0" fontId="11" fillId="0" borderId="22" xfId="8" applyFont="1" applyBorder="1" applyProtection="1">
      <protection locked="0"/>
    </xf>
    <xf numFmtId="0" fontId="18" fillId="0" borderId="9" xfId="8" applyFont="1" applyBorder="1" applyAlignment="1" applyProtection="1">
      <alignment horizontal="center"/>
      <protection locked="0"/>
    </xf>
    <xf numFmtId="0" fontId="18" fillId="0" borderId="2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18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9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9" xfId="8" applyFont="1" applyBorder="1" applyAlignment="1"/>
    <xf numFmtId="0" fontId="9" fillId="0" borderId="9" xfId="8" applyFont="1" applyBorder="1" applyAlignment="1">
      <alignment horizontal="center" vertical="top"/>
    </xf>
    <xf numFmtId="0" fontId="5" fillId="0" borderId="9" xfId="8" applyFont="1" applyBorder="1" applyAlignment="1"/>
    <xf numFmtId="0" fontId="19" fillId="0" borderId="9" xfId="8" applyFont="1" applyBorder="1" applyAlignment="1" applyProtection="1">
      <alignment horizontal="center"/>
      <protection locked="0"/>
    </xf>
    <xf numFmtId="0" fontId="11" fillId="0" borderId="9" xfId="8" applyFont="1" applyBorder="1" applyAlignment="1">
      <alignment horizontal="center"/>
    </xf>
    <xf numFmtId="0" fontId="11" fillId="0" borderId="9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9" xfId="8" applyFont="1" applyBorder="1" applyAlignment="1">
      <alignment horizontal="center" vertical="top"/>
    </xf>
    <xf numFmtId="0" fontId="20" fillId="0" borderId="9" xfId="8" applyFont="1" applyBorder="1" applyAlignment="1">
      <alignment vertical="top"/>
    </xf>
    <xf numFmtId="0" fontId="11" fillId="0" borderId="9" xfId="8" applyFont="1" applyBorder="1" applyProtection="1">
      <protection locked="0"/>
    </xf>
    <xf numFmtId="0" fontId="11" fillId="0" borderId="9" xfId="8" applyFont="1" applyBorder="1" applyAlignment="1">
      <alignment vertical="top" wrapText="1"/>
    </xf>
    <xf numFmtId="0" fontId="11" fillId="0" borderId="9" xfId="8" applyFont="1" applyBorder="1" applyAlignment="1">
      <alignment horizontal="center" vertical="top"/>
    </xf>
    <xf numFmtId="6" fontId="11" fillId="0" borderId="9" xfId="8" applyNumberFormat="1" applyFont="1" applyBorder="1" applyAlignment="1">
      <alignment horizontal="right" vertical="top"/>
    </xf>
    <xf numFmtId="6" fontId="11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horizontal="right" vertical="top"/>
    </xf>
    <xf numFmtId="0" fontId="18" fillId="0" borderId="9" xfId="8" applyFont="1" applyBorder="1" applyAlignment="1">
      <alignment vertical="top" wrapText="1"/>
    </xf>
    <xf numFmtId="6" fontId="18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vertical="top"/>
    </xf>
    <xf numFmtId="0" fontId="19" fillId="0" borderId="9" xfId="8" applyFont="1" applyBorder="1" applyAlignment="1" applyProtection="1">
      <alignment horizontal="left"/>
      <protection locked="0"/>
    </xf>
    <xf numFmtId="0" fontId="19" fillId="0" borderId="9" xfId="8" applyFont="1" applyBorder="1" applyProtection="1">
      <protection locked="0"/>
    </xf>
    <xf numFmtId="0" fontId="20" fillId="0" borderId="9" xfId="8" applyFont="1" applyBorder="1" applyProtection="1">
      <protection locked="0"/>
    </xf>
    <xf numFmtId="0" fontId="20" fillId="0" borderId="9" xfId="8" applyFont="1" applyBorder="1" applyAlignment="1"/>
    <xf numFmtId="10" fontId="11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>
      <alignment vertical="top"/>
    </xf>
    <xf numFmtId="10" fontId="18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 applyProtection="1">
      <alignment horizontal="center"/>
      <protection locked="0"/>
    </xf>
    <xf numFmtId="0" fontId="18" fillId="0" borderId="9" xfId="8" applyFont="1" applyBorder="1" applyProtection="1">
      <protection locked="0"/>
    </xf>
    <xf numFmtId="167" fontId="11" fillId="0" borderId="9" xfId="11" applyNumberFormat="1" applyFont="1" applyBorder="1" applyAlignment="1">
      <alignment vertical="top"/>
    </xf>
    <xf numFmtId="0" fontId="9" fillId="0" borderId="9" xfId="8" applyFont="1" applyBorder="1" applyAlignment="1" applyProtection="1">
      <alignment horizontal="center"/>
      <protection locked="0"/>
    </xf>
    <xf numFmtId="3" fontId="11" fillId="0" borderId="9" xfId="8" applyNumberFormat="1" applyFont="1" applyBorder="1" applyAlignment="1">
      <alignment horizontal="right" vertical="top"/>
    </xf>
    <xf numFmtId="176" fontId="11" fillId="0" borderId="9" xfId="3" applyNumberFormat="1" applyFont="1" applyBorder="1" applyAlignment="1">
      <alignment vertical="top"/>
    </xf>
    <xf numFmtId="3" fontId="18" fillId="0" borderId="9" xfId="8" applyNumberFormat="1" applyFont="1" applyBorder="1" applyAlignment="1">
      <alignment vertical="top"/>
    </xf>
    <xf numFmtId="176" fontId="18" fillId="0" borderId="9" xfId="3" applyNumberFormat="1" applyFont="1" applyBorder="1" applyAlignment="1">
      <alignment vertical="top"/>
    </xf>
    <xf numFmtId="3" fontId="11" fillId="0" borderId="9" xfId="8" applyNumberFormat="1" applyFont="1" applyBorder="1" applyAlignment="1">
      <alignment vertical="top"/>
    </xf>
    <xf numFmtId="3" fontId="11" fillId="0" borderId="9" xfId="8" applyNumberFormat="1" applyFont="1" applyFill="1" applyBorder="1" applyAlignment="1">
      <alignment vertical="top"/>
    </xf>
    <xf numFmtId="170" fontId="11" fillId="0" borderId="9" xfId="8" applyNumberFormat="1" applyFont="1" applyBorder="1" applyAlignment="1">
      <alignment vertical="top"/>
    </xf>
    <xf numFmtId="174" fontId="11" fillId="0" borderId="9" xfId="3" applyNumberFormat="1" applyFont="1" applyBorder="1" applyAlignment="1">
      <alignment vertical="top"/>
    </xf>
    <xf numFmtId="170" fontId="18" fillId="0" borderId="9" xfId="8" applyNumberFormat="1" applyFont="1" applyBorder="1" applyAlignment="1">
      <alignment vertical="top"/>
    </xf>
    <xf numFmtId="174" fontId="18" fillId="0" borderId="9" xfId="3" applyNumberFormat="1" applyFont="1" applyBorder="1" applyAlignment="1">
      <alignment vertical="top"/>
    </xf>
    <xf numFmtId="174" fontId="11" fillId="0" borderId="9" xfId="8" applyNumberFormat="1" applyFont="1" applyBorder="1" applyAlignment="1">
      <alignment vertical="top"/>
    </xf>
    <xf numFmtId="180" fontId="11" fillId="0" borderId="9" xfId="8" applyNumberFormat="1" applyFont="1" applyBorder="1" applyAlignment="1">
      <alignment horizontal="right" vertical="top"/>
    </xf>
    <xf numFmtId="172" fontId="11" fillId="0" borderId="9" xfId="3" applyNumberFormat="1" applyFont="1" applyBorder="1" applyAlignment="1">
      <alignment vertical="top"/>
    </xf>
    <xf numFmtId="180" fontId="18" fillId="0" borderId="9" xfId="8" applyNumberFormat="1" applyFont="1" applyBorder="1" applyAlignment="1">
      <alignment horizontal="right" vertical="top"/>
    </xf>
    <xf numFmtId="172" fontId="18" fillId="0" borderId="9" xfId="3" applyNumberFormat="1" applyFont="1" applyBorder="1" applyAlignment="1">
      <alignment vertical="top"/>
    </xf>
    <xf numFmtId="0" fontId="11" fillId="0" borderId="9" xfId="8" applyFont="1" applyBorder="1" applyAlignment="1">
      <alignment horizontal="right" vertical="top"/>
    </xf>
    <xf numFmtId="6" fontId="11" fillId="0" borderId="9" xfId="8" applyNumberFormat="1" applyFont="1" applyBorder="1" applyProtection="1">
      <protection locked="0"/>
    </xf>
    <xf numFmtId="10" fontId="11" fillId="0" borderId="9" xfId="11" applyNumberFormat="1" applyFont="1" applyBorder="1" applyProtection="1">
      <protection locked="0"/>
    </xf>
    <xf numFmtId="0" fontId="27" fillId="0" borderId="9" xfId="8" applyFont="1" applyFill="1" applyBorder="1" applyAlignment="1">
      <alignment vertical="top" wrapText="1"/>
    </xf>
    <xf numFmtId="6" fontId="11" fillId="0" borderId="9" xfId="8" applyNumberFormat="1" applyFont="1" applyFill="1" applyBorder="1" applyProtection="1">
      <protection locked="0"/>
    </xf>
    <xf numFmtId="0" fontId="5" fillId="0" borderId="9" xfId="8" applyFont="1" applyBorder="1" applyAlignment="1">
      <alignment vertical="top"/>
    </xf>
    <xf numFmtId="0" fontId="11" fillId="0" borderId="9" xfId="8" applyFont="1" applyBorder="1" applyAlignment="1" applyProtection="1">
      <alignment horizontal="left"/>
      <protection locked="0"/>
    </xf>
    <xf numFmtId="0" fontId="18" fillId="0" borderId="9" xfId="8" applyFont="1" applyBorder="1" applyAlignment="1" applyProtection="1">
      <alignment horizontal="left"/>
      <protection locked="0"/>
    </xf>
    <xf numFmtId="169" fontId="11" fillId="0" borderId="9" xfId="3" applyNumberFormat="1" applyFont="1" applyBorder="1" applyProtection="1">
      <protection locked="0"/>
    </xf>
    <xf numFmtId="169" fontId="11" fillId="0" borderId="9" xfId="8" applyNumberFormat="1" applyFont="1" applyBorder="1" applyProtection="1">
      <protection locked="0"/>
    </xf>
    <xf numFmtId="169" fontId="18" fillId="0" borderId="9" xfId="3" applyNumberFormat="1" applyFont="1" applyBorder="1" applyProtection="1">
      <protection locked="0"/>
    </xf>
    <xf numFmtId="169" fontId="18" fillId="0" borderId="9" xfId="8" applyNumberFormat="1" applyFont="1" applyBorder="1" applyProtection="1">
      <protection locked="0"/>
    </xf>
    <xf numFmtId="181" fontId="11" fillId="0" borderId="9" xfId="8" applyNumberFormat="1" applyFont="1" applyBorder="1" applyProtection="1">
      <protection locked="0"/>
    </xf>
    <xf numFmtId="181" fontId="18" fillId="0" borderId="9" xfId="8" applyNumberFormat="1" applyFont="1" applyBorder="1" applyProtection="1">
      <protection locked="0"/>
    </xf>
    <xf numFmtId="182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Protection="1">
      <protection locked="0"/>
    </xf>
    <xf numFmtId="8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Alignment="1" applyProtection="1">
      <alignment horizontal="right"/>
      <protection locked="0"/>
    </xf>
    <xf numFmtId="8" fontId="18" fillId="0" borderId="9" xfId="8" applyNumberFormat="1" applyFont="1" applyBorder="1" applyAlignment="1" applyProtection="1">
      <alignment horizontal="right"/>
      <protection locked="0"/>
    </xf>
    <xf numFmtId="6" fontId="18" fillId="0" borderId="9" xfId="8" applyNumberFormat="1" applyFont="1" applyBorder="1" applyProtection="1">
      <protection locked="0"/>
    </xf>
    <xf numFmtId="6" fontId="29" fillId="0" borderId="9" xfId="8" applyNumberFormat="1" applyFont="1" applyBorder="1" applyProtection="1">
      <protection locked="0"/>
    </xf>
    <xf numFmtId="183" fontId="11" fillId="0" borderId="9" xfId="3" applyNumberFormat="1" applyFont="1" applyBorder="1" applyProtection="1">
      <protection locked="0"/>
    </xf>
    <xf numFmtId="184" fontId="11" fillId="0" borderId="9" xfId="8" applyNumberFormat="1" applyFont="1" applyBorder="1" applyProtection="1">
      <protection locked="0"/>
    </xf>
    <xf numFmtId="6" fontId="11" fillId="0" borderId="14" xfId="8" applyNumberFormat="1" applyFont="1" applyBorder="1" applyProtection="1">
      <protection locked="0"/>
    </xf>
    <xf numFmtId="0" fontId="11" fillId="0" borderId="9" xfId="8" applyFont="1" applyFill="1" applyBorder="1" applyAlignment="1">
      <alignment horizontal="center" vertical="top"/>
    </xf>
    <xf numFmtId="0" fontId="11" fillId="0" borderId="9" xfId="8" applyFont="1" applyFill="1" applyBorder="1" applyAlignment="1">
      <alignment vertical="top"/>
    </xf>
    <xf numFmtId="6" fontId="29" fillId="0" borderId="9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9" xfId="8" applyFont="1" applyBorder="1" applyAlignment="1">
      <alignment vertical="top"/>
    </xf>
    <xf numFmtId="10" fontId="11" fillId="0" borderId="9" xfId="8" applyNumberFormat="1" applyFont="1" applyBorder="1" applyProtection="1">
      <protection locked="0"/>
    </xf>
    <xf numFmtId="10" fontId="18" fillId="0" borderId="9" xfId="11" applyNumberFormat="1" applyFont="1" applyBorder="1" applyProtection="1">
      <protection locked="0"/>
    </xf>
    <xf numFmtId="10" fontId="18" fillId="0" borderId="9" xfId="8" applyNumberFormat="1" applyFont="1" applyBorder="1" applyProtection="1">
      <protection locked="0"/>
    </xf>
    <xf numFmtId="0" fontId="3" fillId="0" borderId="9" xfId="8" applyFont="1" applyBorder="1" applyAlignment="1"/>
    <xf numFmtId="6" fontId="11" fillId="0" borderId="9" xfId="8" applyNumberFormat="1" applyFont="1" applyFill="1" applyBorder="1" applyAlignment="1">
      <alignment horizontal="right" vertical="top"/>
    </xf>
    <xf numFmtId="6" fontId="11" fillId="0" borderId="9" xfId="8" applyNumberFormat="1" applyFont="1" applyFill="1" applyBorder="1" applyAlignment="1">
      <alignment vertical="top"/>
    </xf>
    <xf numFmtId="6" fontId="18" fillId="0" borderId="9" xfId="8" applyNumberFormat="1" applyFont="1" applyFill="1" applyBorder="1" applyAlignment="1">
      <alignment vertical="top"/>
    </xf>
    <xf numFmtId="6" fontId="18" fillId="0" borderId="9" xfId="8" applyNumberFormat="1" applyFont="1" applyBorder="1" applyAlignment="1">
      <alignment horizontal="right" vertical="top"/>
    </xf>
    <xf numFmtId="6" fontId="18" fillId="0" borderId="9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9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9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9" xfId="8" applyFont="1" applyBorder="1" applyAlignment="1">
      <alignment vertical="top"/>
    </xf>
    <xf numFmtId="0" fontId="6" fillId="0" borderId="9" xfId="8" applyFont="1" applyBorder="1" applyProtection="1">
      <protection locked="0"/>
    </xf>
    <xf numFmtId="0" fontId="6" fillId="0" borderId="9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9" xfId="8" applyNumberFormat="1" applyFont="1" applyBorder="1" applyAlignment="1">
      <alignment horizontal="right" vertical="top"/>
    </xf>
    <xf numFmtId="10" fontId="11" fillId="0" borderId="9" xfId="8" applyNumberFormat="1" applyFont="1" applyBorder="1" applyAlignment="1">
      <alignment horizontal="right" vertical="top"/>
    </xf>
    <xf numFmtId="185" fontId="11" fillId="0" borderId="9" xfId="8" applyNumberFormat="1" applyFont="1" applyBorder="1" applyProtection="1">
      <protection locked="0"/>
    </xf>
    <xf numFmtId="0" fontId="6" fillId="0" borderId="9" xfId="8" applyFont="1" applyFill="1" applyBorder="1" applyAlignment="1">
      <alignment vertical="top"/>
    </xf>
    <xf numFmtId="0" fontId="6" fillId="0" borderId="9" xfId="8" applyFont="1" applyBorder="1" applyAlignment="1" applyProtection="1">
      <alignment horizontal="center"/>
      <protection locked="0"/>
    </xf>
    <xf numFmtId="6" fontId="11" fillId="0" borderId="18" xfId="8" applyNumberFormat="1" applyFont="1" applyBorder="1" applyAlignment="1">
      <alignment horizontal="right" vertical="top"/>
    </xf>
    <xf numFmtId="6" fontId="11" fillId="0" borderId="18" xfId="8" applyNumberFormat="1" applyFont="1" applyBorder="1" applyAlignment="1">
      <alignment vertical="top"/>
    </xf>
    <xf numFmtId="6" fontId="18" fillId="0" borderId="18" xfId="8" applyNumberFormat="1" applyFont="1" applyBorder="1" applyAlignment="1">
      <alignment horizontal="right" vertical="top"/>
    </xf>
    <xf numFmtId="0" fontId="1" fillId="0" borderId="32" xfId="7" applyFont="1" applyBorder="1"/>
    <xf numFmtId="0" fontId="3" fillId="0" borderId="0" xfId="7" applyFont="1" applyBorder="1" applyAlignment="1">
      <alignment horizontal="right"/>
    </xf>
    <xf numFmtId="37" fontId="2" fillId="0" borderId="32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2" xfId="7" applyFont="1" applyBorder="1" applyAlignment="1">
      <alignment horizontal="center"/>
    </xf>
    <xf numFmtId="0" fontId="5" fillId="0" borderId="32" xfId="7" applyFont="1" applyBorder="1"/>
    <xf numFmtId="0" fontId="4" fillId="0" borderId="32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2" xfId="7" applyFont="1" applyBorder="1"/>
    <xf numFmtId="43" fontId="6" fillId="0" borderId="32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2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2" xfId="7" applyNumberFormat="1" applyFont="1" applyBorder="1" applyAlignment="1">
      <alignment horizontal="right"/>
    </xf>
    <xf numFmtId="43" fontId="6" fillId="0" borderId="32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2" xfId="2" applyFont="1" applyFill="1" applyBorder="1" applyAlignment="1" applyProtection="1">
      <alignment horizontal="left" wrapText="1"/>
      <protection locked="0"/>
    </xf>
    <xf numFmtId="0" fontId="6" fillId="0" borderId="32" xfId="7" applyFont="1" applyBorder="1"/>
    <xf numFmtId="43" fontId="3" fillId="0" borderId="32" xfId="2" applyFont="1" applyBorder="1" applyAlignment="1" applyProtection="1">
      <alignment horizontal="left"/>
      <protection locked="0"/>
    </xf>
    <xf numFmtId="37" fontId="10" fillId="0" borderId="32" xfId="7" applyNumberFormat="1" applyFont="1" applyBorder="1" applyAlignment="1">
      <alignment horizontal="right"/>
    </xf>
    <xf numFmtId="9" fontId="10" fillId="0" borderId="32" xfId="7" applyNumberFormat="1" applyFont="1" applyBorder="1" applyAlignment="1">
      <alignment horizontal="right"/>
    </xf>
    <xf numFmtId="0" fontId="30" fillId="0" borderId="32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167" fontId="3" fillId="0" borderId="32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2" xfId="7" applyNumberFormat="1" applyFont="1" applyBorder="1" applyAlignment="1">
      <alignment horizontal="right"/>
    </xf>
    <xf numFmtId="0" fontId="2" fillId="0" borderId="32" xfId="7" applyFont="1" applyBorder="1" applyAlignment="1"/>
    <xf numFmtId="0" fontId="31" fillId="0" borderId="32" xfId="7" applyFont="1" applyBorder="1" applyAlignment="1">
      <alignment horizontal="left"/>
    </xf>
    <xf numFmtId="5" fontId="31" fillId="0" borderId="32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2" xfId="7" applyFont="1" applyBorder="1" applyAlignment="1">
      <alignment horizontal="left"/>
    </xf>
    <xf numFmtId="43" fontId="11" fillId="0" borderId="32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4" xfId="6" applyFont="1" applyBorder="1" applyAlignment="1">
      <alignment horizontal="center"/>
    </xf>
    <xf numFmtId="0" fontId="2" fillId="0" borderId="36" xfId="6" applyFont="1" applyBorder="1" applyAlignment="1">
      <alignment horizontal="center"/>
    </xf>
    <xf numFmtId="0" fontId="2" fillId="0" borderId="37" xfId="6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36" xfId="7" applyFont="1" applyBorder="1" applyAlignment="1">
      <alignment horizontal="center"/>
    </xf>
    <xf numFmtId="0" fontId="3" fillId="0" borderId="37" xfId="7" applyFont="1" applyBorder="1" applyAlignment="1">
      <alignment horizontal="center"/>
    </xf>
    <xf numFmtId="164" fontId="3" fillId="0" borderId="2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2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23" xfId="6" applyNumberFormat="1" applyFont="1" applyBorder="1" applyAlignment="1">
      <alignment horizontal="center"/>
    </xf>
    <xf numFmtId="5" fontId="6" fillId="0" borderId="24" xfId="6" applyNumberFormat="1" applyFont="1" applyBorder="1" applyAlignment="1">
      <alignment horizontal="center"/>
    </xf>
    <xf numFmtId="5" fontId="6" fillId="0" borderId="25" xfId="6" applyNumberFormat="1" applyFont="1" applyBorder="1" applyAlignment="1">
      <alignment horizontal="center"/>
    </xf>
    <xf numFmtId="5" fontId="6" fillId="0" borderId="20" xfId="6" applyNumberFormat="1" applyFont="1" applyBorder="1" applyAlignment="1">
      <alignment horizontal="center"/>
    </xf>
    <xf numFmtId="5" fontId="6" fillId="0" borderId="21" xfId="6" applyNumberFormat="1" applyFont="1" applyBorder="1" applyAlignment="1">
      <alignment horizontal="center"/>
    </xf>
    <xf numFmtId="5" fontId="6" fillId="0" borderId="19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20" xfId="6" applyNumberFormat="1" applyFont="1" applyFill="1" applyBorder="1" applyAlignment="1">
      <alignment horizontal="center" wrapText="1"/>
    </xf>
    <xf numFmtId="164" fontId="3" fillId="3" borderId="21" xfId="6" applyNumberFormat="1" applyFont="1" applyFill="1" applyBorder="1" applyAlignment="1">
      <alignment horizontal="center" wrapText="1"/>
    </xf>
    <xf numFmtId="164" fontId="3" fillId="3" borderId="19" xfId="6" applyNumberFormat="1" applyFont="1" applyFill="1" applyBorder="1" applyAlignment="1">
      <alignment horizontal="center" wrapText="1"/>
    </xf>
    <xf numFmtId="0" fontId="3" fillId="0" borderId="13" xfId="7" applyFont="1" applyBorder="1" applyAlignment="1">
      <alignment horizontal="center"/>
    </xf>
    <xf numFmtId="0" fontId="3" fillId="0" borderId="26" xfId="7" applyFont="1" applyBorder="1" applyAlignment="1">
      <alignment horizontal="center"/>
    </xf>
    <xf numFmtId="0" fontId="3" fillId="0" borderId="27" xfId="7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9" xfId="6" applyNumberFormat="1" applyFont="1" applyFill="1" applyBorder="1" applyAlignment="1">
      <alignment horizontal="center" wrapText="1"/>
    </xf>
    <xf numFmtId="164" fontId="12" fillId="3" borderId="30" xfId="6" applyNumberFormat="1" applyFont="1" applyFill="1" applyBorder="1" applyAlignment="1">
      <alignment horizontal="center" wrapText="1"/>
    </xf>
    <xf numFmtId="164" fontId="12" fillId="3" borderId="31" xfId="6" applyNumberFormat="1" applyFont="1" applyFill="1" applyBorder="1" applyAlignment="1">
      <alignment horizontal="center" wrapText="1"/>
    </xf>
    <xf numFmtId="0" fontId="14" fillId="0" borderId="14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4" xfId="6" applyFont="1" applyBorder="1" applyAlignment="1"/>
    <xf numFmtId="0" fontId="15" fillId="0" borderId="8" xfId="6" applyFont="1" applyBorder="1" applyAlignment="1"/>
    <xf numFmtId="164" fontId="12" fillId="0" borderId="18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28" xfId="6" applyNumberFormat="1" applyFont="1" applyBorder="1" applyAlignment="1">
      <alignment horizontal="center" wrapText="1"/>
    </xf>
    <xf numFmtId="164" fontId="12" fillId="0" borderId="20" xfId="6" applyNumberFormat="1" applyFont="1" applyBorder="1" applyAlignment="1">
      <alignment horizontal="center" wrapText="1"/>
    </xf>
    <xf numFmtId="164" fontId="12" fillId="0" borderId="21" xfId="6" applyNumberFormat="1" applyFont="1" applyBorder="1" applyAlignment="1">
      <alignment horizontal="center" wrapText="1"/>
    </xf>
    <xf numFmtId="164" fontId="12" fillId="0" borderId="19" xfId="6" applyNumberFormat="1" applyFont="1" applyBorder="1" applyAlignment="1">
      <alignment horizontal="center" wrapText="1"/>
    </xf>
    <xf numFmtId="0" fontId="14" fillId="0" borderId="22" xfId="6" applyFont="1" applyBorder="1" applyAlignment="1">
      <alignment horizontal="center"/>
    </xf>
    <xf numFmtId="0" fontId="15" fillId="0" borderId="2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23" xfId="6" applyNumberFormat="1" applyFont="1" applyBorder="1" applyAlignment="1">
      <alignment horizontal="center" wrapText="1"/>
    </xf>
    <xf numFmtId="164" fontId="12" fillId="0" borderId="24" xfId="6" applyNumberFormat="1" applyFont="1" applyBorder="1" applyAlignment="1">
      <alignment horizontal="center" wrapText="1"/>
    </xf>
    <xf numFmtId="164" fontId="12" fillId="0" borderId="2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2" fillId="0" borderId="34" xfId="6" applyFont="1" applyBorder="1" applyAlignment="1">
      <alignment horizontal="center" wrapText="1"/>
    </xf>
    <xf numFmtId="0" fontId="2" fillId="0" borderId="36" xfId="6" applyFont="1" applyBorder="1" applyAlignment="1">
      <alignment horizontal="center" wrapText="1"/>
    </xf>
    <xf numFmtId="0" fontId="2" fillId="0" borderId="37" xfId="6" applyFont="1" applyBorder="1" applyAlignment="1">
      <alignment horizontal="center" wrapText="1"/>
    </xf>
    <xf numFmtId="0" fontId="2" fillId="0" borderId="13" xfId="7" applyFont="1" applyBorder="1" applyAlignment="1">
      <alignment horizontal="center"/>
    </xf>
    <xf numFmtId="0" fontId="2" fillId="0" borderId="26" xfId="7" applyFont="1" applyBorder="1" applyAlignment="1">
      <alignment horizontal="center"/>
    </xf>
    <xf numFmtId="0" fontId="2" fillId="0" borderId="27" xfId="7" applyFont="1" applyBorder="1" applyAlignment="1">
      <alignment horizontal="center"/>
    </xf>
    <xf numFmtId="164" fontId="3" fillId="0" borderId="13" xfId="7" applyNumberFormat="1" applyFont="1" applyBorder="1" applyAlignment="1">
      <alignment wrapText="1"/>
    </xf>
    <xf numFmtId="164" fontId="3" fillId="0" borderId="26" xfId="7" applyNumberFormat="1" applyFont="1" applyBorder="1" applyAlignment="1">
      <alignment wrapText="1"/>
    </xf>
    <xf numFmtId="164" fontId="3" fillId="0" borderId="27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13" xfId="8" applyFont="1" applyBorder="1" applyAlignment="1" applyProtection="1">
      <alignment horizontal="center"/>
      <protection locked="0"/>
    </xf>
    <xf numFmtId="0" fontId="3" fillId="0" borderId="26" xfId="8" applyFont="1" applyBorder="1" applyAlignment="1" applyProtection="1">
      <alignment horizontal="center"/>
      <protection locked="0"/>
    </xf>
    <xf numFmtId="0" fontId="3" fillId="0" borderId="27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13" xfId="8" applyNumberFormat="1" applyFont="1" applyBorder="1" applyAlignment="1" applyProtection="1">
      <alignment horizontal="center"/>
      <protection locked="0"/>
    </xf>
    <xf numFmtId="164" fontId="3" fillId="0" borderId="26" xfId="8" applyNumberFormat="1" applyFont="1" applyBorder="1" applyAlignment="1" applyProtection="1">
      <alignment horizontal="center"/>
      <protection locked="0"/>
    </xf>
    <xf numFmtId="164" fontId="3" fillId="0" borderId="27" xfId="8" applyNumberFormat="1" applyFont="1" applyBorder="1" applyAlignment="1" applyProtection="1">
      <alignment horizontal="center"/>
      <protection locked="0"/>
    </xf>
    <xf numFmtId="0" fontId="1" fillId="0" borderId="34" xfId="7" applyFont="1" applyBorder="1"/>
    <xf numFmtId="0" fontId="1" fillId="0" borderId="36" xfId="7" applyFont="1" applyBorder="1"/>
    <xf numFmtId="0" fontId="1" fillId="0" borderId="37" xfId="7" applyFont="1" applyBorder="1"/>
    <xf numFmtId="0" fontId="2" fillId="0" borderId="34" xfId="7" applyFont="1" applyBorder="1" applyAlignment="1">
      <alignment horizontal="center"/>
    </xf>
    <xf numFmtId="0" fontId="2" fillId="0" borderId="36" xfId="7" applyFont="1" applyBorder="1" applyAlignment="1">
      <alignment horizontal="center"/>
    </xf>
    <xf numFmtId="0" fontId="2" fillId="0" borderId="37" xfId="7" applyFont="1" applyBorder="1" applyAlignment="1">
      <alignment horizontal="center"/>
    </xf>
    <xf numFmtId="0" fontId="3" fillId="0" borderId="34" xfId="7" applyFont="1" applyBorder="1" applyAlignment="1">
      <alignment horizontal="left"/>
    </xf>
    <xf numFmtId="0" fontId="3" fillId="0" borderId="36" xfId="7" applyFont="1" applyBorder="1" applyAlignment="1">
      <alignment horizontal="left"/>
    </xf>
    <xf numFmtId="0" fontId="3" fillId="0" borderId="37" xfId="7" applyFont="1" applyBorder="1" applyAlignment="1">
      <alignment horizontal="left"/>
    </xf>
    <xf numFmtId="0" fontId="3" fillId="0" borderId="34" xfId="7" applyFont="1" applyBorder="1" applyAlignment="1">
      <alignment horizontal="left" wrapText="1"/>
    </xf>
    <xf numFmtId="0" fontId="3" fillId="0" borderId="36" xfId="7" applyFont="1" applyBorder="1" applyAlignment="1">
      <alignment horizontal="left" wrapText="1"/>
    </xf>
    <xf numFmtId="0" fontId="3" fillId="0" borderId="37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5138008</v>
      </c>
      <c r="D13" s="22">
        <v>5077410</v>
      </c>
      <c r="E13" s="22">
        <f t="shared" ref="E13:E22" si="0">D13-C13</f>
        <v>-60598</v>
      </c>
      <c r="F13" s="23">
        <f t="shared" ref="F13:F22" si="1">IF(C13=0,0,E13/C13)</f>
        <v>-1.1794064937228592E-2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8372415</v>
      </c>
      <c r="D15" s="22">
        <v>7065829</v>
      </c>
      <c r="E15" s="22">
        <f t="shared" si="0"/>
        <v>-1306586</v>
      </c>
      <c r="F15" s="23">
        <f t="shared" si="1"/>
        <v>-0.15605843714149381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990707</v>
      </c>
      <c r="D19" s="22">
        <v>717629</v>
      </c>
      <c r="E19" s="22">
        <f t="shared" si="0"/>
        <v>-273078</v>
      </c>
      <c r="F19" s="23">
        <f t="shared" si="1"/>
        <v>-0.27563951804115644</v>
      </c>
    </row>
    <row r="20" spans="1:11" ht="24" customHeight="1" x14ac:dyDescent="0.2">
      <c r="A20" s="20">
        <v>8</v>
      </c>
      <c r="B20" s="21" t="s">
        <v>23</v>
      </c>
      <c r="C20" s="22">
        <v>962571</v>
      </c>
      <c r="D20" s="22">
        <v>303858</v>
      </c>
      <c r="E20" s="22">
        <f t="shared" si="0"/>
        <v>-658713</v>
      </c>
      <c r="F20" s="23">
        <f t="shared" si="1"/>
        <v>-0.68432666265657283</v>
      </c>
    </row>
    <row r="21" spans="1:11" ht="24" customHeight="1" x14ac:dyDescent="0.2">
      <c r="A21" s="20">
        <v>9</v>
      </c>
      <c r="B21" s="21" t="s">
        <v>24</v>
      </c>
      <c r="C21" s="22">
        <v>1758500</v>
      </c>
      <c r="D21" s="22">
        <v>2116502</v>
      </c>
      <c r="E21" s="22">
        <f t="shared" si="0"/>
        <v>358002</v>
      </c>
      <c r="F21" s="23">
        <f t="shared" si="1"/>
        <v>0.20358373613875463</v>
      </c>
    </row>
    <row r="22" spans="1:11" ht="24" customHeight="1" x14ac:dyDescent="0.25">
      <c r="A22" s="24"/>
      <c r="B22" s="25" t="s">
        <v>25</v>
      </c>
      <c r="C22" s="26">
        <f>SUM(C13:C21)</f>
        <v>17222201</v>
      </c>
      <c r="D22" s="26">
        <f>SUM(D13:D21)</f>
        <v>15281228</v>
      </c>
      <c r="E22" s="26">
        <f t="shared" si="0"/>
        <v>-1940973</v>
      </c>
      <c r="F22" s="27">
        <f t="shared" si="1"/>
        <v>-0.1127017969422143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2962495</v>
      </c>
      <c r="D25" s="22">
        <v>3086464</v>
      </c>
      <c r="E25" s="22">
        <f>D25-C25</f>
        <v>123969</v>
      </c>
      <c r="F25" s="23">
        <f>IF(C25=0,0,E25/C25)</f>
        <v>4.1846146575774811E-2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1439934</v>
      </c>
      <c r="D27" s="22">
        <v>1439934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2622949</v>
      </c>
      <c r="D28" s="22">
        <v>2843477</v>
      </c>
      <c r="E28" s="22">
        <f>D28-C28</f>
        <v>220528</v>
      </c>
      <c r="F28" s="23">
        <f>IF(C28=0,0,E28/C28)</f>
        <v>8.4076358327973597E-2</v>
      </c>
    </row>
    <row r="29" spans="1:11" ht="24" customHeight="1" x14ac:dyDescent="0.25">
      <c r="A29" s="24"/>
      <c r="B29" s="25" t="s">
        <v>32</v>
      </c>
      <c r="C29" s="26">
        <f>SUM(C25:C28)</f>
        <v>7025378</v>
      </c>
      <c r="D29" s="26">
        <f>SUM(D25:D28)</f>
        <v>7369875</v>
      </c>
      <c r="E29" s="26">
        <f>D29-C29</f>
        <v>344497</v>
      </c>
      <c r="F29" s="27">
        <f>IF(C29=0,0,E29/C29)</f>
        <v>4.9036080336175507E-2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461907</v>
      </c>
      <c r="D32" s="22">
        <v>456048</v>
      </c>
      <c r="E32" s="22">
        <f>D32-C32</f>
        <v>-5859</v>
      </c>
      <c r="F32" s="23">
        <f>IF(C32=0,0,E32/C32)</f>
        <v>-1.2684371529333827E-2</v>
      </c>
    </row>
    <row r="33" spans="1:8" ht="24" customHeight="1" x14ac:dyDescent="0.2">
      <c r="A33" s="20">
        <v>7</v>
      </c>
      <c r="B33" s="21" t="s">
        <v>35</v>
      </c>
      <c r="C33" s="22">
        <v>2867317</v>
      </c>
      <c r="D33" s="22">
        <v>2833766</v>
      </c>
      <c r="E33" s="22">
        <f>D33-C33</f>
        <v>-33551</v>
      </c>
      <c r="F33" s="23">
        <f>IF(C33=0,0,E33/C33)</f>
        <v>-1.1701182673558592E-2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121167275</v>
      </c>
      <c r="D36" s="22">
        <v>121581141</v>
      </c>
      <c r="E36" s="22">
        <f>D36-C36</f>
        <v>413866</v>
      </c>
      <c r="F36" s="23">
        <f>IF(C36=0,0,E36/C36)</f>
        <v>3.4156582295013236E-3</v>
      </c>
    </row>
    <row r="37" spans="1:8" ht="24" customHeight="1" x14ac:dyDescent="0.2">
      <c r="A37" s="20">
        <v>2</v>
      </c>
      <c r="B37" s="21" t="s">
        <v>39</v>
      </c>
      <c r="C37" s="22">
        <v>82446254</v>
      </c>
      <c r="D37" s="22">
        <v>86169865</v>
      </c>
      <c r="E37" s="22">
        <f>D37-C37</f>
        <v>3723611</v>
      </c>
      <c r="F37" s="23">
        <f>IF(C37=0,0,E37/C37)</f>
        <v>4.5164101694662805E-2</v>
      </c>
    </row>
    <row r="38" spans="1:8" ht="24" customHeight="1" x14ac:dyDescent="0.25">
      <c r="A38" s="24"/>
      <c r="B38" s="25" t="s">
        <v>40</v>
      </c>
      <c r="C38" s="26">
        <f>C36-C37</f>
        <v>38721021</v>
      </c>
      <c r="D38" s="26">
        <f>D36-D37</f>
        <v>35411276</v>
      </c>
      <c r="E38" s="26">
        <f>D38-C38</f>
        <v>-3309745</v>
      </c>
      <c r="F38" s="27">
        <f>IF(C38=0,0,E38/C38)</f>
        <v>-8.547669752819792E-2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150394</v>
      </c>
      <c r="D40" s="22">
        <v>119651</v>
      </c>
      <c r="E40" s="22">
        <f>D40-C40</f>
        <v>-30743</v>
      </c>
      <c r="F40" s="23">
        <f>IF(C40=0,0,E40/C40)</f>
        <v>-0.20441639959040919</v>
      </c>
    </row>
    <row r="41" spans="1:8" ht="24" customHeight="1" x14ac:dyDescent="0.25">
      <c r="A41" s="24"/>
      <c r="B41" s="25" t="s">
        <v>42</v>
      </c>
      <c r="C41" s="26">
        <f>+C38+C40</f>
        <v>38871415</v>
      </c>
      <c r="D41" s="26">
        <f>+D38+D40</f>
        <v>35530927</v>
      </c>
      <c r="E41" s="26">
        <f>D41-C41</f>
        <v>-3340488</v>
      </c>
      <c r="F41" s="27">
        <f>IF(C41=0,0,E41/C41)</f>
        <v>-8.5936876751206509E-2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66448218</v>
      </c>
      <c r="D43" s="26">
        <f>D22+D29+D31+D32+D33+D41</f>
        <v>61471844</v>
      </c>
      <c r="E43" s="26">
        <f>D43-C43</f>
        <v>-4976374</v>
      </c>
      <c r="F43" s="27">
        <f>IF(C43=0,0,E43/C43)</f>
        <v>-7.4891007611370408E-2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6424553</v>
      </c>
      <c r="D49" s="22">
        <v>2577453</v>
      </c>
      <c r="E49" s="22">
        <f t="shared" ref="E49:E56" si="2">D49-C49</f>
        <v>-3847100</v>
      </c>
      <c r="F49" s="23">
        <f t="shared" ref="F49:F56" si="3">IF(C49=0,0,E49/C49)</f>
        <v>-0.59881208856086954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2284567</v>
      </c>
      <c r="D50" s="22">
        <v>3060464</v>
      </c>
      <c r="E50" s="22">
        <f t="shared" si="2"/>
        <v>775897</v>
      </c>
      <c r="F50" s="23">
        <f t="shared" si="3"/>
        <v>0.33962540822834264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2772561</v>
      </c>
      <c r="D51" s="22">
        <v>1893862</v>
      </c>
      <c r="E51" s="22">
        <f t="shared" si="2"/>
        <v>-878699</v>
      </c>
      <c r="F51" s="23">
        <f t="shared" si="3"/>
        <v>-0.31692684128500692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6298540</v>
      </c>
      <c r="D52" s="22">
        <v>7835895</v>
      </c>
      <c r="E52" s="22">
        <f t="shared" si="2"/>
        <v>1537355</v>
      </c>
      <c r="F52" s="23">
        <f t="shared" si="3"/>
        <v>0.24408116801671498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4449224</v>
      </c>
      <c r="D53" s="22">
        <v>251504</v>
      </c>
      <c r="E53" s="22">
        <f t="shared" si="2"/>
        <v>-4197720</v>
      </c>
      <c r="F53" s="23">
        <f t="shared" si="3"/>
        <v>-0.94347238979201764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1597783</v>
      </c>
      <c r="D55" s="22">
        <v>1924366</v>
      </c>
      <c r="E55" s="22">
        <f t="shared" si="2"/>
        <v>326583</v>
      </c>
      <c r="F55" s="23">
        <f t="shared" si="3"/>
        <v>0.20439759341537619</v>
      </c>
    </row>
    <row r="56" spans="1:6" ht="24" customHeight="1" x14ac:dyDescent="0.25">
      <c r="A56" s="24"/>
      <c r="B56" s="25" t="s">
        <v>54</v>
      </c>
      <c r="C56" s="26">
        <f>SUM(C49:C55)</f>
        <v>23827228</v>
      </c>
      <c r="D56" s="26">
        <f>SUM(D49:D55)</f>
        <v>17543544</v>
      </c>
      <c r="E56" s="26">
        <f t="shared" si="2"/>
        <v>-6283684</v>
      </c>
      <c r="F56" s="27">
        <f t="shared" si="3"/>
        <v>-0.26371863315363414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31165811</v>
      </c>
      <c r="D59" s="22">
        <v>30837372</v>
      </c>
      <c r="E59" s="22">
        <f>D59-C59</f>
        <v>-328439</v>
      </c>
      <c r="F59" s="23">
        <f>IF(C59=0,0,E59/C59)</f>
        <v>-1.0538439060674532E-2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31165811</v>
      </c>
      <c r="D61" s="26">
        <f>SUM(D59:D60)</f>
        <v>30837372</v>
      </c>
      <c r="E61" s="26">
        <f>D61-C61</f>
        <v>-328439</v>
      </c>
      <c r="F61" s="27">
        <f>IF(C61=0,0,E61/C61)</f>
        <v>-1.0538439060674532E-2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47069447</v>
      </c>
      <c r="D63" s="22">
        <v>61961430</v>
      </c>
      <c r="E63" s="22">
        <f>D63-C63</f>
        <v>14891983</v>
      </c>
      <c r="F63" s="23">
        <f>IF(C63=0,0,E63/C63)</f>
        <v>0.31638321563454952</v>
      </c>
    </row>
    <row r="64" spans="1:6" ht="24" customHeight="1" x14ac:dyDescent="0.2">
      <c r="A64" s="20">
        <v>4</v>
      </c>
      <c r="B64" s="21" t="s">
        <v>60</v>
      </c>
      <c r="C64" s="22">
        <v>13629270</v>
      </c>
      <c r="D64" s="22">
        <v>14546345</v>
      </c>
      <c r="E64" s="22">
        <f>D64-C64</f>
        <v>917075</v>
      </c>
      <c r="F64" s="23">
        <f>IF(C64=0,0,E64/C64)</f>
        <v>6.7287169452215703E-2</v>
      </c>
    </row>
    <row r="65" spans="1:6" ht="24" customHeight="1" x14ac:dyDescent="0.25">
      <c r="A65" s="24"/>
      <c r="B65" s="25" t="s">
        <v>61</v>
      </c>
      <c r="C65" s="26">
        <f>SUM(C61:C64)</f>
        <v>91864528</v>
      </c>
      <c r="D65" s="26">
        <f>SUM(D61:D64)</f>
        <v>107345147</v>
      </c>
      <c r="E65" s="26">
        <f>D65-C65</f>
        <v>15480619</v>
      </c>
      <c r="F65" s="27">
        <f>IF(C65=0,0,E65/C65)</f>
        <v>0.16851574091797433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-55316980</v>
      </c>
      <c r="D70" s="22">
        <v>-69976704</v>
      </c>
      <c r="E70" s="22">
        <f>D70-C70</f>
        <v>-14659724</v>
      </c>
      <c r="F70" s="23">
        <f>IF(C70=0,0,E70/C70)</f>
        <v>0.26501309362875558</v>
      </c>
    </row>
    <row r="71" spans="1:6" ht="24" customHeight="1" x14ac:dyDescent="0.2">
      <c r="A71" s="20">
        <v>2</v>
      </c>
      <c r="B71" s="21" t="s">
        <v>65</v>
      </c>
      <c r="C71" s="22">
        <v>1935277</v>
      </c>
      <c r="D71" s="22">
        <v>2271021</v>
      </c>
      <c r="E71" s="22">
        <f>D71-C71</f>
        <v>335744</v>
      </c>
      <c r="F71" s="23">
        <f>IF(C71=0,0,E71/C71)</f>
        <v>0.17348627612481313</v>
      </c>
    </row>
    <row r="72" spans="1:6" ht="24" customHeight="1" x14ac:dyDescent="0.2">
      <c r="A72" s="20">
        <v>3</v>
      </c>
      <c r="B72" s="21" t="s">
        <v>66</v>
      </c>
      <c r="C72" s="22">
        <v>4138165</v>
      </c>
      <c r="D72" s="22">
        <v>4288836</v>
      </c>
      <c r="E72" s="22">
        <f>D72-C72</f>
        <v>150671</v>
      </c>
      <c r="F72" s="23">
        <f>IF(C72=0,0,E72/C72)</f>
        <v>3.6410099645615868E-2</v>
      </c>
    </row>
    <row r="73" spans="1:6" ht="24" customHeight="1" x14ac:dyDescent="0.25">
      <c r="A73" s="20"/>
      <c r="B73" s="25" t="s">
        <v>67</v>
      </c>
      <c r="C73" s="26">
        <f>SUM(C70:C72)</f>
        <v>-49243538</v>
      </c>
      <c r="D73" s="26">
        <f>SUM(D70:D72)</f>
        <v>-63416847</v>
      </c>
      <c r="E73" s="26">
        <f>D73-C73</f>
        <v>-14173309</v>
      </c>
      <c r="F73" s="27">
        <f>IF(C73=0,0,E73/C73)</f>
        <v>0.28782068826979895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66448218</v>
      </c>
      <c r="D75" s="26">
        <f>D56+D65+D67+D73</f>
        <v>61471844</v>
      </c>
      <c r="E75" s="26">
        <f>D75-C75</f>
        <v>-4976374</v>
      </c>
      <c r="F75" s="27">
        <f>IF(C75=0,0,E75/C75)</f>
        <v>-7.4891007611370408E-2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9" fitToHeight="2" orientation="portrait" horizontalDpi="1200" verticalDpi="1200" r:id="rId1"/>
  <headerFooter>
    <oddHeader>&amp;LOFFICE OF HEALTH CARE ACCESS&amp;CTWELVE MONTHS ACTUAL FILING&amp;RWINDHAM COMMUNITY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topLeftCell="A45" zoomScale="70" zoomScaleNormal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503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504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505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506</v>
      </c>
      <c r="C11" s="76">
        <v>77506994</v>
      </c>
      <c r="D11" s="76">
        <v>77601420</v>
      </c>
      <c r="E11" s="76">
        <v>66924838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5491687</v>
      </c>
      <c r="D12" s="185">
        <v>4764423</v>
      </c>
      <c r="E12" s="185">
        <v>2823266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82998681</v>
      </c>
      <c r="D13" s="76">
        <f>+D11+D12</f>
        <v>82365843</v>
      </c>
      <c r="E13" s="76">
        <f>+E11+E12</f>
        <v>69748104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86792851</v>
      </c>
      <c r="D14" s="185">
        <v>86761524</v>
      </c>
      <c r="E14" s="185">
        <v>81612661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-3794170</v>
      </c>
      <c r="D15" s="76">
        <f>+D13-D14</f>
        <v>-4395681</v>
      </c>
      <c r="E15" s="76">
        <f>+E13-E14</f>
        <v>-11864557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-739009</v>
      </c>
      <c r="D16" s="185">
        <v>-1156978</v>
      </c>
      <c r="E16" s="185">
        <v>-1140890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-4533179</v>
      </c>
      <c r="D17" s="76">
        <f>D15+D16</f>
        <v>-5552659</v>
      </c>
      <c r="E17" s="76">
        <f>E15+E16</f>
        <v>-13005447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507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508</v>
      </c>
      <c r="C20" s="189">
        <f>IF(+C27=0,0,+C24/+C27)</f>
        <v>-4.6124302562256754E-2</v>
      </c>
      <c r="D20" s="189">
        <f>IF(+D27=0,0,+D24/+D27)</f>
        <v>-5.4128093035163097E-2</v>
      </c>
      <c r="E20" s="189">
        <f>IF(+E27=0,0,+E24/+E27)</f>
        <v>-0.17293454009078404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509</v>
      </c>
      <c r="C21" s="189">
        <f>IF(+C27=0,0,+C26/+C27)</f>
        <v>-8.983855418241881E-3</v>
      </c>
      <c r="D21" s="189">
        <f>IF(+D27=0,0,+D26/+D27)</f>
        <v>-1.4246942128793452E-2</v>
      </c>
      <c r="E21" s="189">
        <f>IF(+E27=0,0,+E26/+E27)</f>
        <v>-1.6629300819590197E-2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510</v>
      </c>
      <c r="C22" s="189">
        <f>IF(+C27=0,0,+C28/+C27)</f>
        <v>-5.5108157980498632E-2</v>
      </c>
      <c r="D22" s="189">
        <f>IF(+D27=0,0,+D28/+D27)</f>
        <v>-6.8375035163956543E-2</v>
      </c>
      <c r="E22" s="189">
        <f>IF(+E27=0,0,+E28/+E27)</f>
        <v>-0.18956384091037423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-3794170</v>
      </c>
      <c r="D24" s="76">
        <f>+D15</f>
        <v>-4395681</v>
      </c>
      <c r="E24" s="76">
        <f>+E15</f>
        <v>-11864557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82998681</v>
      </c>
      <c r="D25" s="76">
        <f>+D13</f>
        <v>82365843</v>
      </c>
      <c r="E25" s="76">
        <f>+E13</f>
        <v>69748104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-739009</v>
      </c>
      <c r="D26" s="76">
        <f>+D16</f>
        <v>-1156978</v>
      </c>
      <c r="E26" s="76">
        <f>+E16</f>
        <v>-1140890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82259672</v>
      </c>
      <c r="D27" s="76">
        <f>SUM(D25:D26)</f>
        <v>81208865</v>
      </c>
      <c r="E27" s="76">
        <f>SUM(E25:E26)</f>
        <v>68607214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-4533179</v>
      </c>
      <c r="D28" s="76">
        <f>+D17</f>
        <v>-5552659</v>
      </c>
      <c r="E28" s="76">
        <f>+E17</f>
        <v>-13005447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511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512</v>
      </c>
      <c r="C31" s="76">
        <v>-39450280</v>
      </c>
      <c r="D31" s="76">
        <v>-55316980</v>
      </c>
      <c r="E31" s="76">
        <v>-69976704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513</v>
      </c>
      <c r="C32" s="76">
        <v>-33207929</v>
      </c>
      <c r="D32" s="76">
        <v>-49243538</v>
      </c>
      <c r="E32" s="76">
        <v>-63416847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514</v>
      </c>
      <c r="C33" s="76">
        <v>-25758472</v>
      </c>
      <c r="D33" s="76">
        <f>+D32-C32</f>
        <v>-16035609</v>
      </c>
      <c r="E33" s="76">
        <f>+E32-D32</f>
        <v>-14173309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515</v>
      </c>
      <c r="C34" s="193">
        <v>4.4577</v>
      </c>
      <c r="D34" s="193">
        <f>IF(C32=0,0,+D33/C32)</f>
        <v>0.48288494594167558</v>
      </c>
      <c r="E34" s="193">
        <f>IF(D32=0,0,+E33/D32)</f>
        <v>0.28782068826979895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1.0651211317703848</v>
      </c>
      <c r="D38" s="338">
        <f>IF(+D40=0,0,+D39/+D40)</f>
        <v>0.72279498899326433</v>
      </c>
      <c r="E38" s="338">
        <f>IF(+E40=0,0,+E39/+E40)</f>
        <v>0.871045667853656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20046108</v>
      </c>
      <c r="D39" s="341">
        <v>17222201</v>
      </c>
      <c r="E39" s="341">
        <v>15281228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18820496</v>
      </c>
      <c r="D40" s="341">
        <v>23827228</v>
      </c>
      <c r="E40" s="341">
        <v>17543544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29.854985413523561</v>
      </c>
      <c r="D42" s="343">
        <f>IF((D48/365)=0,0,+D45/(D48/365))</f>
        <v>22.726776825706434</v>
      </c>
      <c r="E42" s="343">
        <f>IF((E48/365)=0,0,+E45/(E48/365))</f>
        <v>23.841373579743703</v>
      </c>
    </row>
    <row r="43" spans="1:14" ht="24" customHeight="1" x14ac:dyDescent="0.2">
      <c r="A43" s="339">
        <v>5</v>
      </c>
      <c r="B43" s="344" t="s">
        <v>16</v>
      </c>
      <c r="C43" s="345">
        <v>6754329</v>
      </c>
      <c r="D43" s="345">
        <v>5138008</v>
      </c>
      <c r="E43" s="345">
        <v>5077410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6754329</v>
      </c>
      <c r="D45" s="341">
        <f>+D43+D44</f>
        <v>5138008</v>
      </c>
      <c r="E45" s="341">
        <f>+E43+E44</f>
        <v>5077410</v>
      </c>
    </row>
    <row r="46" spans="1:14" ht="24" customHeight="1" x14ac:dyDescent="0.2">
      <c r="A46" s="339">
        <v>8</v>
      </c>
      <c r="B46" s="340" t="s">
        <v>334</v>
      </c>
      <c r="C46" s="341">
        <f>+C14</f>
        <v>86792851</v>
      </c>
      <c r="D46" s="341">
        <f>+D14</f>
        <v>86761524</v>
      </c>
      <c r="E46" s="341">
        <f>+E14</f>
        <v>81612661</v>
      </c>
    </row>
    <row r="47" spans="1:14" ht="24" customHeight="1" x14ac:dyDescent="0.2">
      <c r="A47" s="339">
        <v>9</v>
      </c>
      <c r="B47" s="340" t="s">
        <v>356</v>
      </c>
      <c r="C47" s="341">
        <v>4216020</v>
      </c>
      <c r="D47" s="341">
        <v>4243315</v>
      </c>
      <c r="E47" s="341">
        <v>3879948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82576831</v>
      </c>
      <c r="D48" s="341">
        <f>+D46-D47</f>
        <v>82518209</v>
      </c>
      <c r="E48" s="341">
        <f>+E46-E47</f>
        <v>77732713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28.269957869866555</v>
      </c>
      <c r="D50" s="350">
        <f>IF((D55/365)=0,0,+D54/(D55/365))</f>
        <v>26.339037481530621</v>
      </c>
      <c r="E50" s="350">
        <f>IF((E55/365)=0,0,+E54/(E55/365))</f>
        <v>28.207284640718889</v>
      </c>
    </row>
    <row r="51" spans="1:5" ht="24" customHeight="1" x14ac:dyDescent="0.2">
      <c r="A51" s="339">
        <v>12</v>
      </c>
      <c r="B51" s="344" t="s">
        <v>359</v>
      </c>
      <c r="C51" s="351">
        <v>9382464</v>
      </c>
      <c r="D51" s="351">
        <v>8372415</v>
      </c>
      <c r="E51" s="351">
        <v>7065829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3379397</v>
      </c>
      <c r="D53" s="341">
        <v>2772561</v>
      </c>
      <c r="E53" s="341">
        <v>1893862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6003067</v>
      </c>
      <c r="D54" s="352">
        <f>+D51+D52-D53</f>
        <v>5599854</v>
      </c>
      <c r="E54" s="352">
        <f>+E51+E52-E53</f>
        <v>5171967</v>
      </c>
    </row>
    <row r="55" spans="1:5" ht="24" customHeight="1" x14ac:dyDescent="0.2">
      <c r="A55" s="339">
        <v>16</v>
      </c>
      <c r="B55" s="340" t="s">
        <v>75</v>
      </c>
      <c r="C55" s="341">
        <f>+C11</f>
        <v>77506994</v>
      </c>
      <c r="D55" s="341">
        <f>+D11</f>
        <v>77601420</v>
      </c>
      <c r="E55" s="341">
        <f>+E11</f>
        <v>66924838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83.188964226539525</v>
      </c>
      <c r="D57" s="355">
        <f>IF((D61/365)=0,0,+D58/(D61/365))</f>
        <v>105.39417087930254</v>
      </c>
      <c r="E57" s="355">
        <f>IF((E61/365)=0,0,+E58/(E61/365))</f>
        <v>82.377075401961079</v>
      </c>
    </row>
    <row r="58" spans="1:5" ht="24" customHeight="1" x14ac:dyDescent="0.2">
      <c r="A58" s="339">
        <v>18</v>
      </c>
      <c r="B58" s="340" t="s">
        <v>54</v>
      </c>
      <c r="C58" s="353">
        <f>+C40</f>
        <v>18820496</v>
      </c>
      <c r="D58" s="353">
        <f>+D40</f>
        <v>23827228</v>
      </c>
      <c r="E58" s="353">
        <f>+E40</f>
        <v>17543544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86792851</v>
      </c>
      <c r="D59" s="353">
        <f t="shared" si="0"/>
        <v>86761524</v>
      </c>
      <c r="E59" s="353">
        <f t="shared" si="0"/>
        <v>81612661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4216020</v>
      </c>
      <c r="D60" s="356">
        <f t="shared" si="0"/>
        <v>4243315</v>
      </c>
      <c r="E60" s="356">
        <f t="shared" si="0"/>
        <v>3879948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82576831</v>
      </c>
      <c r="D61" s="353">
        <f>+D59-D60</f>
        <v>82518209</v>
      </c>
      <c r="E61" s="353">
        <f>+E59-E60</f>
        <v>77732713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-45.969782942784761</v>
      </c>
      <c r="D65" s="357">
        <f>IF(D67=0,0,(D66/D67)*100)</f>
        <v>-74.108139363496548</v>
      </c>
      <c r="E65" s="357">
        <f>IF(E67=0,0,(E66/E67)*100)</f>
        <v>-103.16405507536102</v>
      </c>
    </row>
    <row r="66" spans="1:5" ht="24" customHeight="1" x14ac:dyDescent="0.2">
      <c r="A66" s="339">
        <v>2</v>
      </c>
      <c r="B66" s="340" t="s">
        <v>67</v>
      </c>
      <c r="C66" s="353">
        <f>+C32</f>
        <v>-33207929</v>
      </c>
      <c r="D66" s="353">
        <f>+D32</f>
        <v>-49243538</v>
      </c>
      <c r="E66" s="353">
        <f>+E32</f>
        <v>-63416847</v>
      </c>
    </row>
    <row r="67" spans="1:5" ht="24" customHeight="1" x14ac:dyDescent="0.2">
      <c r="A67" s="339">
        <v>3</v>
      </c>
      <c r="B67" s="340" t="s">
        <v>43</v>
      </c>
      <c r="C67" s="353">
        <v>72238603</v>
      </c>
      <c r="D67" s="353">
        <v>66448218</v>
      </c>
      <c r="E67" s="353">
        <v>61471844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-0.62965187661706656</v>
      </c>
      <c r="D69" s="357">
        <f>IF(D75=0,0,(D72/D75)*100)</f>
        <v>-2.3809267932983302</v>
      </c>
      <c r="E69" s="357">
        <f>IF(E75=0,0,(E72/E75)*100)</f>
        <v>-18.86177392755441</v>
      </c>
    </row>
    <row r="70" spans="1:5" ht="24" customHeight="1" x14ac:dyDescent="0.2">
      <c r="A70" s="339">
        <v>5</v>
      </c>
      <c r="B70" s="340" t="s">
        <v>366</v>
      </c>
      <c r="C70" s="353">
        <f>+C28</f>
        <v>-4533179</v>
      </c>
      <c r="D70" s="353">
        <f>+D28</f>
        <v>-5552659</v>
      </c>
      <c r="E70" s="353">
        <f>+E28</f>
        <v>-13005447</v>
      </c>
    </row>
    <row r="71" spans="1:5" ht="24" customHeight="1" x14ac:dyDescent="0.2">
      <c r="A71" s="339">
        <v>6</v>
      </c>
      <c r="B71" s="340" t="s">
        <v>356</v>
      </c>
      <c r="C71" s="356">
        <f>+C47</f>
        <v>4216020</v>
      </c>
      <c r="D71" s="356">
        <f>+D47</f>
        <v>4243315</v>
      </c>
      <c r="E71" s="356">
        <f>+E47</f>
        <v>3879948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-317159</v>
      </c>
      <c r="D72" s="353">
        <f>+D70+D71</f>
        <v>-1309344</v>
      </c>
      <c r="E72" s="353">
        <f>+E70+E71</f>
        <v>-9125499</v>
      </c>
    </row>
    <row r="73" spans="1:5" ht="24" customHeight="1" x14ac:dyDescent="0.2">
      <c r="A73" s="339">
        <v>8</v>
      </c>
      <c r="B73" s="340" t="s">
        <v>54</v>
      </c>
      <c r="C73" s="341">
        <f>+C40</f>
        <v>18820496</v>
      </c>
      <c r="D73" s="341">
        <f>+D40</f>
        <v>23827228</v>
      </c>
      <c r="E73" s="341">
        <f>+E40</f>
        <v>17543544</v>
      </c>
    </row>
    <row r="74" spans="1:5" ht="24" customHeight="1" x14ac:dyDescent="0.2">
      <c r="A74" s="339">
        <v>9</v>
      </c>
      <c r="B74" s="340" t="s">
        <v>58</v>
      </c>
      <c r="C74" s="353">
        <v>31550036</v>
      </c>
      <c r="D74" s="353">
        <v>31165811</v>
      </c>
      <c r="E74" s="353">
        <v>30837372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50370532</v>
      </c>
      <c r="D75" s="341">
        <f>+D73+D74</f>
        <v>54993039</v>
      </c>
      <c r="E75" s="341">
        <f>+E73+E74</f>
        <v>48380916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-1903.0200380844842</v>
      </c>
      <c r="D77" s="359">
        <f>IF(D80=0,0,(D78/D80)*100)</f>
        <v>-172.39894705789064</v>
      </c>
      <c r="E77" s="359">
        <f>IF(E80=0,0,(E78/E80)*100)</f>
        <v>-94.652759137463079</v>
      </c>
    </row>
    <row r="78" spans="1:5" ht="24" customHeight="1" x14ac:dyDescent="0.2">
      <c r="A78" s="339">
        <v>12</v>
      </c>
      <c r="B78" s="340" t="s">
        <v>58</v>
      </c>
      <c r="C78" s="341">
        <f>+C74</f>
        <v>31550036</v>
      </c>
      <c r="D78" s="341">
        <f>+D74</f>
        <v>31165811</v>
      </c>
      <c r="E78" s="341">
        <f>+E74</f>
        <v>30837372</v>
      </c>
    </row>
    <row r="79" spans="1:5" ht="24" customHeight="1" x14ac:dyDescent="0.2">
      <c r="A79" s="339">
        <v>13</v>
      </c>
      <c r="B79" s="340" t="s">
        <v>67</v>
      </c>
      <c r="C79" s="341">
        <f>+C32</f>
        <v>-33207929</v>
      </c>
      <c r="D79" s="341">
        <f>+D32</f>
        <v>-49243538</v>
      </c>
      <c r="E79" s="341">
        <f>+E32</f>
        <v>-63416847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-1657893</v>
      </c>
      <c r="D80" s="341">
        <f>+D78+D79</f>
        <v>-18077727</v>
      </c>
      <c r="E80" s="341">
        <f>+E78+E79</f>
        <v>-32579475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64" orientation="portrait" horizontalDpi="1200" verticalDpi="1200" r:id="rId1"/>
  <headerFooter>
    <oddHeader>_x000D_
                &amp;L&amp;8OFFICE OF HEALTH CARE ACCESS&amp;C&amp;8TWELVE MONTHS ACTUAL FILING&amp;R&amp;8WINDHAM COMMUNITY MEMORIAL HOSPITAL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="75" zoomScaleNormal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516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517</v>
      </c>
      <c r="E6" s="362" t="s">
        <v>518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519</v>
      </c>
      <c r="I7" s="362" t="s">
        <v>519</v>
      </c>
      <c r="J7" s="367"/>
      <c r="K7" s="368"/>
    </row>
    <row r="8" spans="1:11" ht="15.75" customHeight="1" x14ac:dyDescent="0.25">
      <c r="A8" s="360"/>
      <c r="B8" s="361"/>
      <c r="C8" s="362" t="s">
        <v>520</v>
      </c>
      <c r="D8" s="362" t="s">
        <v>521</v>
      </c>
      <c r="E8" s="362" t="s">
        <v>522</v>
      </c>
      <c r="F8" s="362" t="s">
        <v>523</v>
      </c>
      <c r="G8" s="362" t="s">
        <v>524</v>
      </c>
      <c r="H8" s="362" t="s">
        <v>525</v>
      </c>
      <c r="I8" s="362" t="s">
        <v>526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527</v>
      </c>
      <c r="D9" s="371" t="s">
        <v>528</v>
      </c>
      <c r="E9" s="371" t="s">
        <v>529</v>
      </c>
      <c r="F9" s="371" t="s">
        <v>530</v>
      </c>
      <c r="G9" s="371" t="s">
        <v>531</v>
      </c>
      <c r="H9" s="371" t="s">
        <v>530</v>
      </c>
      <c r="I9" s="371" t="s">
        <v>531</v>
      </c>
      <c r="J9" s="367"/>
      <c r="K9" s="372"/>
    </row>
    <row r="10" spans="1:11" ht="15.75" customHeight="1" x14ac:dyDescent="0.25">
      <c r="A10" s="136" t="s">
        <v>529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532</v>
      </c>
      <c r="C11" s="376">
        <v>5377</v>
      </c>
      <c r="D11" s="376">
        <v>1925</v>
      </c>
      <c r="E11" s="376">
        <v>1911</v>
      </c>
      <c r="F11" s="377">
        <v>53</v>
      </c>
      <c r="G11" s="377">
        <v>104</v>
      </c>
      <c r="H11" s="378">
        <f>IF(F11=0,0,$C11/(F11*365))</f>
        <v>0.27795295942103904</v>
      </c>
      <c r="I11" s="378">
        <f>IF(G11=0,0,$C11/(G11*365))</f>
        <v>0.1416491043203372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533</v>
      </c>
      <c r="C13" s="376">
        <v>2522</v>
      </c>
      <c r="D13" s="376">
        <v>593</v>
      </c>
      <c r="E13" s="376">
        <v>0</v>
      </c>
      <c r="F13" s="377">
        <v>12</v>
      </c>
      <c r="G13" s="377">
        <v>12</v>
      </c>
      <c r="H13" s="378">
        <f>IF(F13=0,0,$C13/(F13*365))</f>
        <v>0.57579908675799085</v>
      </c>
      <c r="I13" s="378">
        <f>IF(G13=0,0,$C13/(G13*365))</f>
        <v>0.57579908675799085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534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535</v>
      </c>
      <c r="C16" s="376">
        <v>0</v>
      </c>
      <c r="D16" s="376">
        <v>0</v>
      </c>
      <c r="E16" s="376">
        <v>0</v>
      </c>
      <c r="F16" s="377">
        <v>0</v>
      </c>
      <c r="G16" s="377">
        <v>0</v>
      </c>
      <c r="H16" s="378">
        <f t="shared" si="0"/>
        <v>0</v>
      </c>
      <c r="I16" s="378">
        <f t="shared" si="0"/>
        <v>0</v>
      </c>
      <c r="J16" s="367"/>
      <c r="K16" s="379"/>
    </row>
    <row r="17" spans="1:11" ht="15.75" customHeight="1" x14ac:dyDescent="0.25">
      <c r="A17" s="136"/>
      <c r="B17" s="380" t="s">
        <v>536</v>
      </c>
      <c r="C17" s="381">
        <f>SUM(C15:C16)</f>
        <v>0</v>
      </c>
      <c r="D17" s="381">
        <f>SUM(D15:D16)</f>
        <v>0</v>
      </c>
      <c r="E17" s="381">
        <f>SUM(E15:E16)</f>
        <v>0</v>
      </c>
      <c r="F17" s="381">
        <f>SUM(F15:F16)</f>
        <v>0</v>
      </c>
      <c r="G17" s="381">
        <f>SUM(G15:G16)</f>
        <v>0</v>
      </c>
      <c r="H17" s="382">
        <f t="shared" si="0"/>
        <v>0</v>
      </c>
      <c r="I17" s="382">
        <f t="shared" si="0"/>
        <v>0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537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538</v>
      </c>
      <c r="C21" s="376">
        <v>352</v>
      </c>
      <c r="D21" s="376">
        <v>154</v>
      </c>
      <c r="E21" s="376">
        <v>152</v>
      </c>
      <c r="F21" s="377">
        <v>14</v>
      </c>
      <c r="G21" s="377">
        <v>14</v>
      </c>
      <c r="H21" s="378">
        <f>IF(F21=0,0,$C21/(F21*365))</f>
        <v>6.8884540117416834E-2</v>
      </c>
      <c r="I21" s="378">
        <f>IF(G21=0,0,$C21/(G21*365))</f>
        <v>6.8884540117416834E-2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539</v>
      </c>
      <c r="C23" s="376">
        <v>343</v>
      </c>
      <c r="D23" s="376">
        <v>146</v>
      </c>
      <c r="E23" s="376">
        <v>144</v>
      </c>
      <c r="F23" s="377">
        <v>8</v>
      </c>
      <c r="G23" s="377">
        <v>14</v>
      </c>
      <c r="H23" s="378">
        <f>IF(F23=0,0,$C23/(F23*365))</f>
        <v>0.11746575342465754</v>
      </c>
      <c r="I23" s="378">
        <f>IF(G23=0,0,$C23/(G23*365))</f>
        <v>6.7123287671232879E-2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540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541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542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543</v>
      </c>
      <c r="C31" s="384">
        <f>SUM(C10:C29)-C17-C23</f>
        <v>8251</v>
      </c>
      <c r="D31" s="384">
        <f>SUM(D10:D29)-D13-D17-D23</f>
        <v>2079</v>
      </c>
      <c r="E31" s="384">
        <f>SUM(E10:E29)-E17-E23</f>
        <v>2063</v>
      </c>
      <c r="F31" s="384">
        <f>SUM(F10:F29)-F17-F23</f>
        <v>79</v>
      </c>
      <c r="G31" s="384">
        <f>SUM(G10:G29)-G17-G23</f>
        <v>130</v>
      </c>
      <c r="H31" s="385">
        <f>IF(F31=0,0,$C31/(F31*365))</f>
        <v>0.28614530951968092</v>
      </c>
      <c r="I31" s="385">
        <f>IF(G31=0,0,$C31/(G31*365))</f>
        <v>0.17388830347734457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544</v>
      </c>
      <c r="C33" s="384">
        <f>SUM(C10:C29)-C17</f>
        <v>8594</v>
      </c>
      <c r="D33" s="384">
        <f>SUM(D10:D29)-D13-D17</f>
        <v>2225</v>
      </c>
      <c r="E33" s="384">
        <f>SUM(E10:E29)-E17</f>
        <v>2207</v>
      </c>
      <c r="F33" s="384">
        <f>SUM(F10:F29)-F17</f>
        <v>87</v>
      </c>
      <c r="G33" s="384">
        <f>SUM(G10:G29)-G17</f>
        <v>144</v>
      </c>
      <c r="H33" s="385">
        <f>IF(F33=0,0,$C33/(F33*365))</f>
        <v>0.27063454574082824</v>
      </c>
      <c r="I33" s="385">
        <f>IF(G33=0,0,$C33/(G33*365))</f>
        <v>0.1635083713850837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545</v>
      </c>
      <c r="C36" s="384">
        <f t="shared" ref="C36:I36" si="1">+C33</f>
        <v>8594</v>
      </c>
      <c r="D36" s="384">
        <f t="shared" si="1"/>
        <v>2225</v>
      </c>
      <c r="E36" s="384">
        <f t="shared" si="1"/>
        <v>2207</v>
      </c>
      <c r="F36" s="384">
        <f t="shared" si="1"/>
        <v>87</v>
      </c>
      <c r="G36" s="384">
        <f t="shared" si="1"/>
        <v>144</v>
      </c>
      <c r="H36" s="387">
        <f t="shared" si="1"/>
        <v>0.27063454574082824</v>
      </c>
      <c r="I36" s="387">
        <f t="shared" si="1"/>
        <v>0.1635083713850837</v>
      </c>
      <c r="J36" s="367"/>
      <c r="K36" s="379"/>
    </row>
    <row r="37" spans="1:11" ht="15.75" customHeight="1" x14ac:dyDescent="0.25">
      <c r="A37" s="136"/>
      <c r="B37" s="361" t="s">
        <v>546</v>
      </c>
      <c r="C37" s="384">
        <v>12214</v>
      </c>
      <c r="D37" s="384">
        <v>2901</v>
      </c>
      <c r="E37" s="384">
        <v>2948</v>
      </c>
      <c r="F37" s="386">
        <v>87</v>
      </c>
      <c r="G37" s="386">
        <v>144</v>
      </c>
      <c r="H37" s="385">
        <f>IF(F37=0,0,$C37/(F37*365))</f>
        <v>0.38463234136356478</v>
      </c>
      <c r="I37" s="385">
        <f>IF(G37=0,0,$C37/(G37*365))</f>
        <v>0.23238203957382039</v>
      </c>
      <c r="J37" s="367"/>
      <c r="K37" s="379"/>
    </row>
    <row r="38" spans="1:11" ht="15.75" customHeight="1" x14ac:dyDescent="0.25">
      <c r="A38" s="136"/>
      <c r="B38" s="361" t="s">
        <v>547</v>
      </c>
      <c r="C38" s="384">
        <f t="shared" ref="C38:I38" si="2">+C36-C37</f>
        <v>-3620</v>
      </c>
      <c r="D38" s="384">
        <f t="shared" si="2"/>
        <v>-676</v>
      </c>
      <c r="E38" s="384">
        <f t="shared" si="2"/>
        <v>-741</v>
      </c>
      <c r="F38" s="384">
        <f t="shared" si="2"/>
        <v>0</v>
      </c>
      <c r="G38" s="384">
        <f t="shared" si="2"/>
        <v>0</v>
      </c>
      <c r="H38" s="387">
        <f t="shared" si="2"/>
        <v>-0.11399779562273654</v>
      </c>
      <c r="I38" s="387">
        <f t="shared" si="2"/>
        <v>-6.8873668188736692E-2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548</v>
      </c>
      <c r="C40" s="389">
        <f t="shared" ref="C40:I40" si="3">IF(C37=0,0,C38/C37)</f>
        <v>-0.29638120189945966</v>
      </c>
      <c r="D40" s="389">
        <f t="shared" si="3"/>
        <v>-0.23302309548431574</v>
      </c>
      <c r="E40" s="389">
        <f t="shared" si="3"/>
        <v>-0.25135685210312075</v>
      </c>
      <c r="F40" s="389">
        <f t="shared" si="3"/>
        <v>0</v>
      </c>
      <c r="G40" s="389">
        <f t="shared" si="3"/>
        <v>0</v>
      </c>
      <c r="H40" s="389">
        <f t="shared" si="3"/>
        <v>-0.29638120189945955</v>
      </c>
      <c r="I40" s="389">
        <f t="shared" si="3"/>
        <v>-0.29638120189945966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549</v>
      </c>
      <c r="C42" s="375">
        <v>144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550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529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551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0" orientation="landscape" horizontalDpi="1200" verticalDpi="1200" r:id="rId1"/>
  <headerFooter>
    <oddHeader>&amp;LOFFICE OF HEALTH CARE ACCESS&amp;CTWELVE MONTHS ACTUAL FILING&amp;RWINDHAM COMMUNITY MEMORIAL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Normal="100"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552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553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554</v>
      </c>
      <c r="C12" s="409">
        <v>1789</v>
      </c>
      <c r="D12" s="409">
        <v>1456</v>
      </c>
      <c r="E12" s="409">
        <f>+D12-C12</f>
        <v>-333</v>
      </c>
      <c r="F12" s="410">
        <f>IF(C12=0,0,+E12/C12)</f>
        <v>-0.18613750698714365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555</v>
      </c>
      <c r="C13" s="409">
        <v>3641</v>
      </c>
      <c r="D13" s="409">
        <v>3261</v>
      </c>
      <c r="E13" s="409">
        <f>+D13-C13</f>
        <v>-380</v>
      </c>
      <c r="F13" s="410">
        <f>IF(C13=0,0,+E13/C13)</f>
        <v>-0.10436693216149409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556</v>
      </c>
      <c r="C14" s="409">
        <v>4863</v>
      </c>
      <c r="D14" s="409">
        <v>5201</v>
      </c>
      <c r="E14" s="409">
        <f>+D14-C14</f>
        <v>338</v>
      </c>
      <c r="F14" s="410">
        <f>IF(C14=0,0,+E14/C14)</f>
        <v>6.950442113921447E-2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557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558</v>
      </c>
      <c r="C16" s="401">
        <f>SUM(C12:C15)</f>
        <v>10293</v>
      </c>
      <c r="D16" s="401">
        <f>SUM(D12:D15)</f>
        <v>9918</v>
      </c>
      <c r="E16" s="401">
        <f>+D16-C16</f>
        <v>-375</v>
      </c>
      <c r="F16" s="402">
        <f>IF(C16=0,0,+E16/C16)</f>
        <v>-3.6432526960069954E-2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559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554</v>
      </c>
      <c r="C19" s="409">
        <v>303</v>
      </c>
      <c r="D19" s="409">
        <v>231</v>
      </c>
      <c r="E19" s="409">
        <f>+D19-C19</f>
        <v>-72</v>
      </c>
      <c r="F19" s="410">
        <f>IF(C19=0,0,+E19/C19)</f>
        <v>-0.23762376237623761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555</v>
      </c>
      <c r="C20" s="409">
        <v>3152</v>
      </c>
      <c r="D20" s="409">
        <v>2974</v>
      </c>
      <c r="E20" s="409">
        <f>+D20-C20</f>
        <v>-178</v>
      </c>
      <c r="F20" s="410">
        <f>IF(C20=0,0,+E20/C20)</f>
        <v>-5.6472081218274114E-2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556</v>
      </c>
      <c r="C21" s="409">
        <v>76</v>
      </c>
      <c r="D21" s="409">
        <v>110</v>
      </c>
      <c r="E21" s="409">
        <f>+D21-C21</f>
        <v>34</v>
      </c>
      <c r="F21" s="410">
        <f>IF(C21=0,0,+E21/C21)</f>
        <v>0.44736842105263158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557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560</v>
      </c>
      <c r="C23" s="401">
        <f>SUM(C19:C22)</f>
        <v>3531</v>
      </c>
      <c r="D23" s="401">
        <f>SUM(D19:D22)</f>
        <v>3315</v>
      </c>
      <c r="E23" s="401">
        <f>+D23-C23</f>
        <v>-216</v>
      </c>
      <c r="F23" s="402">
        <f>IF(C23=0,0,+E23/C23)</f>
        <v>-6.117247238742566E-2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561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554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555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556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557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562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563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554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555</v>
      </c>
      <c r="C34" s="409">
        <v>123</v>
      </c>
      <c r="D34" s="409">
        <v>125</v>
      </c>
      <c r="E34" s="409">
        <f>+D34-C34</f>
        <v>2</v>
      </c>
      <c r="F34" s="410">
        <f>IF(C34=0,0,+E34/C34)</f>
        <v>1.6260162601626018E-2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556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557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564</v>
      </c>
      <c r="C37" s="401">
        <f>SUM(C33:C36)</f>
        <v>123</v>
      </c>
      <c r="D37" s="401">
        <f>SUM(D33:D36)</f>
        <v>125</v>
      </c>
      <c r="E37" s="401">
        <f>+D37-C37</f>
        <v>2</v>
      </c>
      <c r="F37" s="402">
        <f>IF(C37=0,0,+E37/C37)</f>
        <v>1.6260162601626018E-2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565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566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567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568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569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570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571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568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569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572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573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574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575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576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577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578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579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580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581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582</v>
      </c>
      <c r="C63" s="409">
        <v>715</v>
      </c>
      <c r="D63" s="409">
        <v>519</v>
      </c>
      <c r="E63" s="409">
        <f>+D63-C63</f>
        <v>-196</v>
      </c>
      <c r="F63" s="410">
        <f>IF(C63=0,0,+E63/C63)</f>
        <v>-0.27412587412587414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583</v>
      </c>
      <c r="C64" s="409">
        <v>2066</v>
      </c>
      <c r="D64" s="409">
        <v>1631</v>
      </c>
      <c r="E64" s="409">
        <f>+D64-C64</f>
        <v>-435</v>
      </c>
      <c r="F64" s="410">
        <f>IF(C64=0,0,+E64/C64)</f>
        <v>-0.21055179090029041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584</v>
      </c>
      <c r="C65" s="401">
        <f>SUM(C63:C64)</f>
        <v>2781</v>
      </c>
      <c r="D65" s="401">
        <f>SUM(D63:D64)</f>
        <v>2150</v>
      </c>
      <c r="E65" s="401">
        <f>+D65-C65</f>
        <v>-631</v>
      </c>
      <c r="F65" s="402">
        <f>IF(C65=0,0,+E65/C65)</f>
        <v>-0.2268967997123337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585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586</v>
      </c>
      <c r="C68" s="409">
        <v>236</v>
      </c>
      <c r="D68" s="409">
        <v>104</v>
      </c>
      <c r="E68" s="409">
        <f>+D68-C68</f>
        <v>-132</v>
      </c>
      <c r="F68" s="410">
        <f>IF(C68=0,0,+E68/C68)</f>
        <v>-0.55932203389830504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587</v>
      </c>
      <c r="C69" s="409">
        <v>3709</v>
      </c>
      <c r="D69" s="409">
        <v>2673</v>
      </c>
      <c r="E69" s="409">
        <f>+D69-C69</f>
        <v>-1036</v>
      </c>
      <c r="F69" s="412">
        <f>IF(C69=0,0,+E69/C69)</f>
        <v>-0.27932057158263685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588</v>
      </c>
      <c r="C70" s="401">
        <f>SUM(C68:C69)</f>
        <v>3945</v>
      </c>
      <c r="D70" s="401">
        <f>SUM(D68:D69)</f>
        <v>2777</v>
      </c>
      <c r="E70" s="401">
        <f>+D70-C70</f>
        <v>-1168</v>
      </c>
      <c r="F70" s="402">
        <f>IF(C70=0,0,+E70/C70)</f>
        <v>-0.29607097591888465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589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590</v>
      </c>
      <c r="C73" s="376">
        <v>2359</v>
      </c>
      <c r="D73" s="376">
        <v>1769</v>
      </c>
      <c r="E73" s="409">
        <f>+D73-C73</f>
        <v>-590</v>
      </c>
      <c r="F73" s="410">
        <f>IF(C73=0,0,+E73/C73)</f>
        <v>-0.25010597710894444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591</v>
      </c>
      <c r="C74" s="376">
        <v>30161</v>
      </c>
      <c r="D74" s="376">
        <v>31428</v>
      </c>
      <c r="E74" s="409">
        <f>+D74-C74</f>
        <v>1267</v>
      </c>
      <c r="F74" s="410">
        <f>IF(C74=0,0,+E74/C74)</f>
        <v>4.2007890985046918E-2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32520</v>
      </c>
      <c r="D75" s="401">
        <f>SUM(D73:D74)</f>
        <v>33197</v>
      </c>
      <c r="E75" s="401">
        <f>SUM(E73:E74)</f>
        <v>677</v>
      </c>
      <c r="F75" s="402">
        <f>IF(C75=0,0,+E75/C75)</f>
        <v>2.0817958179581795E-2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592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593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594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595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596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597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598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599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600</v>
      </c>
      <c r="C86" s="376">
        <v>1564</v>
      </c>
      <c r="D86" s="376">
        <v>637</v>
      </c>
      <c r="E86" s="409">
        <f t="shared" si="0"/>
        <v>-927</v>
      </c>
      <c r="F86" s="410">
        <f t="shared" si="1"/>
        <v>-0.59271099744245526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601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602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603</v>
      </c>
      <c r="C89" s="376">
        <v>690</v>
      </c>
      <c r="D89" s="376">
        <v>831</v>
      </c>
      <c r="E89" s="409">
        <f t="shared" si="0"/>
        <v>141</v>
      </c>
      <c r="F89" s="410">
        <f t="shared" si="1"/>
        <v>0.20434782608695654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604</v>
      </c>
      <c r="C90" s="376">
        <v>1818</v>
      </c>
      <c r="D90" s="376">
        <v>1521</v>
      </c>
      <c r="E90" s="409">
        <f t="shared" si="0"/>
        <v>-297</v>
      </c>
      <c r="F90" s="410">
        <f t="shared" si="1"/>
        <v>-0.16336633663366337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605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606</v>
      </c>
      <c r="C92" s="381">
        <f>SUM(C79:C91)</f>
        <v>4072</v>
      </c>
      <c r="D92" s="381">
        <f>SUM(D79:D91)</f>
        <v>2989</v>
      </c>
      <c r="E92" s="401">
        <f t="shared" si="0"/>
        <v>-1083</v>
      </c>
      <c r="F92" s="402">
        <f t="shared" si="1"/>
        <v>-0.26596267190569745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607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608</v>
      </c>
      <c r="C95" s="414">
        <v>21851</v>
      </c>
      <c r="D95" s="414">
        <v>23052</v>
      </c>
      <c r="E95" s="415">
        <f t="shared" ref="E95:E100" si="2">+D95-C95</f>
        <v>1201</v>
      </c>
      <c r="F95" s="412">
        <f t="shared" ref="F95:F100" si="3">IF(C95=0,0,+E95/C95)</f>
        <v>5.496315958079722E-2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609</v>
      </c>
      <c r="C96" s="414">
        <v>1608</v>
      </c>
      <c r="D96" s="414">
        <v>1908</v>
      </c>
      <c r="E96" s="409">
        <f t="shared" si="2"/>
        <v>300</v>
      </c>
      <c r="F96" s="410">
        <f t="shared" si="3"/>
        <v>0.18656716417910449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610</v>
      </c>
      <c r="C97" s="414">
        <v>387</v>
      </c>
      <c r="D97" s="414">
        <v>219</v>
      </c>
      <c r="E97" s="409">
        <f t="shared" si="2"/>
        <v>-168</v>
      </c>
      <c r="F97" s="410">
        <f t="shared" si="3"/>
        <v>-0.43410852713178294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611</v>
      </c>
      <c r="C98" s="414">
        <v>301</v>
      </c>
      <c r="D98" s="414">
        <v>362</v>
      </c>
      <c r="E98" s="409">
        <f t="shared" si="2"/>
        <v>61</v>
      </c>
      <c r="F98" s="410">
        <f t="shared" si="3"/>
        <v>0.20265780730897009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612</v>
      </c>
      <c r="C99" s="414">
        <v>45099</v>
      </c>
      <c r="D99" s="414">
        <v>20774</v>
      </c>
      <c r="E99" s="409">
        <f t="shared" si="2"/>
        <v>-24325</v>
      </c>
      <c r="F99" s="410">
        <f t="shared" si="3"/>
        <v>-0.53936894387902168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613</v>
      </c>
      <c r="C100" s="381">
        <f>SUM(C95:C99)</f>
        <v>69246</v>
      </c>
      <c r="D100" s="381">
        <f>SUM(D95:D99)</f>
        <v>46315</v>
      </c>
      <c r="E100" s="401">
        <f t="shared" si="2"/>
        <v>-22931</v>
      </c>
      <c r="F100" s="402">
        <f t="shared" si="3"/>
        <v>-0.33115270196112412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614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615</v>
      </c>
      <c r="C104" s="416">
        <v>143.5</v>
      </c>
      <c r="D104" s="416">
        <v>99.3</v>
      </c>
      <c r="E104" s="417">
        <f>+D104-C104</f>
        <v>-44.2</v>
      </c>
      <c r="F104" s="410">
        <f>IF(C104=0,0,+E104/C104)</f>
        <v>-0.30801393728222998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616</v>
      </c>
      <c r="C105" s="416">
        <v>8</v>
      </c>
      <c r="D105" s="416">
        <v>6.6</v>
      </c>
      <c r="E105" s="417">
        <f>+D105-C105</f>
        <v>-1.4000000000000004</v>
      </c>
      <c r="F105" s="410">
        <f>IF(C105=0,0,+E105/C105)</f>
        <v>-0.17500000000000004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617</v>
      </c>
      <c r="C106" s="416">
        <v>326.2</v>
      </c>
      <c r="D106" s="416">
        <v>302.3</v>
      </c>
      <c r="E106" s="417">
        <f>+D106-C106</f>
        <v>-23.899999999999977</v>
      </c>
      <c r="F106" s="410">
        <f>IF(C106=0,0,+E106/C106)</f>
        <v>-7.326793378295518E-2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618</v>
      </c>
      <c r="C107" s="418">
        <f>SUM(C104:C106)</f>
        <v>477.7</v>
      </c>
      <c r="D107" s="418">
        <f>SUM(D104:D106)</f>
        <v>408.2</v>
      </c>
      <c r="E107" s="418">
        <f>+D107-C107</f>
        <v>-69.5</v>
      </c>
      <c r="F107" s="402">
        <f>IF(C107=0,0,+E107/C107)</f>
        <v>-0.14548880050240737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FILING&amp;RWINDHAM COMMUNITY MEMORIAL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4" zoomScale="75" zoomScaleNormal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619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583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620</v>
      </c>
      <c r="C12" s="409">
        <v>2066</v>
      </c>
      <c r="D12" s="409">
        <v>1631</v>
      </c>
      <c r="E12" s="409">
        <f>+D12-C12</f>
        <v>-435</v>
      </c>
      <c r="F12" s="410">
        <f>IF(C12=0,0,+E12/C12)</f>
        <v>-0.21055179090029041</v>
      </c>
    </row>
    <row r="13" spans="1:6" ht="15.75" customHeight="1" x14ac:dyDescent="0.25">
      <c r="A13" s="374"/>
      <c r="B13" s="399" t="s">
        <v>621</v>
      </c>
      <c r="C13" s="401">
        <f>SUM(C11:C12)</f>
        <v>2066</v>
      </c>
      <c r="D13" s="401">
        <f>SUM(D11:D12)</f>
        <v>1631</v>
      </c>
      <c r="E13" s="401">
        <f>+D13-C13</f>
        <v>-435</v>
      </c>
      <c r="F13" s="402">
        <f>IF(C13=0,0,+E13/C13)</f>
        <v>-0.21055179090029041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587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620</v>
      </c>
      <c r="C16" s="409">
        <v>3709</v>
      </c>
      <c r="D16" s="409">
        <v>2673</v>
      </c>
      <c r="E16" s="409">
        <f>+D16-C16</f>
        <v>-1036</v>
      </c>
      <c r="F16" s="410">
        <f>IF(C16=0,0,+E16/C16)</f>
        <v>-0.27932057158263685</v>
      </c>
    </row>
    <row r="17" spans="1:6" ht="15.75" customHeight="1" x14ac:dyDescent="0.25">
      <c r="A17" s="374"/>
      <c r="B17" s="399" t="s">
        <v>622</v>
      </c>
      <c r="C17" s="401">
        <f>SUM(C15:C16)</f>
        <v>3709</v>
      </c>
      <c r="D17" s="401">
        <f>SUM(D15:D16)</f>
        <v>2673</v>
      </c>
      <c r="E17" s="401">
        <f>+D17-C17</f>
        <v>-1036</v>
      </c>
      <c r="F17" s="402">
        <f>IF(C17=0,0,+E17/C17)</f>
        <v>-0.27932057158263685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623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620</v>
      </c>
      <c r="C20" s="409">
        <v>30161</v>
      </c>
      <c r="D20" s="409">
        <v>31428</v>
      </c>
      <c r="E20" s="409">
        <f>+D20-C20</f>
        <v>1267</v>
      </c>
      <c r="F20" s="410">
        <f>IF(C20=0,0,+E20/C20)</f>
        <v>4.2007890985046918E-2</v>
      </c>
    </row>
    <row r="21" spans="1:6" ht="15.75" customHeight="1" x14ac:dyDescent="0.25">
      <c r="A21" s="374"/>
      <c r="B21" s="399" t="s">
        <v>624</v>
      </c>
      <c r="C21" s="401">
        <f>SUM(C19:C20)</f>
        <v>30161</v>
      </c>
      <c r="D21" s="401">
        <f>SUM(D19:D20)</f>
        <v>31428</v>
      </c>
      <c r="E21" s="401">
        <f>+D21-C21</f>
        <v>1267</v>
      </c>
      <c r="F21" s="402">
        <f>IF(C21=0,0,+E21/C21)</f>
        <v>4.2007890985046918E-2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3" t="s">
        <v>625</v>
      </c>
      <c r="C23" s="814"/>
      <c r="D23" s="814"/>
      <c r="E23" s="814"/>
      <c r="F23" s="815"/>
    </row>
    <row r="24" spans="1:6" ht="15.75" customHeight="1" x14ac:dyDescent="0.25">
      <c r="A24" s="392"/>
    </row>
    <row r="25" spans="1:6" ht="15.75" customHeight="1" x14ac:dyDescent="0.25">
      <c r="B25" s="813" t="s">
        <v>626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627</v>
      </c>
      <c r="C27" s="814"/>
      <c r="D27" s="814"/>
      <c r="E27" s="814"/>
      <c r="F27" s="815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FILING&amp;RWINDHAM COMMUNITY MEMORIAL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topLeftCell="A286" zoomScale="85" zoomScaleNormal="85" zoomScaleSheetLayoutView="80" workbookViewId="0">
      <selection activeCell="G293" sqref="G293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628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629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630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631</v>
      </c>
      <c r="D7" s="426" t="s">
        <v>631</v>
      </c>
      <c r="E7" s="426" t="s">
        <v>632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633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634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635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636</v>
      </c>
      <c r="C15" s="448">
        <v>33527360</v>
      </c>
      <c r="D15" s="448">
        <v>24866808</v>
      </c>
      <c r="E15" s="448">
        <f t="shared" ref="E15:E24" si="0">D15-C15</f>
        <v>-8660552</v>
      </c>
      <c r="F15" s="449">
        <f t="shared" ref="F15:F24" si="1">IF(C15=0,0,E15/C15)</f>
        <v>-0.25831297185343555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637</v>
      </c>
      <c r="C16" s="448">
        <v>21716341</v>
      </c>
      <c r="D16" s="448">
        <v>15533050</v>
      </c>
      <c r="E16" s="448">
        <f t="shared" si="0"/>
        <v>-6183291</v>
      </c>
      <c r="F16" s="449">
        <f t="shared" si="1"/>
        <v>-0.28472987231136221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638</v>
      </c>
      <c r="C17" s="453">
        <f>IF(C15=0,0,C16/C15)</f>
        <v>0.64771998153150145</v>
      </c>
      <c r="D17" s="453">
        <f>IF(LN_IA1=0,0,LN_IA2/LN_IA1)</f>
        <v>0.62464993496551713</v>
      </c>
      <c r="E17" s="454">
        <f t="shared" si="0"/>
        <v>-2.3070046565984326E-2</v>
      </c>
      <c r="F17" s="449">
        <f t="shared" si="1"/>
        <v>-3.5617314925867123E-2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1672</v>
      </c>
      <c r="D18" s="456">
        <v>1292</v>
      </c>
      <c r="E18" s="456">
        <f t="shared" si="0"/>
        <v>-380</v>
      </c>
      <c r="F18" s="449">
        <f t="shared" si="1"/>
        <v>-0.22727272727272727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639</v>
      </c>
      <c r="C19" s="459">
        <v>1.4158299999999999</v>
      </c>
      <c r="D19" s="459">
        <v>1.4297800000000001</v>
      </c>
      <c r="E19" s="460">
        <f t="shared" si="0"/>
        <v>1.3950000000000129E-2</v>
      </c>
      <c r="F19" s="449">
        <f t="shared" si="1"/>
        <v>9.852877817252163E-3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640</v>
      </c>
      <c r="C20" s="463">
        <f>C18*C19</f>
        <v>2367.2677599999997</v>
      </c>
      <c r="D20" s="463">
        <f>LN_IA4*LN_IA5</f>
        <v>1847.27576</v>
      </c>
      <c r="E20" s="463">
        <f t="shared" si="0"/>
        <v>-519.99199999999973</v>
      </c>
      <c r="F20" s="449">
        <f t="shared" si="1"/>
        <v>-0.21965913986848695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641</v>
      </c>
      <c r="C21" s="465">
        <f>IF(C20=0,0,C16/C20)</f>
        <v>9173.5887958867825</v>
      </c>
      <c r="D21" s="465">
        <f>IF(LN_IA6=0,0,LN_IA2/LN_IA6)</f>
        <v>8408.6254669416539</v>
      </c>
      <c r="E21" s="465">
        <f t="shared" si="0"/>
        <v>-764.96332894512852</v>
      </c>
      <c r="F21" s="449">
        <f t="shared" si="1"/>
        <v>-8.3387575567821365E-2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7809</v>
      </c>
      <c r="D22" s="456">
        <v>5745</v>
      </c>
      <c r="E22" s="456">
        <f t="shared" si="0"/>
        <v>-2064</v>
      </c>
      <c r="F22" s="449">
        <f t="shared" si="1"/>
        <v>-0.26431041106415676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642</v>
      </c>
      <c r="C23" s="465">
        <f>IF(C22=0,0,C16/C22)</f>
        <v>2780.9375080035857</v>
      </c>
      <c r="D23" s="465">
        <f>IF(LN_IA8=0,0,LN_IA2/LN_IA8)</f>
        <v>2703.751087902524</v>
      </c>
      <c r="E23" s="465">
        <f t="shared" si="0"/>
        <v>-77.186420101061685</v>
      </c>
      <c r="F23" s="449">
        <f t="shared" si="1"/>
        <v>-2.775553923053569E-2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643</v>
      </c>
      <c r="C24" s="466">
        <f>IF(C18=0,0,C22/C18)</f>
        <v>4.6704545454545459</v>
      </c>
      <c r="D24" s="466">
        <f>IF(LN_IA4=0,0,LN_IA8/LN_IA4)</f>
        <v>4.4465944272445821</v>
      </c>
      <c r="E24" s="466">
        <f t="shared" si="0"/>
        <v>-0.22386011820996377</v>
      </c>
      <c r="F24" s="449">
        <f t="shared" si="1"/>
        <v>-4.7931120200673506E-2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644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645</v>
      </c>
      <c r="C27" s="448">
        <v>48764507</v>
      </c>
      <c r="D27" s="448">
        <v>47628168</v>
      </c>
      <c r="E27" s="448">
        <f t="shared" ref="E27:E32" si="2">D27-C27</f>
        <v>-1136339</v>
      </c>
      <c r="F27" s="449">
        <f t="shared" ref="F27:F32" si="3">IF(C27=0,0,E27/C27)</f>
        <v>-2.3302583577846897E-2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646</v>
      </c>
      <c r="C28" s="448">
        <v>11848586</v>
      </c>
      <c r="D28" s="448">
        <v>10610652</v>
      </c>
      <c r="E28" s="448">
        <f t="shared" si="2"/>
        <v>-1237934</v>
      </c>
      <c r="F28" s="449">
        <f t="shared" si="3"/>
        <v>-0.10447947122129173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647</v>
      </c>
      <c r="C29" s="453">
        <f>IF(C27=0,0,C28/C27)</f>
        <v>0.24297561339028814</v>
      </c>
      <c r="D29" s="453">
        <f>IF(LN_IA11=0,0,LN_IA12/LN_IA11)</f>
        <v>0.22278102319618928</v>
      </c>
      <c r="E29" s="454">
        <f t="shared" si="2"/>
        <v>-2.019459019409886E-2</v>
      </c>
      <c r="F29" s="449">
        <f t="shared" si="3"/>
        <v>-8.3113650429027158E-2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648</v>
      </c>
      <c r="C30" s="453">
        <f>IF(C15=0,0,C27/C15)</f>
        <v>1.4544690366315749</v>
      </c>
      <c r="D30" s="453">
        <f>IF(LN_IA1=0,0,LN_IA11/LN_IA1)</f>
        <v>1.9153309906120641</v>
      </c>
      <c r="E30" s="454">
        <f t="shared" si="2"/>
        <v>0.46086195398048924</v>
      </c>
      <c r="F30" s="449">
        <f t="shared" si="3"/>
        <v>0.31685924029555546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649</v>
      </c>
      <c r="C31" s="463">
        <f>C30*C18</f>
        <v>2431.8722292479933</v>
      </c>
      <c r="D31" s="463">
        <f>LN_IA14*LN_IA4</f>
        <v>2474.6076398707869</v>
      </c>
      <c r="E31" s="463">
        <f t="shared" si="2"/>
        <v>42.735410622793552</v>
      </c>
      <c r="F31" s="449">
        <f t="shared" si="3"/>
        <v>1.7573049319292815E-2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650</v>
      </c>
      <c r="C32" s="465">
        <f>IF(C31=0,0,C28/C31)</f>
        <v>4872.2074529647198</v>
      </c>
      <c r="D32" s="465">
        <f>IF(LN_IA15=0,0,LN_IA12/LN_IA15)</f>
        <v>4287.8118652191833</v>
      </c>
      <c r="E32" s="465">
        <f t="shared" si="2"/>
        <v>-584.39558774553643</v>
      </c>
      <c r="F32" s="449">
        <f t="shared" si="3"/>
        <v>-0.11994472595577471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651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652</v>
      </c>
      <c r="C35" s="448">
        <f>C15+C27</f>
        <v>82291867</v>
      </c>
      <c r="D35" s="448">
        <f>LN_IA1+LN_IA11</f>
        <v>72494976</v>
      </c>
      <c r="E35" s="448">
        <f>D35-C35</f>
        <v>-9796891</v>
      </c>
      <c r="F35" s="449">
        <f>IF(C35=0,0,E35/C35)</f>
        <v>-0.11905053752152689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653</v>
      </c>
      <c r="C36" s="448">
        <f>C16+C28</f>
        <v>33564927</v>
      </c>
      <c r="D36" s="448">
        <f>LN_IA2+LN_IA12</f>
        <v>26143702</v>
      </c>
      <c r="E36" s="448">
        <f>D36-C36</f>
        <v>-7421225</v>
      </c>
      <c r="F36" s="449">
        <f>IF(C36=0,0,E36/C36)</f>
        <v>-0.2211005851435339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654</v>
      </c>
      <c r="C37" s="448">
        <f>C35-C36</f>
        <v>48726940</v>
      </c>
      <c r="D37" s="448">
        <f>LN_IA17-LN_IA18</f>
        <v>46351274</v>
      </c>
      <c r="E37" s="448">
        <f>D37-C37</f>
        <v>-2375666</v>
      </c>
      <c r="F37" s="449">
        <f>IF(C37=0,0,E37/C37)</f>
        <v>-4.8754672466606766E-2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655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656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636</v>
      </c>
      <c r="C42" s="448">
        <v>7788735</v>
      </c>
      <c r="D42" s="448">
        <v>6003242</v>
      </c>
      <c r="E42" s="448">
        <f t="shared" ref="E42:E53" si="4">D42-C42</f>
        <v>-1785493</v>
      </c>
      <c r="F42" s="449">
        <f t="shared" ref="F42:F53" si="5">IF(C42=0,0,E42/C42)</f>
        <v>-0.22924043506423059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637</v>
      </c>
      <c r="C43" s="448">
        <v>5437065</v>
      </c>
      <c r="D43" s="448">
        <v>4367264</v>
      </c>
      <c r="E43" s="448">
        <f t="shared" si="4"/>
        <v>-1069801</v>
      </c>
      <c r="F43" s="449">
        <f t="shared" si="5"/>
        <v>-0.19676075235444124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638</v>
      </c>
      <c r="C44" s="453">
        <f>IF(C42=0,0,C43/C42)</f>
        <v>0.69806778636068634</v>
      </c>
      <c r="D44" s="453">
        <f>IF(LN_IB1=0,0,LN_IB2/LN_IB1)</f>
        <v>0.72748424934393785</v>
      </c>
      <c r="E44" s="454">
        <f t="shared" si="4"/>
        <v>2.9416462983251512E-2</v>
      </c>
      <c r="F44" s="449">
        <f t="shared" si="5"/>
        <v>4.2139837359651842E-2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559</v>
      </c>
      <c r="D45" s="456">
        <v>408</v>
      </c>
      <c r="E45" s="456">
        <f t="shared" si="4"/>
        <v>-151</v>
      </c>
      <c r="F45" s="449">
        <f t="shared" si="5"/>
        <v>-0.2701252236135957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639</v>
      </c>
      <c r="C46" s="459">
        <v>1.05813</v>
      </c>
      <c r="D46" s="459">
        <v>1.1956</v>
      </c>
      <c r="E46" s="460">
        <f t="shared" si="4"/>
        <v>0.13746999999999998</v>
      </c>
      <c r="F46" s="449">
        <f t="shared" si="5"/>
        <v>0.1299178739852381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640</v>
      </c>
      <c r="C47" s="463">
        <f>C45*C46</f>
        <v>591.49467000000004</v>
      </c>
      <c r="D47" s="463">
        <f>LN_IB4*LN_IB5</f>
        <v>487.8048</v>
      </c>
      <c r="E47" s="463">
        <f t="shared" si="4"/>
        <v>-103.68987000000004</v>
      </c>
      <c r="F47" s="449">
        <f t="shared" si="5"/>
        <v>-0.17530144439002304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641</v>
      </c>
      <c r="C48" s="465">
        <f>IF(C47=0,0,C43/C47)</f>
        <v>9192.0777578604375</v>
      </c>
      <c r="D48" s="465">
        <f>IF(LN_IB6=0,0,LN_IB2/LN_IB6)</f>
        <v>8952.892632462821</v>
      </c>
      <c r="E48" s="465">
        <f t="shared" si="4"/>
        <v>-239.1851253976165</v>
      </c>
      <c r="F48" s="449">
        <f t="shared" si="5"/>
        <v>-2.6020790043152289E-2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657</v>
      </c>
      <c r="C49" s="465">
        <f>C21-C48</f>
        <v>-18.488961973655023</v>
      </c>
      <c r="D49" s="465">
        <f>LN_IA7-LN_IB7</f>
        <v>-544.26716552116704</v>
      </c>
      <c r="E49" s="465">
        <f t="shared" si="4"/>
        <v>-525.77820354751202</v>
      </c>
      <c r="F49" s="449">
        <f t="shared" si="5"/>
        <v>28.43741061811339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658</v>
      </c>
      <c r="C50" s="479">
        <f>C49*C47</f>
        <v>-10936.122461249628</v>
      </c>
      <c r="D50" s="479">
        <f>LN_IB8*LN_IB6</f>
        <v>-265496.13582361978</v>
      </c>
      <c r="E50" s="479">
        <f t="shared" si="4"/>
        <v>-254560.01336237017</v>
      </c>
      <c r="F50" s="449">
        <f t="shared" si="5"/>
        <v>23.276990017655908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1980</v>
      </c>
      <c r="D51" s="456">
        <v>1334</v>
      </c>
      <c r="E51" s="456">
        <f t="shared" si="4"/>
        <v>-646</v>
      </c>
      <c r="F51" s="449">
        <f t="shared" si="5"/>
        <v>-0.32626262626262625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642</v>
      </c>
      <c r="C52" s="465">
        <f>IF(C51=0,0,C43/C51)</f>
        <v>2745.992424242424</v>
      </c>
      <c r="D52" s="465">
        <f>IF(LN_IB10=0,0,LN_IB2/LN_IB10)</f>
        <v>3273.8110944527734</v>
      </c>
      <c r="E52" s="465">
        <f t="shared" si="4"/>
        <v>527.81867021034941</v>
      </c>
      <c r="F52" s="449">
        <f t="shared" si="5"/>
        <v>0.19221417566582188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643</v>
      </c>
      <c r="C53" s="466">
        <f>IF(C45=0,0,C51/C45)</f>
        <v>3.5420393559928445</v>
      </c>
      <c r="D53" s="466">
        <f>IF(LN_IB4=0,0,LN_IB10/LN_IB4)</f>
        <v>3.2696078431372548</v>
      </c>
      <c r="E53" s="466">
        <f t="shared" si="4"/>
        <v>-0.27243151285558964</v>
      </c>
      <c r="F53" s="449">
        <f t="shared" si="5"/>
        <v>-7.691374529609829E-2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659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645</v>
      </c>
      <c r="C56" s="448">
        <v>54381095</v>
      </c>
      <c r="D56" s="448">
        <v>52002681</v>
      </c>
      <c r="E56" s="448">
        <f t="shared" ref="E56:E63" si="6">D56-C56</f>
        <v>-2378414</v>
      </c>
      <c r="F56" s="449">
        <f t="shared" ref="F56:F63" si="7">IF(C56=0,0,E56/C56)</f>
        <v>-4.3736044667728742E-2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646</v>
      </c>
      <c r="C57" s="448">
        <v>27983868</v>
      </c>
      <c r="D57" s="448">
        <v>26725246</v>
      </c>
      <c r="E57" s="448">
        <f t="shared" si="6"/>
        <v>-1258622</v>
      </c>
      <c r="F57" s="449">
        <f t="shared" si="7"/>
        <v>-4.4976698717989948E-2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647</v>
      </c>
      <c r="C58" s="453">
        <f>IF(C56=0,0,C57/C56)</f>
        <v>0.51458816708269661</v>
      </c>
      <c r="D58" s="453">
        <f>IF(LN_IB13=0,0,LN_IB14/LN_IB13)</f>
        <v>0.51392054190436831</v>
      </c>
      <c r="E58" s="454">
        <f t="shared" si="6"/>
        <v>-6.6762517832830159E-4</v>
      </c>
      <c r="F58" s="449">
        <f t="shared" si="7"/>
        <v>-1.2973970663048909E-3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648</v>
      </c>
      <c r="C59" s="453">
        <f>IF(C42=0,0,C56/C42)</f>
        <v>6.9820189029412347</v>
      </c>
      <c r="D59" s="453">
        <f>IF(LN_IB1=0,0,LN_IB13/LN_IB1)</f>
        <v>8.6624328987570376</v>
      </c>
      <c r="E59" s="454">
        <f t="shared" si="6"/>
        <v>1.6804139958158029</v>
      </c>
      <c r="F59" s="449">
        <f t="shared" si="7"/>
        <v>0.24067737701310352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649</v>
      </c>
      <c r="C60" s="463">
        <f>C59*C45</f>
        <v>3902.9485667441504</v>
      </c>
      <c r="D60" s="463">
        <f>LN_IB16*LN_IB4</f>
        <v>3534.2726226928712</v>
      </c>
      <c r="E60" s="463">
        <f t="shared" si="6"/>
        <v>-368.6759440512792</v>
      </c>
      <c r="F60" s="449">
        <f t="shared" si="7"/>
        <v>-9.4460876884890549E-2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650</v>
      </c>
      <c r="C61" s="465">
        <f>IF(C60=0,0,C57/C60)</f>
        <v>7169.9299956043778</v>
      </c>
      <c r="D61" s="465">
        <f>IF(LN_IB17=0,0,LN_IB14/LN_IB17)</f>
        <v>7561.7386809388836</v>
      </c>
      <c r="E61" s="465">
        <f t="shared" si="6"/>
        <v>391.80868533450575</v>
      </c>
      <c r="F61" s="449">
        <f t="shared" si="7"/>
        <v>5.4646096346088364E-2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660</v>
      </c>
      <c r="C62" s="465">
        <f>C32-C61</f>
        <v>-2297.7225426396581</v>
      </c>
      <c r="D62" s="465">
        <f>LN_IA16-LN_IB18</f>
        <v>-3273.9268157197002</v>
      </c>
      <c r="E62" s="465">
        <f t="shared" si="6"/>
        <v>-976.20427308004219</v>
      </c>
      <c r="F62" s="449">
        <f t="shared" si="7"/>
        <v>0.42485733371382783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661</v>
      </c>
      <c r="C63" s="448">
        <f>C62*C60</f>
        <v>-8967892.9045711793</v>
      </c>
      <c r="D63" s="448">
        <f>LN_IB19*LN_IB17</f>
        <v>-11570949.913498186</v>
      </c>
      <c r="E63" s="448">
        <f t="shared" si="6"/>
        <v>-2603057.0089270063</v>
      </c>
      <c r="F63" s="449">
        <f t="shared" si="7"/>
        <v>0.29026406053535242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662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652</v>
      </c>
      <c r="C66" s="448">
        <f>C42+C56</f>
        <v>62169830</v>
      </c>
      <c r="D66" s="448">
        <f>LN_IB1+LN_IB13</f>
        <v>58005923</v>
      </c>
      <c r="E66" s="448">
        <f>D66-C66</f>
        <v>-4163907</v>
      </c>
      <c r="F66" s="449">
        <f>IF(C66=0,0,E66/C66)</f>
        <v>-6.6976329193758455E-2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653</v>
      </c>
      <c r="C67" s="448">
        <f>C43+C57</f>
        <v>33420933</v>
      </c>
      <c r="D67" s="448">
        <f>LN_IB2+LN_IB14</f>
        <v>31092510</v>
      </c>
      <c r="E67" s="448">
        <f>D67-C67</f>
        <v>-2328423</v>
      </c>
      <c r="F67" s="449">
        <f>IF(C67=0,0,E67/C67)</f>
        <v>-6.9669598990548823E-2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654</v>
      </c>
      <c r="C68" s="448">
        <f>C66-C67</f>
        <v>28748897</v>
      </c>
      <c r="D68" s="448">
        <f>LN_IB21-LN_IB22</f>
        <v>26913413</v>
      </c>
      <c r="E68" s="448">
        <f>D68-C68</f>
        <v>-1835484</v>
      </c>
      <c r="F68" s="449">
        <f>IF(C68=0,0,E68/C68)</f>
        <v>-6.3845371180675209E-2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663</v>
      </c>
      <c r="C70" s="441">
        <f>C50+C63</f>
        <v>-8978829.0270324294</v>
      </c>
      <c r="D70" s="441">
        <f>LN_IB9+LN_IB20</f>
        <v>-11836446.049321806</v>
      </c>
      <c r="E70" s="448">
        <f>D70-C70</f>
        <v>-2857617.0222893767</v>
      </c>
      <c r="F70" s="449">
        <f>IF(C70=0,0,E70/C70)</f>
        <v>0.3182616590299237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664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665</v>
      </c>
      <c r="C73" s="488">
        <v>52910924</v>
      </c>
      <c r="D73" s="488">
        <v>50704078</v>
      </c>
      <c r="E73" s="488">
        <f>D73-C73</f>
        <v>-2206846</v>
      </c>
      <c r="F73" s="489">
        <f>IF(C73=0,0,E73/C73)</f>
        <v>-4.1708702724601823E-2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666</v>
      </c>
      <c r="C74" s="488">
        <v>33320156</v>
      </c>
      <c r="D74" s="488">
        <v>30983089</v>
      </c>
      <c r="E74" s="488">
        <f>D74-C74</f>
        <v>-2337067</v>
      </c>
      <c r="F74" s="489">
        <f>IF(C74=0,0,E74/C74)</f>
        <v>-7.0139737641084277E-2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667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668</v>
      </c>
      <c r="C76" s="441">
        <f>C73-C74</f>
        <v>19590768</v>
      </c>
      <c r="D76" s="441">
        <f>LN_IB32-LN_IB33</f>
        <v>19720989</v>
      </c>
      <c r="E76" s="488">
        <f>D76-C76</f>
        <v>130221</v>
      </c>
      <c r="F76" s="489">
        <f>IF(E76=0,0,E76/C76)</f>
        <v>6.6470594720942026E-3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669</v>
      </c>
      <c r="C77" s="453">
        <f>IF(C73=0,0,C76/C73)</f>
        <v>0.37025941939702284</v>
      </c>
      <c r="D77" s="453">
        <f>IF(LN_IB32=0,0,LN_IB34/LN_IB32)</f>
        <v>0.38894285781116067</v>
      </c>
      <c r="E77" s="493">
        <f>D77-C77</f>
        <v>1.8683438414137832E-2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670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671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636</v>
      </c>
      <c r="C83" s="448">
        <v>682220</v>
      </c>
      <c r="D83" s="448">
        <v>410434</v>
      </c>
      <c r="E83" s="448">
        <f t="shared" ref="E83:E95" si="8">D83-C83</f>
        <v>-271786</v>
      </c>
      <c r="F83" s="449">
        <f t="shared" ref="F83:F95" si="9">IF(C83=0,0,E83/C83)</f>
        <v>-0.3983846852921345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637</v>
      </c>
      <c r="C84" s="448">
        <v>17775</v>
      </c>
      <c r="D84" s="448">
        <v>22621</v>
      </c>
      <c r="E84" s="448">
        <f t="shared" si="8"/>
        <v>4846</v>
      </c>
      <c r="F84" s="449">
        <f t="shared" si="9"/>
        <v>0.27263009845288327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638</v>
      </c>
      <c r="C85" s="453">
        <f>IF(C83=0,0,C84/C83)</f>
        <v>2.605464512913723E-2</v>
      </c>
      <c r="D85" s="453">
        <f>IF(LN_IC1=0,0,LN_IC2/LN_IC1)</f>
        <v>5.5114829668107421E-2</v>
      </c>
      <c r="E85" s="454">
        <f t="shared" si="8"/>
        <v>2.9060184538970191E-2</v>
      </c>
      <c r="F85" s="449">
        <f t="shared" si="9"/>
        <v>1.115355223413572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26</v>
      </c>
      <c r="D86" s="456">
        <v>34</v>
      </c>
      <c r="E86" s="456">
        <f t="shared" si="8"/>
        <v>8</v>
      </c>
      <c r="F86" s="449">
        <f t="shared" si="9"/>
        <v>0.30769230769230771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639</v>
      </c>
      <c r="C87" s="459">
        <v>1.06321</v>
      </c>
      <c r="D87" s="459">
        <v>0.98675000000000002</v>
      </c>
      <c r="E87" s="460">
        <f t="shared" si="8"/>
        <v>-7.6459999999999972E-2</v>
      </c>
      <c r="F87" s="449">
        <f t="shared" si="9"/>
        <v>-7.1914297269589242E-2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640</v>
      </c>
      <c r="C88" s="463">
        <f>C86*C87</f>
        <v>27.643460000000001</v>
      </c>
      <c r="D88" s="463">
        <f>LN_IC4*LN_IC5</f>
        <v>33.549500000000002</v>
      </c>
      <c r="E88" s="463">
        <f t="shared" si="8"/>
        <v>5.9060400000000008</v>
      </c>
      <c r="F88" s="449">
        <f t="shared" si="9"/>
        <v>0.21365053433976791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641</v>
      </c>
      <c r="C89" s="465">
        <f>IF(C88=0,0,C84/C88)</f>
        <v>643.00923256350688</v>
      </c>
      <c r="D89" s="465">
        <f>IF(LN_IC6=0,0,LN_IC2/LN_IC6)</f>
        <v>674.25744049836806</v>
      </c>
      <c r="E89" s="465">
        <f t="shared" si="8"/>
        <v>31.248207934861171</v>
      </c>
      <c r="F89" s="449">
        <f t="shared" si="9"/>
        <v>4.8596826223292117E-2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672</v>
      </c>
      <c r="C90" s="465">
        <f>C48-C89</f>
        <v>8549.0685252969306</v>
      </c>
      <c r="D90" s="465">
        <f>LN_IB7-LN_IC7</f>
        <v>8278.635191964453</v>
      </c>
      <c r="E90" s="465">
        <f t="shared" si="8"/>
        <v>-270.43333333247756</v>
      </c>
      <c r="F90" s="449">
        <f t="shared" si="9"/>
        <v>-3.1633075876308377E-2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673</v>
      </c>
      <c r="C91" s="465">
        <f>C21-C89</f>
        <v>8530.5795633232756</v>
      </c>
      <c r="D91" s="465">
        <f>LN_IA7-LN_IC7</f>
        <v>7734.368026443286</v>
      </c>
      <c r="E91" s="465">
        <f t="shared" si="8"/>
        <v>-796.21153687998958</v>
      </c>
      <c r="F91" s="449">
        <f t="shared" si="9"/>
        <v>-9.3336159749714334E-2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658</v>
      </c>
      <c r="C92" s="441">
        <f>C91*C88</f>
        <v>235814.73493554443</v>
      </c>
      <c r="D92" s="441">
        <f>LN_IC9*LN_IC6</f>
        <v>259484.18010315904</v>
      </c>
      <c r="E92" s="441">
        <f t="shared" si="8"/>
        <v>23669.445167614613</v>
      </c>
      <c r="F92" s="449">
        <f t="shared" si="9"/>
        <v>0.10037305418630525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328</v>
      </c>
      <c r="D93" s="456">
        <v>84</v>
      </c>
      <c r="E93" s="456">
        <f t="shared" si="8"/>
        <v>-244</v>
      </c>
      <c r="F93" s="449">
        <f t="shared" si="9"/>
        <v>-0.74390243902439024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642</v>
      </c>
      <c r="C94" s="499">
        <f>IF(C93=0,0,C84/C93)</f>
        <v>54.19207317073171</v>
      </c>
      <c r="D94" s="499">
        <f>IF(LN_IC11=0,0,LN_IC2/LN_IC11)</f>
        <v>269.29761904761904</v>
      </c>
      <c r="E94" s="499">
        <f t="shared" si="8"/>
        <v>215.10554587688733</v>
      </c>
      <c r="F94" s="449">
        <f t="shared" si="9"/>
        <v>3.9693175272922105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643</v>
      </c>
      <c r="C95" s="466">
        <f>IF(C86=0,0,C93/C86)</f>
        <v>12.615384615384615</v>
      </c>
      <c r="D95" s="466">
        <f>IF(LN_IC4=0,0,LN_IC11/LN_IC4)</f>
        <v>2.4705882352941178</v>
      </c>
      <c r="E95" s="466">
        <f t="shared" si="8"/>
        <v>-10.144796380090497</v>
      </c>
      <c r="F95" s="449">
        <f t="shared" si="9"/>
        <v>-0.80416068866571022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674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645</v>
      </c>
      <c r="C98" s="448">
        <v>3214853</v>
      </c>
      <c r="D98" s="448">
        <v>3234578</v>
      </c>
      <c r="E98" s="448">
        <f t="shared" ref="E98:E106" si="10">D98-C98</f>
        <v>19725</v>
      </c>
      <c r="F98" s="449">
        <f t="shared" ref="F98:F106" si="11">IF(C98=0,0,E98/C98)</f>
        <v>6.1355838042983614E-3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646</v>
      </c>
      <c r="C99" s="448">
        <v>85585</v>
      </c>
      <c r="D99" s="448">
        <v>86800</v>
      </c>
      <c r="E99" s="448">
        <f t="shared" si="10"/>
        <v>1215</v>
      </c>
      <c r="F99" s="449">
        <f t="shared" si="11"/>
        <v>1.4196412922825261E-2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647</v>
      </c>
      <c r="C100" s="453">
        <f>IF(C98=0,0,C99/C98)</f>
        <v>2.6621746002072257E-2</v>
      </c>
      <c r="D100" s="453">
        <f>IF(LN_IC14=0,0,LN_IC15/LN_IC14)</f>
        <v>2.6835030721163625E-2</v>
      </c>
      <c r="E100" s="454">
        <f t="shared" si="10"/>
        <v>2.132847190913674E-4</v>
      </c>
      <c r="F100" s="449">
        <f t="shared" si="11"/>
        <v>8.0116728284750794E-3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648</v>
      </c>
      <c r="C101" s="453">
        <f>IF(C83=0,0,C98/C83)</f>
        <v>4.7123405939433027</v>
      </c>
      <c r="D101" s="453">
        <f>IF(LN_IC1=0,0,LN_IC14/LN_IC1)</f>
        <v>7.8808724423415217</v>
      </c>
      <c r="E101" s="454">
        <f t="shared" si="10"/>
        <v>3.168531848398219</v>
      </c>
      <c r="F101" s="449">
        <f t="shared" si="11"/>
        <v>0.67239024540600545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649</v>
      </c>
      <c r="C102" s="463">
        <f>C101*C86</f>
        <v>122.52085544252587</v>
      </c>
      <c r="D102" s="463">
        <f>LN_IC17*LN_IC4</f>
        <v>267.94966303961172</v>
      </c>
      <c r="E102" s="463">
        <f t="shared" si="10"/>
        <v>145.42880759708584</v>
      </c>
      <c r="F102" s="449">
        <f t="shared" si="11"/>
        <v>1.1869718593770839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650</v>
      </c>
      <c r="C103" s="465">
        <f>IF(C102=0,0,C99/C102)</f>
        <v>698.53413682822054</v>
      </c>
      <c r="D103" s="465">
        <f>IF(LN_IC18=0,0,LN_IC15/LN_IC18)</f>
        <v>323.94144114735508</v>
      </c>
      <c r="E103" s="465">
        <f t="shared" si="10"/>
        <v>-374.59269568086546</v>
      </c>
      <c r="F103" s="449">
        <f t="shared" si="11"/>
        <v>-0.53625538958160202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675</v>
      </c>
      <c r="C104" s="465">
        <f>C61-C103</f>
        <v>6471.3958587761572</v>
      </c>
      <c r="D104" s="465">
        <f>LN_IB18-LN_IC19</f>
        <v>7237.7972397915282</v>
      </c>
      <c r="E104" s="465">
        <f t="shared" si="10"/>
        <v>766.40138101537104</v>
      </c>
      <c r="F104" s="449">
        <f t="shared" si="11"/>
        <v>0.11842906812384517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676</v>
      </c>
      <c r="C105" s="465">
        <f>C32-C103</f>
        <v>4173.6733161364991</v>
      </c>
      <c r="D105" s="465">
        <f>LN_IA16-LN_IC19</f>
        <v>3963.8704240718284</v>
      </c>
      <c r="E105" s="465">
        <f t="shared" si="10"/>
        <v>-209.80289206467069</v>
      </c>
      <c r="F105" s="449">
        <f t="shared" si="11"/>
        <v>-5.026816335948444E-2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661</v>
      </c>
      <c r="C106" s="448">
        <f>C105*C102</f>
        <v>511362.02503068757</v>
      </c>
      <c r="D106" s="448">
        <f>LN_IC21*LN_IC18</f>
        <v>1062117.7444627292</v>
      </c>
      <c r="E106" s="448">
        <f t="shared" si="10"/>
        <v>550755.71943204163</v>
      </c>
      <c r="F106" s="449">
        <f t="shared" si="11"/>
        <v>1.0770368006873212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677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652</v>
      </c>
      <c r="C109" s="448">
        <f>C83+C98</f>
        <v>3897073</v>
      </c>
      <c r="D109" s="448">
        <f>LN_IC1+LN_IC14</f>
        <v>3645012</v>
      </c>
      <c r="E109" s="448">
        <f>D109-C109</f>
        <v>-252061</v>
      </c>
      <c r="F109" s="449">
        <f>IF(C109=0,0,E109/C109)</f>
        <v>-6.4679568486399927E-2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653</v>
      </c>
      <c r="C110" s="448">
        <f>C84+C99</f>
        <v>103360</v>
      </c>
      <c r="D110" s="448">
        <f>LN_IC2+LN_IC15</f>
        <v>109421</v>
      </c>
      <c r="E110" s="448">
        <f>D110-C110</f>
        <v>6061</v>
      </c>
      <c r="F110" s="449">
        <f>IF(C110=0,0,E110/C110)</f>
        <v>5.8639705882352941E-2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654</v>
      </c>
      <c r="C111" s="448">
        <f>C109-C110</f>
        <v>3793713</v>
      </c>
      <c r="D111" s="448">
        <f>LN_IC23-LN_IC24</f>
        <v>3535591</v>
      </c>
      <c r="E111" s="448">
        <f>D111-C111</f>
        <v>-258122</v>
      </c>
      <c r="F111" s="449">
        <f>IF(C111=0,0,E111/C111)</f>
        <v>-6.8039411521114007E-2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663</v>
      </c>
      <c r="C113" s="448">
        <f>C92+C106</f>
        <v>747176.759966232</v>
      </c>
      <c r="D113" s="448">
        <f>LN_IC10+LN_IC22</f>
        <v>1321601.9245658882</v>
      </c>
      <c r="E113" s="448">
        <f>D113-C113</f>
        <v>574425.16459965624</v>
      </c>
      <c r="F113" s="449">
        <f>IF(C113=0,0,E113/C113)</f>
        <v>0.76879420690977718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678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679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636</v>
      </c>
      <c r="C118" s="448">
        <v>9198117</v>
      </c>
      <c r="D118" s="448">
        <v>5861443</v>
      </c>
      <c r="E118" s="448">
        <f t="shared" ref="E118:E130" si="12">D118-C118</f>
        <v>-3336674</v>
      </c>
      <c r="F118" s="449">
        <f t="shared" ref="F118:F130" si="13">IF(C118=0,0,E118/C118)</f>
        <v>-0.36275620325333979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637</v>
      </c>
      <c r="C119" s="448">
        <v>3515603</v>
      </c>
      <c r="D119" s="448">
        <v>2212190</v>
      </c>
      <c r="E119" s="448">
        <f t="shared" si="12"/>
        <v>-1303413</v>
      </c>
      <c r="F119" s="449">
        <f t="shared" si="13"/>
        <v>-0.37075090674345196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638</v>
      </c>
      <c r="C120" s="453">
        <f>IF(C118=0,0,C119/C118)</f>
        <v>0.38220898907896039</v>
      </c>
      <c r="D120" s="453">
        <f>IF(LN_ID1=0,0,LN_1D2/LN_ID1)</f>
        <v>0.37741388937843462</v>
      </c>
      <c r="E120" s="454">
        <f t="shared" si="12"/>
        <v>-4.7950997005257734E-3</v>
      </c>
      <c r="F120" s="449">
        <f t="shared" si="13"/>
        <v>-1.2545753337934069E-2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637</v>
      </c>
      <c r="D121" s="456">
        <v>512</v>
      </c>
      <c r="E121" s="456">
        <f t="shared" si="12"/>
        <v>-125</v>
      </c>
      <c r="F121" s="449">
        <f t="shared" si="13"/>
        <v>-0.19623233908948196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639</v>
      </c>
      <c r="C122" s="459">
        <v>1.00946</v>
      </c>
      <c r="D122" s="459">
        <v>0.97394999999999998</v>
      </c>
      <c r="E122" s="460">
        <f t="shared" si="12"/>
        <v>-3.5510000000000042E-2</v>
      </c>
      <c r="F122" s="449">
        <f t="shared" si="13"/>
        <v>-3.517722346601157E-2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640</v>
      </c>
      <c r="C123" s="463">
        <f>C121*C122</f>
        <v>643.02602000000002</v>
      </c>
      <c r="D123" s="463">
        <f>LN_ID4*LN_ID5</f>
        <v>498.66239999999999</v>
      </c>
      <c r="E123" s="463">
        <f t="shared" si="12"/>
        <v>-144.36362000000003</v>
      </c>
      <c r="F123" s="449">
        <f t="shared" si="13"/>
        <v>-0.22450665371208467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641</v>
      </c>
      <c r="C124" s="465">
        <f>IF(C123=0,0,C119/C123)</f>
        <v>5467.2795355932876</v>
      </c>
      <c r="D124" s="465">
        <f>IF(LN_ID6=0,0,LN_1D2/LN_ID6)</f>
        <v>4436.2478502489857</v>
      </c>
      <c r="E124" s="465">
        <f t="shared" si="12"/>
        <v>-1031.0316853443019</v>
      </c>
      <c r="F124" s="449">
        <f t="shared" si="13"/>
        <v>-0.18858221509107789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680</v>
      </c>
      <c r="C125" s="465">
        <f>C48-C124</f>
        <v>3724.7982222671499</v>
      </c>
      <c r="D125" s="465">
        <f>LN_IB7-LN_ID7</f>
        <v>4516.6447822138352</v>
      </c>
      <c r="E125" s="465">
        <f t="shared" si="12"/>
        <v>791.84655994668537</v>
      </c>
      <c r="F125" s="449">
        <f t="shared" si="13"/>
        <v>0.21258777326861938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681</v>
      </c>
      <c r="C126" s="465">
        <f>C21-C124</f>
        <v>3706.3092602934948</v>
      </c>
      <c r="D126" s="465">
        <f>LN_IA7-LN_ID7</f>
        <v>3972.3776166926682</v>
      </c>
      <c r="E126" s="465">
        <f t="shared" si="12"/>
        <v>266.06835639917335</v>
      </c>
      <c r="F126" s="449">
        <f t="shared" si="13"/>
        <v>7.1787953382525874E-2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658</v>
      </c>
      <c r="C127" s="479">
        <f>C126*C123</f>
        <v>2383253.2925356701</v>
      </c>
      <c r="D127" s="479">
        <f>LN_ID9*LN_ID6</f>
        <v>1980875.3560462459</v>
      </c>
      <c r="E127" s="479">
        <f t="shared" si="12"/>
        <v>-402377.9364894242</v>
      </c>
      <c r="F127" s="449">
        <f t="shared" si="13"/>
        <v>-0.16883557352030881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2324</v>
      </c>
      <c r="D128" s="456">
        <v>1476</v>
      </c>
      <c r="E128" s="456">
        <f t="shared" si="12"/>
        <v>-848</v>
      </c>
      <c r="F128" s="449">
        <f t="shared" si="13"/>
        <v>-0.3648881239242685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642</v>
      </c>
      <c r="C129" s="465">
        <f>IF(C128=0,0,C119/C128)</f>
        <v>1512.7379518072289</v>
      </c>
      <c r="D129" s="465">
        <f>IF(LN_ID11=0,0,LN_1D2/LN_ID11)</f>
        <v>1498.7737127371274</v>
      </c>
      <c r="E129" s="465">
        <f t="shared" si="12"/>
        <v>-13.964239070101485</v>
      </c>
      <c r="F129" s="449">
        <f t="shared" si="13"/>
        <v>-9.231102487657409E-3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643</v>
      </c>
      <c r="C130" s="466">
        <f>IF(C121=0,0,C128/C121)</f>
        <v>3.6483516483516483</v>
      </c>
      <c r="D130" s="466">
        <f>IF(LN_ID4=0,0,LN_ID11/LN_ID4)</f>
        <v>2.8828125</v>
      </c>
      <c r="E130" s="466">
        <f t="shared" si="12"/>
        <v>-0.76553914835164827</v>
      </c>
      <c r="F130" s="449">
        <f t="shared" si="13"/>
        <v>-0.20983151355421684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682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645</v>
      </c>
      <c r="C133" s="448">
        <v>41189359</v>
      </c>
      <c r="D133" s="448">
        <v>37639187</v>
      </c>
      <c r="E133" s="448">
        <f t="shared" ref="E133:E141" si="14">D133-C133</f>
        <v>-3550172</v>
      </c>
      <c r="F133" s="449">
        <f t="shared" ref="F133:F141" si="15">IF(C133=0,0,E133/C133)</f>
        <v>-8.6191484553085659E-2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646</v>
      </c>
      <c r="C134" s="448">
        <v>8669686</v>
      </c>
      <c r="D134" s="448">
        <v>8025624</v>
      </c>
      <c r="E134" s="448">
        <f t="shared" si="14"/>
        <v>-644062</v>
      </c>
      <c r="F134" s="449">
        <f t="shared" si="15"/>
        <v>-7.4288965021339873E-2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647</v>
      </c>
      <c r="C135" s="453">
        <f>IF(C133=0,0,C134/C133)</f>
        <v>0.21048363486307228</v>
      </c>
      <c r="D135" s="453">
        <f>IF(LN_ID14=0,0,LN_ID15/LN_ID14)</f>
        <v>0.2132252218944049</v>
      </c>
      <c r="E135" s="454">
        <f t="shared" si="14"/>
        <v>2.7415870313326207E-3</v>
      </c>
      <c r="F135" s="449">
        <f t="shared" si="15"/>
        <v>1.3025179050694981E-2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648</v>
      </c>
      <c r="C136" s="453">
        <f>IF(C118=0,0,C133/C118)</f>
        <v>4.4780207731647685</v>
      </c>
      <c r="D136" s="453">
        <f>IF(LN_ID1=0,0,LN_ID14/LN_ID1)</f>
        <v>6.4214881898535907</v>
      </c>
      <c r="E136" s="454">
        <f t="shared" si="14"/>
        <v>1.9434674166888222</v>
      </c>
      <c r="F136" s="449">
        <f t="shared" si="15"/>
        <v>0.43400142945636855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649</v>
      </c>
      <c r="C137" s="463">
        <f>C136*C121</f>
        <v>2852.4992325059575</v>
      </c>
      <c r="D137" s="463">
        <f>LN_ID17*LN_ID4</f>
        <v>3287.8019532050384</v>
      </c>
      <c r="E137" s="463">
        <f t="shared" si="14"/>
        <v>435.30272069908096</v>
      </c>
      <c r="F137" s="449">
        <f t="shared" si="15"/>
        <v>0.15260397469648462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650</v>
      </c>
      <c r="C138" s="465">
        <f>IF(C137=0,0,C134/C137)</f>
        <v>3039.3298274031677</v>
      </c>
      <c r="D138" s="465">
        <f>IF(LN_ID18=0,0,LN_ID15/LN_ID18)</f>
        <v>2441.0302427664187</v>
      </c>
      <c r="E138" s="465">
        <f t="shared" si="14"/>
        <v>-598.29958463674893</v>
      </c>
      <c r="F138" s="449">
        <f t="shared" si="15"/>
        <v>-0.19685247031841285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683</v>
      </c>
      <c r="C139" s="465">
        <f>C61-C138</f>
        <v>4130.6001682012102</v>
      </c>
      <c r="D139" s="465">
        <f>LN_IB18-LN_ID19</f>
        <v>5120.7084381724653</v>
      </c>
      <c r="E139" s="465">
        <f t="shared" si="14"/>
        <v>990.10826997125514</v>
      </c>
      <c r="F139" s="449">
        <f t="shared" si="15"/>
        <v>0.23970082546198765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684</v>
      </c>
      <c r="C140" s="465">
        <f>C32-C138</f>
        <v>1832.8776255615521</v>
      </c>
      <c r="D140" s="465">
        <f>LN_IA16-LN_ID19</f>
        <v>1846.7816224527646</v>
      </c>
      <c r="E140" s="465">
        <f t="shared" si="14"/>
        <v>13.9039968912125</v>
      </c>
      <c r="F140" s="449">
        <f t="shared" si="15"/>
        <v>7.5858839113454894E-3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661</v>
      </c>
      <c r="C141" s="441">
        <f>C140*C137</f>
        <v>5228282.0201916695</v>
      </c>
      <c r="D141" s="441">
        <f>LN_ID21*LN_ID18</f>
        <v>6071852.2254433697</v>
      </c>
      <c r="E141" s="441">
        <f t="shared" si="14"/>
        <v>843570.20525170024</v>
      </c>
      <c r="F141" s="449">
        <f t="shared" si="15"/>
        <v>0.16134749464428755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685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652</v>
      </c>
      <c r="C144" s="448">
        <f>C118+C133</f>
        <v>50387476</v>
      </c>
      <c r="D144" s="448">
        <f>LN_ID1+LN_ID14</f>
        <v>43500630</v>
      </c>
      <c r="E144" s="448">
        <f>D144-C144</f>
        <v>-6886846</v>
      </c>
      <c r="F144" s="449">
        <f>IF(C144=0,0,E144/C144)</f>
        <v>-0.13667773317321946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653</v>
      </c>
      <c r="C145" s="448">
        <f>C119+C134</f>
        <v>12185289</v>
      </c>
      <c r="D145" s="448">
        <f>LN_1D2+LN_ID15</f>
        <v>10237814</v>
      </c>
      <c r="E145" s="448">
        <f>D145-C145</f>
        <v>-1947475</v>
      </c>
      <c r="F145" s="449">
        <f>IF(C145=0,0,E145/C145)</f>
        <v>-0.15982181464879494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654</v>
      </c>
      <c r="C146" s="448">
        <f>C144-C145</f>
        <v>38202187</v>
      </c>
      <c r="D146" s="448">
        <f>LN_ID23-LN_ID24</f>
        <v>33262816</v>
      </c>
      <c r="E146" s="448">
        <f>D146-C146</f>
        <v>-4939371</v>
      </c>
      <c r="F146" s="449">
        <f>IF(C146=0,0,E146/C146)</f>
        <v>-0.12929550342235643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663</v>
      </c>
      <c r="C148" s="448">
        <f>C127+C141</f>
        <v>7611535.3127273396</v>
      </c>
      <c r="D148" s="448">
        <f>LN_ID10+LN_ID22</f>
        <v>8052727.5814896151</v>
      </c>
      <c r="E148" s="448">
        <f>D148-C148</f>
        <v>441192.26876227558</v>
      </c>
      <c r="F148" s="503">
        <f>IF(C148=0,0,E148/C148)</f>
        <v>5.7963636853205248E-2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686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687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636</v>
      </c>
      <c r="C153" s="448">
        <v>244844</v>
      </c>
      <c r="D153" s="448">
        <v>140087</v>
      </c>
      <c r="E153" s="448">
        <f t="shared" ref="E153:E165" si="16">D153-C153</f>
        <v>-104757</v>
      </c>
      <c r="F153" s="449">
        <f t="shared" ref="F153:F165" si="17">IF(C153=0,0,E153/C153)</f>
        <v>-0.4278520200617536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637</v>
      </c>
      <c r="C154" s="448">
        <v>159612</v>
      </c>
      <c r="D154" s="448">
        <v>48480</v>
      </c>
      <c r="E154" s="448">
        <f t="shared" si="16"/>
        <v>-111132</v>
      </c>
      <c r="F154" s="449">
        <f t="shared" si="17"/>
        <v>-0.69626343883918507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638</v>
      </c>
      <c r="C155" s="453">
        <f>IF(C153=0,0,C154/C153)</f>
        <v>0.65189263367695349</v>
      </c>
      <c r="D155" s="453">
        <f>IF(LN_IE1=0,0,LN_IE2/LN_IE1)</f>
        <v>0.34607065609228549</v>
      </c>
      <c r="E155" s="454">
        <f t="shared" si="16"/>
        <v>-0.305821977584668</v>
      </c>
      <c r="F155" s="449">
        <f t="shared" si="17"/>
        <v>-0.46912936545961742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17</v>
      </c>
      <c r="D156" s="506">
        <v>9</v>
      </c>
      <c r="E156" s="506">
        <f t="shared" si="16"/>
        <v>-8</v>
      </c>
      <c r="F156" s="449">
        <f t="shared" si="17"/>
        <v>-0.47058823529411764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639</v>
      </c>
      <c r="C157" s="459">
        <v>1.0807199999999999</v>
      </c>
      <c r="D157" s="459">
        <v>1.1191800000000001</v>
      </c>
      <c r="E157" s="460">
        <f t="shared" si="16"/>
        <v>3.8460000000000161E-2</v>
      </c>
      <c r="F157" s="449">
        <f t="shared" si="17"/>
        <v>3.5587386186986605E-2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640</v>
      </c>
      <c r="C158" s="463">
        <f>C156*C157</f>
        <v>18.372239999999998</v>
      </c>
      <c r="D158" s="463">
        <f>LN_IE4*LN_IE5</f>
        <v>10.072620000000001</v>
      </c>
      <c r="E158" s="463">
        <f t="shared" si="16"/>
        <v>-8.2996199999999973</v>
      </c>
      <c r="F158" s="449">
        <f t="shared" si="17"/>
        <v>-0.45174785437159531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641</v>
      </c>
      <c r="C159" s="465">
        <f>IF(C158=0,0,C154/C158)</f>
        <v>8687.6722707737335</v>
      </c>
      <c r="D159" s="465">
        <f>IF(LN_IE6=0,0,LN_IE2/LN_IE6)</f>
        <v>4813.0476479803665</v>
      </c>
      <c r="E159" s="465">
        <f t="shared" si="16"/>
        <v>-3874.6246227933671</v>
      </c>
      <c r="F159" s="449">
        <f t="shared" si="17"/>
        <v>-0.44599111269747388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688</v>
      </c>
      <c r="C160" s="465">
        <f>C48-C159</f>
        <v>504.40548708670394</v>
      </c>
      <c r="D160" s="465">
        <f>LN_IB7-LN_IE7</f>
        <v>4139.8449844824545</v>
      </c>
      <c r="E160" s="465">
        <f t="shared" si="16"/>
        <v>3635.4394973957505</v>
      </c>
      <c r="F160" s="449">
        <f t="shared" si="17"/>
        <v>7.2073749998101082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689</v>
      </c>
      <c r="C161" s="465">
        <f>C21-C159</f>
        <v>485.91652511304892</v>
      </c>
      <c r="D161" s="465">
        <f>LN_IA7-LN_IE7</f>
        <v>3595.5778189612874</v>
      </c>
      <c r="E161" s="465">
        <f t="shared" si="16"/>
        <v>3109.6612938482385</v>
      </c>
      <c r="F161" s="449">
        <f t="shared" si="17"/>
        <v>6.3995792139910721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658</v>
      </c>
      <c r="C162" s="479">
        <f>C161*C158</f>
        <v>8927.3750193429605</v>
      </c>
      <c r="D162" s="479">
        <f>LN_IE9*LN_IE6</f>
        <v>36216.889050825848</v>
      </c>
      <c r="E162" s="479">
        <f t="shared" si="16"/>
        <v>27289.51403148289</v>
      </c>
      <c r="F162" s="449">
        <f t="shared" si="17"/>
        <v>3.0568351808179499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56</v>
      </c>
      <c r="D163" s="456">
        <v>31</v>
      </c>
      <c r="E163" s="506">
        <f t="shared" si="16"/>
        <v>-25</v>
      </c>
      <c r="F163" s="449">
        <f t="shared" si="17"/>
        <v>-0.44642857142857145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642</v>
      </c>
      <c r="C164" s="465">
        <f>IF(C163=0,0,C154/C163)</f>
        <v>2850.2142857142858</v>
      </c>
      <c r="D164" s="465">
        <f>IF(LN_IE11=0,0,LN_IE2/LN_IE11)</f>
        <v>1563.8709677419354</v>
      </c>
      <c r="E164" s="465">
        <f t="shared" si="16"/>
        <v>-1286.3433179723504</v>
      </c>
      <c r="F164" s="449">
        <f t="shared" si="17"/>
        <v>-0.45131459919336653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643</v>
      </c>
      <c r="C165" s="466">
        <f>IF(C156=0,0,C163/C156)</f>
        <v>3.2941176470588234</v>
      </c>
      <c r="D165" s="466">
        <f>IF(LN_IE4=0,0,LN_IE11/LN_IE4)</f>
        <v>3.4444444444444446</v>
      </c>
      <c r="E165" s="466">
        <f t="shared" si="16"/>
        <v>0.15032679738562127</v>
      </c>
      <c r="F165" s="449">
        <f t="shared" si="17"/>
        <v>4.5634920634920743E-2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690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645</v>
      </c>
      <c r="C168" s="511">
        <v>431494</v>
      </c>
      <c r="D168" s="511">
        <v>451820</v>
      </c>
      <c r="E168" s="511">
        <f t="shared" ref="E168:E176" si="18">D168-C168</f>
        <v>20326</v>
      </c>
      <c r="F168" s="449">
        <f t="shared" ref="F168:F176" si="19">IF(C168=0,0,E168/C168)</f>
        <v>4.7106101127709771E-2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646</v>
      </c>
      <c r="C169" s="511">
        <v>54989</v>
      </c>
      <c r="D169" s="511">
        <v>41281</v>
      </c>
      <c r="E169" s="511">
        <f t="shared" si="18"/>
        <v>-13708</v>
      </c>
      <c r="F169" s="449">
        <f t="shared" si="19"/>
        <v>-0.24928622088053976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647</v>
      </c>
      <c r="C170" s="453">
        <f>IF(C168=0,0,C169/C168)</f>
        <v>0.12743862023573907</v>
      </c>
      <c r="D170" s="453">
        <f>IF(LN_IE14=0,0,LN_IE15/LN_IE14)</f>
        <v>9.1366030720198305E-2</v>
      </c>
      <c r="E170" s="454">
        <f t="shared" si="18"/>
        <v>-3.6072589515540765E-2</v>
      </c>
      <c r="F170" s="449">
        <f t="shared" si="19"/>
        <v>-0.28305853789701119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648</v>
      </c>
      <c r="C171" s="453">
        <f>IF(C153=0,0,C168/C153)</f>
        <v>1.7623221316430053</v>
      </c>
      <c r="D171" s="453">
        <f>IF(LN_IE1=0,0,LN_IE14/LN_IE1)</f>
        <v>3.2252814322528143</v>
      </c>
      <c r="E171" s="454">
        <f t="shared" si="18"/>
        <v>1.4629593006098089</v>
      </c>
      <c r="F171" s="449">
        <f t="shared" si="19"/>
        <v>0.83013160553451049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649</v>
      </c>
      <c r="C172" s="463">
        <f>C171*C156</f>
        <v>29.959476237931092</v>
      </c>
      <c r="D172" s="463">
        <f>LN_IE17*LN_IE4</f>
        <v>29.027532890275328</v>
      </c>
      <c r="E172" s="463">
        <f t="shared" si="18"/>
        <v>-0.93194334765576414</v>
      </c>
      <c r="F172" s="449">
        <f t="shared" si="19"/>
        <v>-3.1106797069965109E-2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650</v>
      </c>
      <c r="C173" s="465">
        <f>IF(C172=0,0,C169/C172)</f>
        <v>1835.4459725293705</v>
      </c>
      <c r="D173" s="465">
        <f>IF(LN_IE18=0,0,LN_IE15/LN_IE18)</f>
        <v>1422.1325717222689</v>
      </c>
      <c r="E173" s="465">
        <f t="shared" si="18"/>
        <v>-413.31340080710152</v>
      </c>
      <c r="F173" s="449">
        <f t="shared" si="19"/>
        <v>-0.22518418247829289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691</v>
      </c>
      <c r="C174" s="465">
        <f>C61-C173</f>
        <v>5334.4840230750069</v>
      </c>
      <c r="D174" s="465">
        <f>LN_IB18-LN_IE19</f>
        <v>6139.6061092166146</v>
      </c>
      <c r="E174" s="465">
        <f t="shared" si="18"/>
        <v>805.12208614160772</v>
      </c>
      <c r="F174" s="449">
        <f t="shared" si="19"/>
        <v>0.15092782781970046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692</v>
      </c>
      <c r="C175" s="465">
        <f>C32-C173</f>
        <v>3036.7614804353493</v>
      </c>
      <c r="D175" s="465">
        <f>LN_IA16-LN_IE19</f>
        <v>2865.6792934969144</v>
      </c>
      <c r="E175" s="465">
        <f t="shared" si="18"/>
        <v>-171.08218693843492</v>
      </c>
      <c r="F175" s="449">
        <f t="shared" si="19"/>
        <v>-5.6337051177924126E-2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661</v>
      </c>
      <c r="C176" s="441">
        <f>C175*C172</f>
        <v>90979.783413367288</v>
      </c>
      <c r="D176" s="441">
        <f>LN_IE21*LN_IE18</f>
        <v>83183.599944962654</v>
      </c>
      <c r="E176" s="441">
        <f t="shared" si="18"/>
        <v>-7796.1834684046335</v>
      </c>
      <c r="F176" s="449">
        <f t="shared" si="19"/>
        <v>-8.5691383029377191E-2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693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652</v>
      </c>
      <c r="C179" s="448">
        <f>C153+C168</f>
        <v>676338</v>
      </c>
      <c r="D179" s="448">
        <f>LN_IE1+LN_IE14</f>
        <v>591907</v>
      </c>
      <c r="E179" s="448">
        <f>D179-C179</f>
        <v>-84431</v>
      </c>
      <c r="F179" s="449">
        <f>IF(C179=0,0,E179/C179)</f>
        <v>-0.12483551123846361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653</v>
      </c>
      <c r="C180" s="448">
        <f>C154+C169</f>
        <v>214601</v>
      </c>
      <c r="D180" s="448">
        <f>LN_IE15+LN_IE2</f>
        <v>89761</v>
      </c>
      <c r="E180" s="448">
        <f>D180-C180</f>
        <v>-124840</v>
      </c>
      <c r="F180" s="449">
        <f>IF(C180=0,0,E180/C180)</f>
        <v>-0.58173074682783399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654</v>
      </c>
      <c r="C181" s="448">
        <f>C179-C180</f>
        <v>461737</v>
      </c>
      <c r="D181" s="448">
        <f>LN_IE23-LN_IE24</f>
        <v>502146</v>
      </c>
      <c r="E181" s="448">
        <f>D181-C181</f>
        <v>40409</v>
      </c>
      <c r="F181" s="449">
        <f>IF(C181=0,0,E181/C181)</f>
        <v>8.7515187216965495E-2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694</v>
      </c>
      <c r="C183" s="448">
        <f>C162+C176</f>
        <v>99907.158432710246</v>
      </c>
      <c r="D183" s="448">
        <f>LN_IE10+LN_IE22</f>
        <v>119400.4889957885</v>
      </c>
      <c r="E183" s="441">
        <f>D183-C183</f>
        <v>19493.330563078256</v>
      </c>
      <c r="F183" s="449">
        <f>IF(C183=0,0,E183/C183)</f>
        <v>0.1951144529469073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695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696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636</v>
      </c>
      <c r="C188" s="448">
        <f>C118+C153</f>
        <v>9442961</v>
      </c>
      <c r="D188" s="448">
        <f>LN_ID1+LN_IE1</f>
        <v>6001530</v>
      </c>
      <c r="E188" s="448">
        <f t="shared" ref="E188:E200" si="20">D188-C188</f>
        <v>-3441431</v>
      </c>
      <c r="F188" s="449">
        <f t="shared" ref="F188:F200" si="21">IF(C188=0,0,E188/C188)</f>
        <v>-0.36444405520683609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637</v>
      </c>
      <c r="C189" s="448">
        <f>C119+C154</f>
        <v>3675215</v>
      </c>
      <c r="D189" s="448">
        <f>LN_1D2+LN_IE2</f>
        <v>2260670</v>
      </c>
      <c r="E189" s="448">
        <f t="shared" si="20"/>
        <v>-1414545</v>
      </c>
      <c r="F189" s="449">
        <f t="shared" si="21"/>
        <v>-0.38488768684281055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638</v>
      </c>
      <c r="C190" s="453">
        <f>IF(C188=0,0,C189/C188)</f>
        <v>0.38920154388014522</v>
      </c>
      <c r="D190" s="453">
        <f>IF(LN_IF1=0,0,LN_IF2/LN_IF1)</f>
        <v>0.37668227935209853</v>
      </c>
      <c r="E190" s="454">
        <f t="shared" si="20"/>
        <v>-1.2519264528046692E-2</v>
      </c>
      <c r="F190" s="449">
        <f t="shared" si="21"/>
        <v>-3.2166533573417699E-2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654</v>
      </c>
      <c r="D191" s="456">
        <f>LN_ID4+LN_IE4</f>
        <v>521</v>
      </c>
      <c r="E191" s="456">
        <f t="shared" si="20"/>
        <v>-133</v>
      </c>
      <c r="F191" s="449">
        <f t="shared" si="21"/>
        <v>-0.20336391437308868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639</v>
      </c>
      <c r="C192" s="459">
        <f>IF((C121+C156)=0,0,(C123+C158)/(C121+C156))</f>
        <v>1.0113123241590214</v>
      </c>
      <c r="D192" s="459">
        <f>IF((LN_ID4+LN_IE4)=0,0,(LN_ID6+LN_IE6)/(LN_ID4+LN_IE4))</f>
        <v>0.97645877159309014</v>
      </c>
      <c r="E192" s="460">
        <f t="shared" si="20"/>
        <v>-3.4853552565931256E-2</v>
      </c>
      <c r="F192" s="449">
        <f t="shared" si="21"/>
        <v>-3.4463688153819824E-2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640</v>
      </c>
      <c r="C193" s="463">
        <f>C123+C158</f>
        <v>661.39826000000005</v>
      </c>
      <c r="D193" s="463">
        <f>LN_IF4*LN_IF5</f>
        <v>508.73501999999996</v>
      </c>
      <c r="E193" s="463">
        <f t="shared" si="20"/>
        <v>-152.66324000000009</v>
      </c>
      <c r="F193" s="449">
        <f t="shared" si="21"/>
        <v>-0.23081893200021433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641</v>
      </c>
      <c r="C194" s="465">
        <f>IF(C193=0,0,C189/C193)</f>
        <v>5556.7352112477583</v>
      </c>
      <c r="D194" s="465">
        <f>IF(LN_IF6=0,0,LN_IF2/LN_IF6)</f>
        <v>4443.7082393109094</v>
      </c>
      <c r="E194" s="465">
        <f t="shared" si="20"/>
        <v>-1113.0269719368489</v>
      </c>
      <c r="F194" s="449">
        <f t="shared" si="21"/>
        <v>-0.20030232314901325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697</v>
      </c>
      <c r="C195" s="465">
        <f>C48-C194</f>
        <v>3635.3425466126791</v>
      </c>
      <c r="D195" s="465">
        <f>LN_IB7-LN_IF7</f>
        <v>4509.1843931519115</v>
      </c>
      <c r="E195" s="465">
        <f t="shared" si="20"/>
        <v>873.84184653923239</v>
      </c>
      <c r="F195" s="449">
        <f t="shared" si="21"/>
        <v>0.24037400474226459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698</v>
      </c>
      <c r="C196" s="465">
        <f>C21-C194</f>
        <v>3616.8535846390241</v>
      </c>
      <c r="D196" s="465">
        <f>LN_IA7-LN_IF7</f>
        <v>3964.9172276307445</v>
      </c>
      <c r="E196" s="465">
        <f t="shared" si="20"/>
        <v>348.06364299172037</v>
      </c>
      <c r="F196" s="449">
        <f t="shared" si="21"/>
        <v>9.6233821703473374E-2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658</v>
      </c>
      <c r="C197" s="479">
        <f>C127+C162</f>
        <v>2392180.6675550132</v>
      </c>
      <c r="D197" s="479">
        <f>LN_IF9*LN_IF6</f>
        <v>2017092.2450970712</v>
      </c>
      <c r="E197" s="479">
        <f t="shared" si="20"/>
        <v>-375088.42245794204</v>
      </c>
      <c r="F197" s="449">
        <f t="shared" si="21"/>
        <v>-0.15679769824463566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2380</v>
      </c>
      <c r="D198" s="456">
        <f>LN_ID11+LN_IE11</f>
        <v>1507</v>
      </c>
      <c r="E198" s="456">
        <f t="shared" si="20"/>
        <v>-873</v>
      </c>
      <c r="F198" s="449">
        <f t="shared" si="21"/>
        <v>-0.3668067226890756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642</v>
      </c>
      <c r="C199" s="519">
        <f>IF(C198=0,0,C189/C198)</f>
        <v>1544.2079831932774</v>
      </c>
      <c r="D199" s="519">
        <f>IF(LN_IF11=0,0,LN_IF2/LN_IF11)</f>
        <v>1500.1128069011281</v>
      </c>
      <c r="E199" s="519">
        <f t="shared" si="20"/>
        <v>-44.09517629214929</v>
      </c>
      <c r="F199" s="449">
        <f t="shared" si="21"/>
        <v>-2.8555205498267532E-2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643</v>
      </c>
      <c r="C200" s="466">
        <f>IF(C191=0,0,C198/C191)</f>
        <v>3.6391437308868499</v>
      </c>
      <c r="D200" s="466">
        <f>IF(LN_IF4=0,0,LN_IF11/LN_IF4)</f>
        <v>2.8925143953934742</v>
      </c>
      <c r="E200" s="466">
        <f t="shared" si="20"/>
        <v>-0.74662933549337573</v>
      </c>
      <c r="F200" s="449">
        <f t="shared" si="21"/>
        <v>-0.20516621235826377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699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645</v>
      </c>
      <c r="C203" s="448">
        <f>C133+C168</f>
        <v>41620853</v>
      </c>
      <c r="D203" s="448">
        <f>LN_ID14+LN_IE14</f>
        <v>38091007</v>
      </c>
      <c r="E203" s="448">
        <f t="shared" ref="E203:E211" si="22">D203-C203</f>
        <v>-3529846</v>
      </c>
      <c r="F203" s="449">
        <f t="shared" ref="F203:F211" si="23">IF(C203=0,0,E203/C203)</f>
        <v>-8.4809554479818083E-2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646</v>
      </c>
      <c r="C204" s="448">
        <f>C134+C169</f>
        <v>8724675</v>
      </c>
      <c r="D204" s="448">
        <f>LN_ID15+LN_IE15</f>
        <v>8066905</v>
      </c>
      <c r="E204" s="448">
        <f t="shared" si="22"/>
        <v>-657770</v>
      </c>
      <c r="F204" s="449">
        <f t="shared" si="23"/>
        <v>-7.539192004286692E-2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647</v>
      </c>
      <c r="C205" s="453">
        <f>IF(C203=0,0,C204/C203)</f>
        <v>0.20962268601270617</v>
      </c>
      <c r="D205" s="453">
        <f>IF(LN_IF14=0,0,LN_IF15/LN_IF14)</f>
        <v>0.21177977783575005</v>
      </c>
      <c r="E205" s="454">
        <f t="shared" si="22"/>
        <v>2.1570918230438829E-3</v>
      </c>
      <c r="F205" s="449">
        <f t="shared" si="23"/>
        <v>1.029035484696123E-2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648</v>
      </c>
      <c r="C206" s="453">
        <f>IF(C188=0,0,C203/C188)</f>
        <v>4.4076061523498824</v>
      </c>
      <c r="D206" s="453">
        <f>IF(LN_IF1=0,0,LN_IF14/LN_IF1)</f>
        <v>6.3468827115752147</v>
      </c>
      <c r="E206" s="454">
        <f t="shared" si="22"/>
        <v>1.9392765592253323</v>
      </c>
      <c r="F206" s="449">
        <f t="shared" si="23"/>
        <v>0.43998408482831919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649</v>
      </c>
      <c r="C207" s="463">
        <f>C137+C172</f>
        <v>2882.4587087438886</v>
      </c>
      <c r="D207" s="463">
        <f>LN_ID18+LN_IE18</f>
        <v>3316.8294860953138</v>
      </c>
      <c r="E207" s="463">
        <f t="shared" si="22"/>
        <v>434.3707773514252</v>
      </c>
      <c r="F207" s="449">
        <f t="shared" si="23"/>
        <v>0.15069453589526502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650</v>
      </c>
      <c r="C208" s="465">
        <f>IF(C207=0,0,C204/C207)</f>
        <v>3026.8169925674388</v>
      </c>
      <c r="D208" s="465">
        <f>IF(LN_IF18=0,0,LN_IF15/LN_IF18)</f>
        <v>2432.1132677509568</v>
      </c>
      <c r="E208" s="465">
        <f t="shared" si="22"/>
        <v>-594.70372481648201</v>
      </c>
      <c r="F208" s="449">
        <f t="shared" si="23"/>
        <v>-0.19647825629260662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700</v>
      </c>
      <c r="C209" s="465">
        <f>C61-C208</f>
        <v>4143.1130030369386</v>
      </c>
      <c r="D209" s="465">
        <f>LN_IB18-LN_IF19</f>
        <v>5129.6254131879268</v>
      </c>
      <c r="E209" s="465">
        <f t="shared" si="22"/>
        <v>986.51241015098822</v>
      </c>
      <c r="F209" s="449">
        <f t="shared" si="23"/>
        <v>0.23810897975214915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701</v>
      </c>
      <c r="C210" s="465">
        <f>C32-C208</f>
        <v>1845.390460397281</v>
      </c>
      <c r="D210" s="465">
        <f>LN_IA16-LN_IF19</f>
        <v>1855.6985974682266</v>
      </c>
      <c r="E210" s="465">
        <f t="shared" si="22"/>
        <v>10.308137070945577</v>
      </c>
      <c r="F210" s="449">
        <f t="shared" si="23"/>
        <v>5.5858840132545235E-3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661</v>
      </c>
      <c r="C211" s="479">
        <f>C141+C176</f>
        <v>5319261.8036050368</v>
      </c>
      <c r="D211" s="441">
        <f>LN_IF21*LN_IF18</f>
        <v>6155035.8253883328</v>
      </c>
      <c r="E211" s="441">
        <f t="shared" si="22"/>
        <v>835774.02178329602</v>
      </c>
      <c r="F211" s="449">
        <f t="shared" si="23"/>
        <v>0.15712218210746176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702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652</v>
      </c>
      <c r="C214" s="448">
        <f>C188+C203</f>
        <v>51063814</v>
      </c>
      <c r="D214" s="448">
        <f>LN_IF1+LN_IF14</f>
        <v>44092537</v>
      </c>
      <c r="E214" s="448">
        <f>D214-C214</f>
        <v>-6971277</v>
      </c>
      <c r="F214" s="449">
        <f>IF(C214=0,0,E214/C214)</f>
        <v>-0.13652088345770647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653</v>
      </c>
      <c r="C215" s="448">
        <f>C189+C204</f>
        <v>12399890</v>
      </c>
      <c r="D215" s="448">
        <f>LN_IF2+LN_IF15</f>
        <v>10327575</v>
      </c>
      <c r="E215" s="448">
        <f>D215-C215</f>
        <v>-2072315</v>
      </c>
      <c r="F215" s="449">
        <f>IF(C215=0,0,E215/C215)</f>
        <v>-0.16712365996795134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654</v>
      </c>
      <c r="C216" s="448">
        <f>C214-C215</f>
        <v>38663924</v>
      </c>
      <c r="D216" s="448">
        <f>LN_IF23-LN_IF24</f>
        <v>33764962</v>
      </c>
      <c r="E216" s="448">
        <f>D216-C216</f>
        <v>-4898962</v>
      </c>
      <c r="F216" s="449">
        <f>IF(C216=0,0,E216/C216)</f>
        <v>-0.12670628051100039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703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704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636</v>
      </c>
      <c r="C221" s="448">
        <v>191428</v>
      </c>
      <c r="D221" s="448">
        <v>55839</v>
      </c>
      <c r="E221" s="448">
        <f t="shared" ref="E221:E230" si="24">D221-C221</f>
        <v>-135589</v>
      </c>
      <c r="F221" s="449">
        <f t="shared" ref="F221:F230" si="25">IF(C221=0,0,E221/C221)</f>
        <v>-0.70830286060555403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637</v>
      </c>
      <c r="C222" s="448">
        <v>61777</v>
      </c>
      <c r="D222" s="448">
        <v>21462</v>
      </c>
      <c r="E222" s="448">
        <f t="shared" si="24"/>
        <v>-40315</v>
      </c>
      <c r="F222" s="449">
        <f t="shared" si="25"/>
        <v>-0.65258915130226458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638</v>
      </c>
      <c r="C223" s="453">
        <f>IF(C221=0,0,C222/C221)</f>
        <v>0.32271663497502978</v>
      </c>
      <c r="D223" s="453">
        <f>IF(LN_IG1=0,0,LN_IG2/LN_IG1)</f>
        <v>0.38435502068446786</v>
      </c>
      <c r="E223" s="454">
        <f t="shared" si="24"/>
        <v>6.1638385709438082E-2</v>
      </c>
      <c r="F223" s="449">
        <f t="shared" si="25"/>
        <v>0.19099847677268744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16</v>
      </c>
      <c r="D224" s="456">
        <v>4</v>
      </c>
      <c r="E224" s="456">
        <f t="shared" si="24"/>
        <v>-12</v>
      </c>
      <c r="F224" s="449">
        <f t="shared" si="25"/>
        <v>-0.75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639</v>
      </c>
      <c r="C225" s="459">
        <v>0.93852999999999998</v>
      </c>
      <c r="D225" s="459">
        <v>0.98092999999999997</v>
      </c>
      <c r="E225" s="460">
        <f t="shared" si="24"/>
        <v>4.2399999999999993E-2</v>
      </c>
      <c r="F225" s="449">
        <f t="shared" si="25"/>
        <v>4.5177032167325493E-2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640</v>
      </c>
      <c r="C226" s="463">
        <f>C224*C225</f>
        <v>15.01648</v>
      </c>
      <c r="D226" s="463">
        <f>LN_IG3*LN_IG4</f>
        <v>3.9237199999999999</v>
      </c>
      <c r="E226" s="463">
        <f t="shared" si="24"/>
        <v>-11.09276</v>
      </c>
      <c r="F226" s="449">
        <f t="shared" si="25"/>
        <v>-0.73870574195816863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641</v>
      </c>
      <c r="C227" s="465">
        <f>IF(C226=0,0,C222/C226)</f>
        <v>4113.9468104375992</v>
      </c>
      <c r="D227" s="465">
        <f>IF(LN_IG5=0,0,LN_IG2/LN_IG5)</f>
        <v>5469.8092626385169</v>
      </c>
      <c r="E227" s="465">
        <f t="shared" si="24"/>
        <v>1355.8624522009177</v>
      </c>
      <c r="F227" s="449">
        <f t="shared" si="25"/>
        <v>0.32957704964996742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45</v>
      </c>
      <c r="D228" s="456">
        <v>8</v>
      </c>
      <c r="E228" s="456">
        <f t="shared" si="24"/>
        <v>-37</v>
      </c>
      <c r="F228" s="449">
        <f t="shared" si="25"/>
        <v>-0.82222222222222219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642</v>
      </c>
      <c r="C229" s="465">
        <f>IF(C228=0,0,C222/C228)</f>
        <v>1372.8222222222223</v>
      </c>
      <c r="D229" s="465">
        <f>IF(LN_IG6=0,0,LN_IG2/LN_IG6)</f>
        <v>2682.75</v>
      </c>
      <c r="E229" s="465">
        <f t="shared" si="24"/>
        <v>1309.9277777777777</v>
      </c>
      <c r="F229" s="449">
        <f t="shared" si="25"/>
        <v>0.95418602392476148</v>
      </c>
      <c r="Q229" s="421"/>
      <c r="U229" s="462"/>
    </row>
    <row r="230" spans="1:21" ht="15.75" customHeight="1" x14ac:dyDescent="0.2">
      <c r="A230" s="451">
        <v>10</v>
      </c>
      <c r="B230" s="447" t="s">
        <v>643</v>
      </c>
      <c r="C230" s="466">
        <f>IF(C224=0,0,C228/C224)</f>
        <v>2.8125</v>
      </c>
      <c r="D230" s="466">
        <f>IF(LN_IG3=0,0,LN_IG6/LN_IG3)</f>
        <v>2</v>
      </c>
      <c r="E230" s="466">
        <f t="shared" si="24"/>
        <v>-0.8125</v>
      </c>
      <c r="F230" s="449">
        <f t="shared" si="25"/>
        <v>-0.28888888888888886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705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645</v>
      </c>
      <c r="C233" s="448">
        <v>569658</v>
      </c>
      <c r="D233" s="448">
        <v>467898</v>
      </c>
      <c r="E233" s="448">
        <f>D233-C233</f>
        <v>-101760</v>
      </c>
      <c r="F233" s="449">
        <f>IF(C233=0,0,E233/C233)</f>
        <v>-0.17863349588700589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646</v>
      </c>
      <c r="C234" s="448">
        <v>141321</v>
      </c>
      <c r="D234" s="448">
        <v>121385</v>
      </c>
      <c r="E234" s="448">
        <f>D234-C234</f>
        <v>-19936</v>
      </c>
      <c r="F234" s="449">
        <f>IF(C234=0,0,E234/C234)</f>
        <v>-0.14106891403259247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706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652</v>
      </c>
      <c r="C237" s="448">
        <f>C221+C233</f>
        <v>761086</v>
      </c>
      <c r="D237" s="448">
        <f>LN_IG1+LN_IG9</f>
        <v>523737</v>
      </c>
      <c r="E237" s="448">
        <f>D237-C237</f>
        <v>-237349</v>
      </c>
      <c r="F237" s="449">
        <f>IF(C237=0,0,E237/C237)</f>
        <v>-0.311855690421319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653</v>
      </c>
      <c r="C238" s="448">
        <f>C222+C234</f>
        <v>203098</v>
      </c>
      <c r="D238" s="448">
        <f>LN_IG2+LN_IG10</f>
        <v>142847</v>
      </c>
      <c r="E238" s="448">
        <f>D238-C238</f>
        <v>-60251</v>
      </c>
      <c r="F238" s="449">
        <f>IF(C238=0,0,E238/C238)</f>
        <v>-0.29665974061782979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654</v>
      </c>
      <c r="C239" s="448">
        <f>C237-C238</f>
        <v>557988</v>
      </c>
      <c r="D239" s="448">
        <f>LN_IG13-LN_IG14</f>
        <v>380890</v>
      </c>
      <c r="E239" s="448">
        <f>D239-C239</f>
        <v>-177098</v>
      </c>
      <c r="F239" s="449">
        <f>IF(C239=0,0,E239/C239)</f>
        <v>-0.3173867538370001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707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708</v>
      </c>
      <c r="C243" s="448">
        <v>4764422</v>
      </c>
      <c r="D243" s="448">
        <v>2823266</v>
      </c>
      <c r="E243" s="441">
        <f>D243-C243</f>
        <v>-1941156</v>
      </c>
      <c r="F243" s="503">
        <f>IF(C243=0,0,E243/C243)</f>
        <v>-0.40742738573535259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709</v>
      </c>
      <c r="C244" s="448">
        <v>86761524</v>
      </c>
      <c r="D244" s="448">
        <v>81612663</v>
      </c>
      <c r="E244" s="441">
        <f>D244-C244</f>
        <v>-5148861</v>
      </c>
      <c r="F244" s="503">
        <f>IF(C244=0,0,E244/C244)</f>
        <v>-5.9344981077095876E-2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710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711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712</v>
      </c>
      <c r="C248" s="441">
        <v>1994173</v>
      </c>
      <c r="D248" s="441">
        <v>1466425</v>
      </c>
      <c r="E248" s="441">
        <f>D248-C248</f>
        <v>-527748</v>
      </c>
      <c r="F248" s="449">
        <f>IF(C248=0,0,E248/C248)</f>
        <v>-0.26464504333375288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713</v>
      </c>
      <c r="C249" s="441">
        <v>4675102</v>
      </c>
      <c r="D249" s="441">
        <v>4325446</v>
      </c>
      <c r="E249" s="441">
        <f>D249-C249</f>
        <v>-349656</v>
      </c>
      <c r="F249" s="449">
        <f>IF(C249=0,0,E249/C249)</f>
        <v>-7.479109546700799E-2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714</v>
      </c>
      <c r="C250" s="441">
        <f>C248+C249</f>
        <v>6669275</v>
      </c>
      <c r="D250" s="441">
        <f>LN_IH4+LN_IH5</f>
        <v>5791871</v>
      </c>
      <c r="E250" s="441">
        <f>D250-C250</f>
        <v>-877404</v>
      </c>
      <c r="F250" s="449">
        <f>IF(C250=0,0,E250/C250)</f>
        <v>-0.131559127491369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715</v>
      </c>
      <c r="C251" s="441">
        <f>C250*C313</f>
        <v>2740779.2307329574</v>
      </c>
      <c r="D251" s="441">
        <f>LN_IH6*LN_III10</f>
        <v>2257587.5706015537</v>
      </c>
      <c r="E251" s="441">
        <f>D251-C251</f>
        <v>-483191.66013140371</v>
      </c>
      <c r="F251" s="449">
        <f>IF(C251=0,0,E251/C251)</f>
        <v>-0.17629718392246624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716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652</v>
      </c>
      <c r="C254" s="441">
        <f>C188+C203</f>
        <v>51063814</v>
      </c>
      <c r="D254" s="441">
        <f>LN_IF23</f>
        <v>44092537</v>
      </c>
      <c r="E254" s="441">
        <f>D254-C254</f>
        <v>-6971277</v>
      </c>
      <c r="F254" s="449">
        <f>IF(C254=0,0,E254/C254)</f>
        <v>-0.13652088345770647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653</v>
      </c>
      <c r="C255" s="441">
        <f>C189+C204</f>
        <v>12399890</v>
      </c>
      <c r="D255" s="441">
        <f>LN_IF24</f>
        <v>10327575</v>
      </c>
      <c r="E255" s="441">
        <f>D255-C255</f>
        <v>-2072315</v>
      </c>
      <c r="F255" s="449">
        <f>IF(C255=0,0,E255/C255)</f>
        <v>-0.16712365996795134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717</v>
      </c>
      <c r="C256" s="441">
        <f>C254*C313</f>
        <v>20984985.752306033</v>
      </c>
      <c r="D256" s="441">
        <f>LN_IH8*LN_III10</f>
        <v>17186633.384529646</v>
      </c>
      <c r="E256" s="441">
        <f>D256-C256</f>
        <v>-3798352.3677763864</v>
      </c>
      <c r="F256" s="449">
        <f>IF(C256=0,0,E256/C256)</f>
        <v>-0.18100333317400449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718</v>
      </c>
      <c r="C257" s="441">
        <f>C256-C255</f>
        <v>8585095.7523060329</v>
      </c>
      <c r="D257" s="441">
        <f>LN_IH10-LN_IH9</f>
        <v>6859058.3845296465</v>
      </c>
      <c r="E257" s="441">
        <f>D257-C257</f>
        <v>-1726037.3677763864</v>
      </c>
      <c r="F257" s="449">
        <f>IF(C257=0,0,E257/C257)</f>
        <v>-0.20105045040560643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719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720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50950484</v>
      </c>
      <c r="D261" s="448">
        <f>LN_IA1+LN_IB1+LN_IF1+LN_IG1</f>
        <v>36927419</v>
      </c>
      <c r="E261" s="448">
        <f t="shared" ref="E261:E274" si="26">D261-C261</f>
        <v>-14023065</v>
      </c>
      <c r="F261" s="503">
        <f t="shared" ref="F261:F274" si="27">IF(C261=0,0,E261/C261)</f>
        <v>-0.27522927947063269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30890398</v>
      </c>
      <c r="D262" s="448">
        <f>+LN_IA2+LN_IB2+LN_IF2+LN_IG2</f>
        <v>22182446</v>
      </c>
      <c r="E262" s="448">
        <f t="shared" si="26"/>
        <v>-8707952</v>
      </c>
      <c r="F262" s="503">
        <f t="shared" si="27"/>
        <v>-0.28189834265003644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721</v>
      </c>
      <c r="C263" s="453">
        <f>IF(C261=0,0,C262/C261)</f>
        <v>0.60628271951253687</v>
      </c>
      <c r="D263" s="453">
        <f>IF(LN_IIA1=0,0,LN_IIA2/LN_IIA1)</f>
        <v>0.60070393763506735</v>
      </c>
      <c r="E263" s="454">
        <f t="shared" si="26"/>
        <v>-5.5787818774695186E-3</v>
      </c>
      <c r="F263" s="458">
        <f t="shared" si="27"/>
        <v>-9.2016178227130874E-3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2901</v>
      </c>
      <c r="D264" s="456">
        <f>LN_IA4+LN_IB4+LN_IF4+LN_IG3</f>
        <v>2225</v>
      </c>
      <c r="E264" s="456">
        <f t="shared" si="26"/>
        <v>-676</v>
      </c>
      <c r="F264" s="503">
        <f t="shared" si="27"/>
        <v>-0.23302309548431574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722</v>
      </c>
      <c r="C265" s="525">
        <f>IF(C264=0,0,C266/C264)</f>
        <v>1.2530772733540156</v>
      </c>
      <c r="D265" s="525">
        <f>IF(LN_IIA4=0,0,LN_IIA6/LN_IIA4)</f>
        <v>1.2798828314606741</v>
      </c>
      <c r="E265" s="525">
        <f t="shared" si="26"/>
        <v>2.6805558106658411E-2</v>
      </c>
      <c r="F265" s="503">
        <f t="shared" si="27"/>
        <v>2.1391783792319555E-2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723</v>
      </c>
      <c r="C266" s="463">
        <f>C20+C47+C193+C226</f>
        <v>3635.1771699999995</v>
      </c>
      <c r="D266" s="463">
        <f>LN_IA6+LN_IB6+LN_IF6+LN_IG5</f>
        <v>2847.7392999999997</v>
      </c>
      <c r="E266" s="463">
        <f t="shared" si="26"/>
        <v>-787.43786999999975</v>
      </c>
      <c r="F266" s="503">
        <f t="shared" si="27"/>
        <v>-0.21661609136921375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145336113</v>
      </c>
      <c r="D267" s="448">
        <f>LN_IA11+LN_IB13+LN_IF14+LN_IG9</f>
        <v>138189754</v>
      </c>
      <c r="E267" s="448">
        <f t="shared" si="26"/>
        <v>-7146359</v>
      </c>
      <c r="F267" s="503">
        <f t="shared" si="27"/>
        <v>-4.9171254497497124E-2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648</v>
      </c>
      <c r="C268" s="453">
        <f>IF(C261=0,0,C267/C261)</f>
        <v>2.8524972010079432</v>
      </c>
      <c r="D268" s="453">
        <f>IF(LN_IIA1=0,0,LN_IIA7/LN_IIA1)</f>
        <v>3.7421990960158902</v>
      </c>
      <c r="E268" s="454">
        <f t="shared" si="26"/>
        <v>0.88970189500794694</v>
      </c>
      <c r="F268" s="458">
        <f t="shared" si="27"/>
        <v>0.31190281087517513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48698450</v>
      </c>
      <c r="D269" s="448">
        <f>LN_IA12+LN_IB14+LN_IF15+LN_IG10</f>
        <v>45524188</v>
      </c>
      <c r="E269" s="448">
        <f t="shared" si="26"/>
        <v>-3174262</v>
      </c>
      <c r="F269" s="503">
        <f t="shared" si="27"/>
        <v>-6.5181992445344769E-2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647</v>
      </c>
      <c r="C270" s="453">
        <f>IF(C267=0,0,C269/C267)</f>
        <v>0.33507466929434115</v>
      </c>
      <c r="D270" s="453">
        <f>IF(LN_IIA7=0,0,LN_IIA9/LN_IIA7)</f>
        <v>0.32943244113452869</v>
      </c>
      <c r="E270" s="454">
        <f t="shared" si="26"/>
        <v>-5.6422281598124679E-3</v>
      </c>
      <c r="F270" s="458">
        <f t="shared" si="27"/>
        <v>-1.6838718879272071E-2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724</v>
      </c>
      <c r="C271" s="441">
        <f>C261+C267</f>
        <v>196286597</v>
      </c>
      <c r="D271" s="441">
        <f>LN_IIA1+LN_IIA7</f>
        <v>175117173</v>
      </c>
      <c r="E271" s="441">
        <f t="shared" si="26"/>
        <v>-21169424</v>
      </c>
      <c r="F271" s="503">
        <f t="shared" si="27"/>
        <v>-0.10784956448147094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725</v>
      </c>
      <c r="C272" s="441">
        <f>C262+C269</f>
        <v>79588848</v>
      </c>
      <c r="D272" s="441">
        <f>LN_IIA2+LN_IIA9</f>
        <v>67706634</v>
      </c>
      <c r="E272" s="441">
        <f t="shared" si="26"/>
        <v>-11882214</v>
      </c>
      <c r="F272" s="503">
        <f t="shared" si="27"/>
        <v>-0.14929496152526295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726</v>
      </c>
      <c r="C273" s="453">
        <f>IF(C271=0,0,C272/C271)</f>
        <v>0.40547265690280421</v>
      </c>
      <c r="D273" s="453">
        <f>IF(LN_IIA11=0,0,LN_IIA12/LN_IIA11)</f>
        <v>0.38663617531103017</v>
      </c>
      <c r="E273" s="454">
        <f t="shared" si="26"/>
        <v>-1.8836481591774035E-2</v>
      </c>
      <c r="F273" s="458">
        <f t="shared" si="27"/>
        <v>-4.6455614875873921E-2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12214</v>
      </c>
      <c r="D274" s="508">
        <f>LN_IA8+LN_IB10+LN_IF11+LN_IG6</f>
        <v>8594</v>
      </c>
      <c r="E274" s="528">
        <f t="shared" si="26"/>
        <v>-3620</v>
      </c>
      <c r="F274" s="458">
        <f t="shared" si="27"/>
        <v>-0.29638120189945966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727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728</v>
      </c>
      <c r="C277" s="448">
        <f>C15+C188+C221</f>
        <v>43161749</v>
      </c>
      <c r="D277" s="448">
        <f>LN_IA1+LN_IF1+LN_IG1</f>
        <v>30924177</v>
      </c>
      <c r="E277" s="448">
        <f t="shared" ref="E277:E291" si="28">D277-C277</f>
        <v>-12237572</v>
      </c>
      <c r="F277" s="503">
        <f t="shared" ref="F277:F291" si="29">IF(C277=0,0,E277/C277)</f>
        <v>-0.28352817676596004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729</v>
      </c>
      <c r="C278" s="448">
        <f>C16+C189+C222</f>
        <v>25453333</v>
      </c>
      <c r="D278" s="448">
        <f>LN_IA2+LN_IF2+LN_IG2</f>
        <v>17815182</v>
      </c>
      <c r="E278" s="448">
        <f t="shared" si="28"/>
        <v>-7638151</v>
      </c>
      <c r="F278" s="503">
        <f t="shared" si="29"/>
        <v>-0.30008451152546506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730</v>
      </c>
      <c r="C279" s="453">
        <f>IF(C277=0,0,C278/C277)</f>
        <v>0.58971968443632805</v>
      </c>
      <c r="D279" s="453">
        <f>IF(D277=0,0,LN_IIB2/D277)</f>
        <v>0.57609235647564683</v>
      </c>
      <c r="E279" s="454">
        <f t="shared" si="28"/>
        <v>-1.3627327960681224E-2</v>
      </c>
      <c r="F279" s="458">
        <f t="shared" si="29"/>
        <v>-2.3108144971804082E-2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731</v>
      </c>
      <c r="C280" s="456">
        <f>C18+C191+C224</f>
        <v>2342</v>
      </c>
      <c r="D280" s="456">
        <f>LN_IA4+LN_IF4+LN_IG3</f>
        <v>1817</v>
      </c>
      <c r="E280" s="456">
        <f t="shared" si="28"/>
        <v>-525</v>
      </c>
      <c r="F280" s="503">
        <f t="shared" si="29"/>
        <v>-0.22416737830913749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732</v>
      </c>
      <c r="C281" s="525">
        <f>IF(C280=0,0,C282/C280)</f>
        <v>1.299608240819812</v>
      </c>
      <c r="D281" s="525">
        <f>IF(LN_IIB4=0,0,LN_IIB6/LN_IIB4)</f>
        <v>1.2988082003302146</v>
      </c>
      <c r="E281" s="525">
        <f t="shared" si="28"/>
        <v>-8.0004048959736451E-4</v>
      </c>
      <c r="F281" s="503">
        <f t="shared" si="29"/>
        <v>-6.1560127465234234E-4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733</v>
      </c>
      <c r="C282" s="463">
        <f>C20+C193+C226</f>
        <v>3043.6824999999994</v>
      </c>
      <c r="D282" s="463">
        <f>LN_IA6+LN_IF6+LN_IG5</f>
        <v>2359.9344999999998</v>
      </c>
      <c r="E282" s="463">
        <f t="shared" si="28"/>
        <v>-683.74799999999959</v>
      </c>
      <c r="F282" s="503">
        <f t="shared" si="29"/>
        <v>-0.22464498185996723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734</v>
      </c>
      <c r="C283" s="448">
        <f>C27+C203+C233</f>
        <v>90955018</v>
      </c>
      <c r="D283" s="448">
        <f>LN_IA11+LN_IF14+LN_IG9</f>
        <v>86187073</v>
      </c>
      <c r="E283" s="448">
        <f t="shared" si="28"/>
        <v>-4767945</v>
      </c>
      <c r="F283" s="503">
        <f t="shared" si="29"/>
        <v>-5.2420912060069075E-2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735</v>
      </c>
      <c r="C284" s="453">
        <f>IF(C277=0,0,C283/C277)</f>
        <v>2.1073061242258744</v>
      </c>
      <c r="D284" s="453">
        <f>IF(D277=0,0,LN_IIB7/D277)</f>
        <v>2.7870450036552308</v>
      </c>
      <c r="E284" s="454">
        <f t="shared" si="28"/>
        <v>0.6797388794293564</v>
      </c>
      <c r="F284" s="458">
        <f t="shared" si="29"/>
        <v>0.32256294973710126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736</v>
      </c>
      <c r="C285" s="448">
        <f>C28+C204+C234</f>
        <v>20714582</v>
      </c>
      <c r="D285" s="448">
        <f>LN_IA12+LN_IF15+LN_IG10</f>
        <v>18798942</v>
      </c>
      <c r="E285" s="448">
        <f t="shared" si="28"/>
        <v>-1915640</v>
      </c>
      <c r="F285" s="503">
        <f t="shared" si="29"/>
        <v>-9.2477849661653802E-2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737</v>
      </c>
      <c r="C286" s="453">
        <f>IF(C283=0,0,C285/C283)</f>
        <v>0.22774534550694059</v>
      </c>
      <c r="D286" s="453">
        <f>IF(LN_IIB7=0,0,LN_IIB9/LN_IIB7)</f>
        <v>0.21811788410542726</v>
      </c>
      <c r="E286" s="454">
        <f t="shared" si="28"/>
        <v>-9.6274614015133264E-3</v>
      </c>
      <c r="F286" s="458">
        <f t="shared" si="29"/>
        <v>-4.2272922768557424E-2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738</v>
      </c>
      <c r="C287" s="441">
        <f>C277+C283</f>
        <v>134116767</v>
      </c>
      <c r="D287" s="441">
        <f>D277+LN_IIB7</f>
        <v>117111250</v>
      </c>
      <c r="E287" s="441">
        <f t="shared" si="28"/>
        <v>-17005517</v>
      </c>
      <c r="F287" s="503">
        <f t="shared" si="29"/>
        <v>-0.12679635350887933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739</v>
      </c>
      <c r="C288" s="441">
        <f>C278+C285</f>
        <v>46167915</v>
      </c>
      <c r="D288" s="441">
        <f>LN_IIB2+LN_IIB9</f>
        <v>36614124</v>
      </c>
      <c r="E288" s="441">
        <f t="shared" si="28"/>
        <v>-9553791</v>
      </c>
      <c r="F288" s="503">
        <f t="shared" si="29"/>
        <v>-0.20693572581737771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740</v>
      </c>
      <c r="C289" s="453">
        <f>IF(C287=0,0,C288/C287)</f>
        <v>0.34423671277432449</v>
      </c>
      <c r="D289" s="453">
        <f>IF(LN_IIB11=0,0,LN_IIB12/LN_IIB11)</f>
        <v>0.31264395179796989</v>
      </c>
      <c r="E289" s="454">
        <f t="shared" si="28"/>
        <v>-3.1592760976354606E-2</v>
      </c>
      <c r="F289" s="458">
        <f t="shared" si="29"/>
        <v>-9.1776268491926549E-2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10234</v>
      </c>
      <c r="D290" s="508">
        <f>LN_IA8+LN_IF11+LN_IG6</f>
        <v>7260</v>
      </c>
      <c r="E290" s="528">
        <f t="shared" si="28"/>
        <v>-2974</v>
      </c>
      <c r="F290" s="458">
        <f t="shared" si="29"/>
        <v>-0.29059996091459839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741</v>
      </c>
      <c r="C291" s="448">
        <f>C287-C288</f>
        <v>87948852</v>
      </c>
      <c r="D291" s="516">
        <f>LN_IIB11-LN_IIB12</f>
        <v>80497126</v>
      </c>
      <c r="E291" s="441">
        <f t="shared" si="28"/>
        <v>-7451726</v>
      </c>
      <c r="F291" s="503">
        <f t="shared" si="29"/>
        <v>-8.4727950741187621E-2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643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634</v>
      </c>
      <c r="C294" s="466">
        <f>IF(C18=0,0,C22/C18)</f>
        <v>4.6704545454545459</v>
      </c>
      <c r="D294" s="466">
        <f>IF(LN_IA4=0,0,LN_IA8/LN_IA4)</f>
        <v>4.4465944272445821</v>
      </c>
      <c r="E294" s="466">
        <f t="shared" ref="E294:E300" si="30">D294-C294</f>
        <v>-0.22386011820996377</v>
      </c>
      <c r="F294" s="503">
        <f t="shared" ref="F294:F300" si="31">IF(C294=0,0,E294/C294)</f>
        <v>-4.7931120200673506E-2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655</v>
      </c>
      <c r="C295" s="466">
        <f>IF(C45=0,0,C51/C45)</f>
        <v>3.5420393559928445</v>
      </c>
      <c r="D295" s="466">
        <f>IF(LN_IB4=0,0,(LN_IB10)/(LN_IB4))</f>
        <v>3.2696078431372548</v>
      </c>
      <c r="E295" s="466">
        <f t="shared" si="30"/>
        <v>-0.27243151285558964</v>
      </c>
      <c r="F295" s="503">
        <f t="shared" si="31"/>
        <v>-7.691374529609829E-2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670</v>
      </c>
      <c r="C296" s="466">
        <f>IF(C86=0,0,C93/C86)</f>
        <v>12.615384615384615</v>
      </c>
      <c r="D296" s="466">
        <f>IF(LN_IC4=0,0,LN_IC11/LN_IC4)</f>
        <v>2.4705882352941178</v>
      </c>
      <c r="E296" s="466">
        <f t="shared" si="30"/>
        <v>-10.144796380090497</v>
      </c>
      <c r="F296" s="503">
        <f t="shared" si="31"/>
        <v>-0.80416068866571022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3.6483516483516483</v>
      </c>
      <c r="D297" s="466">
        <f>IF(LN_ID4=0,0,LN_ID11/LN_ID4)</f>
        <v>2.8828125</v>
      </c>
      <c r="E297" s="466">
        <f t="shared" si="30"/>
        <v>-0.76553914835164827</v>
      </c>
      <c r="F297" s="503">
        <f t="shared" si="31"/>
        <v>-0.20983151355421684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742</v>
      </c>
      <c r="C298" s="466">
        <f>IF(C156=0,0,C163/C156)</f>
        <v>3.2941176470588234</v>
      </c>
      <c r="D298" s="466">
        <f>IF(LN_IE4=0,0,LN_IE11/LN_IE4)</f>
        <v>3.4444444444444446</v>
      </c>
      <c r="E298" s="466">
        <f t="shared" si="30"/>
        <v>0.15032679738562127</v>
      </c>
      <c r="F298" s="503">
        <f t="shared" si="31"/>
        <v>4.5634920634920743E-2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2.8125</v>
      </c>
      <c r="D299" s="466">
        <f>IF(LN_IG3=0,0,LN_IG6/LN_IG3)</f>
        <v>2</v>
      </c>
      <c r="E299" s="466">
        <f t="shared" si="30"/>
        <v>-0.8125</v>
      </c>
      <c r="F299" s="503">
        <f t="shared" si="31"/>
        <v>-0.28888888888888886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743</v>
      </c>
      <c r="C300" s="466">
        <f>IF(C264=0,0,C274/C264)</f>
        <v>4.2102723198896932</v>
      </c>
      <c r="D300" s="466">
        <f>IF(LN_IIA4=0,0,LN_IIA14/LN_IIA4)</f>
        <v>3.8624719101123595</v>
      </c>
      <c r="E300" s="466">
        <f t="shared" si="30"/>
        <v>-0.34780040977733373</v>
      </c>
      <c r="F300" s="503">
        <f t="shared" si="31"/>
        <v>-8.2607580543969633E-2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744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738</v>
      </c>
      <c r="C304" s="441">
        <f>C35+C66+C214+C221+C233</f>
        <v>196286597</v>
      </c>
      <c r="D304" s="441">
        <f>LN_IIA11</f>
        <v>175117173</v>
      </c>
      <c r="E304" s="441">
        <f t="shared" ref="E304:E316" si="32">D304-C304</f>
        <v>-21169424</v>
      </c>
      <c r="F304" s="449">
        <f>IF(C304=0,0,E304/C304)</f>
        <v>-0.10784956448147094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741</v>
      </c>
      <c r="C305" s="441">
        <f>C291</f>
        <v>87948852</v>
      </c>
      <c r="D305" s="441">
        <f>LN_IIB14</f>
        <v>80497126</v>
      </c>
      <c r="E305" s="441">
        <f t="shared" si="32"/>
        <v>-7451726</v>
      </c>
      <c r="F305" s="449">
        <f>IF(C305=0,0,E305/C305)</f>
        <v>-8.4727950741187621E-2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745</v>
      </c>
      <c r="C306" s="441">
        <f>C250</f>
        <v>6669275</v>
      </c>
      <c r="D306" s="441">
        <f>LN_IH6</f>
        <v>5791871</v>
      </c>
      <c r="E306" s="441">
        <f t="shared" si="32"/>
        <v>-877404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746</v>
      </c>
      <c r="C307" s="441">
        <f>C73-C74</f>
        <v>19590768</v>
      </c>
      <c r="D307" s="441">
        <f>LN_IB32-LN_IB33</f>
        <v>19720989</v>
      </c>
      <c r="E307" s="441">
        <f t="shared" si="32"/>
        <v>130221</v>
      </c>
      <c r="F307" s="449">
        <f t="shared" ref="F307:F316" si="33">IF(C307=0,0,E307/C307)</f>
        <v>6.6470594720942026E-3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747</v>
      </c>
      <c r="C308" s="441">
        <v>1412528</v>
      </c>
      <c r="D308" s="441">
        <v>849045</v>
      </c>
      <c r="E308" s="441">
        <f t="shared" si="32"/>
        <v>-563483</v>
      </c>
      <c r="F308" s="449">
        <f t="shared" si="33"/>
        <v>-0.39891810994189142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748</v>
      </c>
      <c r="C309" s="441">
        <f>C305+C307+C308+C306</f>
        <v>115621423</v>
      </c>
      <c r="D309" s="441">
        <f>LN_III2+LN_III3+LN_III4+LN_III5</f>
        <v>106859031</v>
      </c>
      <c r="E309" s="441">
        <f t="shared" si="32"/>
        <v>-8762392</v>
      </c>
      <c r="F309" s="449">
        <f t="shared" si="33"/>
        <v>-7.5785194236884623E-2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749</v>
      </c>
      <c r="C310" s="441">
        <f>C304-C309</f>
        <v>80665174</v>
      </c>
      <c r="D310" s="441">
        <f>LN_III1-LN_III6</f>
        <v>68258142</v>
      </c>
      <c r="E310" s="441">
        <f t="shared" si="32"/>
        <v>-12407032</v>
      </c>
      <c r="F310" s="449">
        <f t="shared" si="33"/>
        <v>-0.15380902792077286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750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751</v>
      </c>
      <c r="C312" s="441">
        <f>C310+C311</f>
        <v>80665174</v>
      </c>
      <c r="D312" s="441">
        <f>LN_III7+LN_III8</f>
        <v>68258142</v>
      </c>
      <c r="E312" s="441">
        <f t="shared" si="32"/>
        <v>-12407032</v>
      </c>
      <c r="F312" s="449">
        <f t="shared" si="33"/>
        <v>-0.15380902792077286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752</v>
      </c>
      <c r="C313" s="532">
        <f>IF(C304=0,0,C312/C304)</f>
        <v>0.41095609803658678</v>
      </c>
      <c r="D313" s="532">
        <f>IF(LN_III1=0,0,LN_III9/LN_III1)</f>
        <v>0.38978554090751566</v>
      </c>
      <c r="E313" s="532">
        <f t="shared" si="32"/>
        <v>-2.1170557129071121E-2</v>
      </c>
      <c r="F313" s="449">
        <f t="shared" si="33"/>
        <v>-5.1515374100097523E-2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715</v>
      </c>
      <c r="C314" s="441">
        <f>C306*C313</f>
        <v>2740779.2307329574</v>
      </c>
      <c r="D314" s="441">
        <f>D313*LN_III5</f>
        <v>2257587.5706015537</v>
      </c>
      <c r="E314" s="441">
        <f t="shared" si="32"/>
        <v>-483191.66013140371</v>
      </c>
      <c r="F314" s="449">
        <f t="shared" si="33"/>
        <v>-0.17629718392246624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718</v>
      </c>
      <c r="C315" s="441">
        <f>(C214*C313)-C215</f>
        <v>8585095.7523060329</v>
      </c>
      <c r="D315" s="441">
        <f>D313*LN_IH8-LN_IH9</f>
        <v>6859058.3845296465</v>
      </c>
      <c r="E315" s="441">
        <f t="shared" si="32"/>
        <v>-1726037.3677763864</v>
      </c>
      <c r="F315" s="449">
        <f t="shared" si="33"/>
        <v>-0.20105045040560643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753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754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755</v>
      </c>
      <c r="C318" s="441">
        <f>C314+C315+C316</f>
        <v>11325874.98303899</v>
      </c>
      <c r="D318" s="441">
        <f>D314+D315+D316</f>
        <v>9116645.9551311992</v>
      </c>
      <c r="E318" s="441">
        <f>D318-C318</f>
        <v>-2209229.0279077906</v>
      </c>
      <c r="F318" s="449">
        <f>IF(C318=0,0,E318/C318)</f>
        <v>-0.19506034025770291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756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5228282.0201916695</v>
      </c>
      <c r="D322" s="441">
        <f>LN_ID22</f>
        <v>6071852.2254433697</v>
      </c>
      <c r="E322" s="441">
        <f>LN_IV2-C322</f>
        <v>843570.20525170024</v>
      </c>
      <c r="F322" s="449">
        <f>IF(C322=0,0,E322/C322)</f>
        <v>0.16134749464428755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742</v>
      </c>
      <c r="C323" s="441">
        <f>C162+C176</f>
        <v>99907.158432710246</v>
      </c>
      <c r="D323" s="441">
        <f>LN_IE10+LN_IE22</f>
        <v>119400.4889957885</v>
      </c>
      <c r="E323" s="441">
        <f>LN_IV3-C323</f>
        <v>19493.330563078256</v>
      </c>
      <c r="F323" s="449">
        <f>IF(C323=0,0,E323/C323)</f>
        <v>0.1951144529469073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757</v>
      </c>
      <c r="C324" s="441">
        <f>C92+C106</f>
        <v>747176.759966232</v>
      </c>
      <c r="D324" s="441">
        <f>LN_IC10+LN_IC22</f>
        <v>1321601.9245658882</v>
      </c>
      <c r="E324" s="441">
        <f>LN_IV1-C324</f>
        <v>574425.16459965624</v>
      </c>
      <c r="F324" s="449">
        <f>IF(C324=0,0,E324/C324)</f>
        <v>0.76879420690977718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758</v>
      </c>
      <c r="C325" s="516">
        <f>C324+C322+C323</f>
        <v>6075365.9385906113</v>
      </c>
      <c r="D325" s="516">
        <f>LN_IV1+LN_IV2+LN_IV3</f>
        <v>7512854.6390050463</v>
      </c>
      <c r="E325" s="441">
        <f>LN_IV4-C325</f>
        <v>1437488.700414435</v>
      </c>
      <c r="F325" s="449">
        <f>IF(C325=0,0,E325/C325)</f>
        <v>0.23660940179480111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759</v>
      </c>
      <c r="B327" s="530" t="s">
        <v>760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761</v>
      </c>
      <c r="C329" s="518">
        <v>2488854</v>
      </c>
      <c r="D329" s="518">
        <v>1493588</v>
      </c>
      <c r="E329" s="518">
        <f t="shared" ref="E329:E335" si="34">D329-C329</f>
        <v>-995266</v>
      </c>
      <c r="F329" s="542">
        <f t="shared" ref="F329:F335" si="35">IF(C329=0,0,E329/C329)</f>
        <v>-0.39988926630489374</v>
      </c>
    </row>
    <row r="330" spans="1:22" s="420" customFormat="1" ht="15.75" customHeight="1" x14ac:dyDescent="0.2">
      <c r="A330" s="451">
        <v>2</v>
      </c>
      <c r="B330" s="447" t="s">
        <v>762</v>
      </c>
      <c r="C330" s="516">
        <v>-1986848</v>
      </c>
      <c r="D330" s="516">
        <v>-780634</v>
      </c>
      <c r="E330" s="518">
        <f t="shared" si="34"/>
        <v>1206214</v>
      </c>
      <c r="F330" s="543">
        <f t="shared" si="35"/>
        <v>-0.60709928489748588</v>
      </c>
    </row>
    <row r="331" spans="1:22" s="420" customFormat="1" ht="15.75" customHeight="1" x14ac:dyDescent="0.2">
      <c r="A331" s="427">
        <v>3</v>
      </c>
      <c r="B331" s="447" t="s">
        <v>763</v>
      </c>
      <c r="C331" s="516">
        <v>77602000</v>
      </c>
      <c r="D331" s="516">
        <v>66926000</v>
      </c>
      <c r="E331" s="518">
        <f t="shared" si="34"/>
        <v>-10676000</v>
      </c>
      <c r="F331" s="542">
        <f t="shared" si="35"/>
        <v>-0.13757377387180741</v>
      </c>
    </row>
    <row r="332" spans="1:22" s="420" customFormat="1" ht="27" customHeight="1" x14ac:dyDescent="0.2">
      <c r="A332" s="451">
        <v>4</v>
      </c>
      <c r="B332" s="447" t="s">
        <v>764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765</v>
      </c>
      <c r="C333" s="516">
        <v>196286597</v>
      </c>
      <c r="D333" s="516">
        <v>175117173</v>
      </c>
      <c r="E333" s="518">
        <f t="shared" si="34"/>
        <v>-21169424</v>
      </c>
      <c r="F333" s="542">
        <f t="shared" si="35"/>
        <v>-0.10784956448147094</v>
      </c>
    </row>
    <row r="334" spans="1:22" s="420" customFormat="1" ht="15.75" customHeight="1" x14ac:dyDescent="0.2">
      <c r="A334" s="427">
        <v>6</v>
      </c>
      <c r="B334" s="447" t="s">
        <v>766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767</v>
      </c>
      <c r="C335" s="516">
        <v>6669275</v>
      </c>
      <c r="D335" s="516">
        <v>5791871</v>
      </c>
      <c r="E335" s="516">
        <f t="shared" si="34"/>
        <v>-877404</v>
      </c>
      <c r="F335" s="542">
        <f t="shared" si="35"/>
        <v>-0.131559127491369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FILING&amp;RWINDHAM COMMUNITY MEMORIAL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0"/>
  <sheetViews>
    <sheetView zoomScale="75" zoomScaleNormal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628</v>
      </c>
      <c r="B3" s="820"/>
      <c r="C3" s="820"/>
      <c r="D3" s="820"/>
      <c r="E3" s="820"/>
    </row>
    <row r="4" spans="1:5" s="428" customFormat="1" ht="15.75" customHeight="1" x14ac:dyDescent="0.25">
      <c r="A4" s="820" t="s">
        <v>768</v>
      </c>
      <c r="B4" s="820"/>
      <c r="C4" s="820"/>
      <c r="D4" s="820"/>
      <c r="E4" s="820"/>
    </row>
    <row r="5" spans="1:5" s="428" customFormat="1" ht="15.75" customHeight="1" x14ac:dyDescent="0.25">
      <c r="A5" s="820" t="s">
        <v>769</v>
      </c>
      <c r="B5" s="820"/>
      <c r="C5" s="820"/>
      <c r="D5" s="820"/>
      <c r="E5" s="820"/>
    </row>
    <row r="6" spans="1:5" s="428" customFormat="1" ht="15.75" customHeight="1" x14ac:dyDescent="0.25">
      <c r="A6" s="820" t="s">
        <v>770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771</v>
      </c>
      <c r="D9" s="573" t="s">
        <v>772</v>
      </c>
      <c r="E9" s="573" t="s">
        <v>773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774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775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655</v>
      </c>
      <c r="C14" s="589">
        <v>7788735</v>
      </c>
      <c r="D14" s="589">
        <v>6003242</v>
      </c>
      <c r="E14" s="590">
        <f t="shared" ref="E14:E22" si="0">D14-C14</f>
        <v>-1785493</v>
      </c>
    </row>
    <row r="15" spans="1:5" s="421" customFormat="1" x14ac:dyDescent="0.2">
      <c r="A15" s="588">
        <v>2</v>
      </c>
      <c r="B15" s="587" t="s">
        <v>634</v>
      </c>
      <c r="C15" s="589">
        <v>33527360</v>
      </c>
      <c r="D15" s="591">
        <v>24866808</v>
      </c>
      <c r="E15" s="590">
        <f t="shared" si="0"/>
        <v>-8660552</v>
      </c>
    </row>
    <row r="16" spans="1:5" s="421" customFormat="1" x14ac:dyDescent="0.2">
      <c r="A16" s="588">
        <v>3</v>
      </c>
      <c r="B16" s="587" t="s">
        <v>776</v>
      </c>
      <c r="C16" s="589">
        <v>9442961</v>
      </c>
      <c r="D16" s="591">
        <v>6001530</v>
      </c>
      <c r="E16" s="590">
        <f t="shared" si="0"/>
        <v>-3441431</v>
      </c>
    </row>
    <row r="17" spans="1:5" s="421" customFormat="1" x14ac:dyDescent="0.2">
      <c r="A17" s="588">
        <v>4</v>
      </c>
      <c r="B17" s="587" t="s">
        <v>115</v>
      </c>
      <c r="C17" s="589">
        <v>9198117</v>
      </c>
      <c r="D17" s="591">
        <v>5861443</v>
      </c>
      <c r="E17" s="590">
        <f t="shared" si="0"/>
        <v>-3336674</v>
      </c>
    </row>
    <row r="18" spans="1:5" s="421" customFormat="1" x14ac:dyDescent="0.2">
      <c r="A18" s="588">
        <v>5</v>
      </c>
      <c r="B18" s="587" t="s">
        <v>742</v>
      </c>
      <c r="C18" s="589">
        <v>244844</v>
      </c>
      <c r="D18" s="591">
        <v>140087</v>
      </c>
      <c r="E18" s="590">
        <f t="shared" si="0"/>
        <v>-104757</v>
      </c>
    </row>
    <row r="19" spans="1:5" s="421" customFormat="1" x14ac:dyDescent="0.2">
      <c r="A19" s="588">
        <v>6</v>
      </c>
      <c r="B19" s="587" t="s">
        <v>424</v>
      </c>
      <c r="C19" s="589">
        <v>191428</v>
      </c>
      <c r="D19" s="591">
        <v>55839</v>
      </c>
      <c r="E19" s="590">
        <f t="shared" si="0"/>
        <v>-135589</v>
      </c>
    </row>
    <row r="20" spans="1:5" s="421" customFormat="1" x14ac:dyDescent="0.2">
      <c r="A20" s="588">
        <v>7</v>
      </c>
      <c r="B20" s="587" t="s">
        <v>757</v>
      </c>
      <c r="C20" s="589">
        <v>682220</v>
      </c>
      <c r="D20" s="591">
        <v>410434</v>
      </c>
      <c r="E20" s="590">
        <f t="shared" si="0"/>
        <v>-271786</v>
      </c>
    </row>
    <row r="21" spans="1:5" s="421" customFormat="1" x14ac:dyDescent="0.2">
      <c r="A21" s="588"/>
      <c r="B21" s="592" t="s">
        <v>777</v>
      </c>
      <c r="C21" s="593">
        <f>SUM(C15+C16+C19)</f>
        <v>43161749</v>
      </c>
      <c r="D21" s="593">
        <f>SUM(D15+D16+D19)</f>
        <v>30924177</v>
      </c>
      <c r="E21" s="593">
        <f t="shared" si="0"/>
        <v>-12237572</v>
      </c>
    </row>
    <row r="22" spans="1:5" s="421" customFormat="1" x14ac:dyDescent="0.2">
      <c r="A22" s="588"/>
      <c r="B22" s="592" t="s">
        <v>465</v>
      </c>
      <c r="C22" s="593">
        <f>SUM(C14+C21)</f>
        <v>50950484</v>
      </c>
      <c r="D22" s="593">
        <f>SUM(D14+D21)</f>
        <v>36927419</v>
      </c>
      <c r="E22" s="593">
        <f t="shared" si="0"/>
        <v>-14023065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778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655</v>
      </c>
      <c r="C25" s="589">
        <v>54381095</v>
      </c>
      <c r="D25" s="589">
        <v>52002681</v>
      </c>
      <c r="E25" s="590">
        <f t="shared" ref="E25:E33" si="1">D25-C25</f>
        <v>-2378414</v>
      </c>
    </row>
    <row r="26" spans="1:5" s="421" customFormat="1" x14ac:dyDescent="0.2">
      <c r="A26" s="588">
        <v>2</v>
      </c>
      <c r="B26" s="587" t="s">
        <v>634</v>
      </c>
      <c r="C26" s="589">
        <v>48764507</v>
      </c>
      <c r="D26" s="591">
        <v>47628168</v>
      </c>
      <c r="E26" s="590">
        <f t="shared" si="1"/>
        <v>-1136339</v>
      </c>
    </row>
    <row r="27" spans="1:5" s="421" customFormat="1" x14ac:dyDescent="0.2">
      <c r="A27" s="588">
        <v>3</v>
      </c>
      <c r="B27" s="587" t="s">
        <v>776</v>
      </c>
      <c r="C27" s="589">
        <v>41620853</v>
      </c>
      <c r="D27" s="591">
        <v>38091007</v>
      </c>
      <c r="E27" s="590">
        <f t="shared" si="1"/>
        <v>-3529846</v>
      </c>
    </row>
    <row r="28" spans="1:5" s="421" customFormat="1" x14ac:dyDescent="0.2">
      <c r="A28" s="588">
        <v>4</v>
      </c>
      <c r="B28" s="587" t="s">
        <v>115</v>
      </c>
      <c r="C28" s="589">
        <v>41189359</v>
      </c>
      <c r="D28" s="591">
        <v>37639187</v>
      </c>
      <c r="E28" s="590">
        <f t="shared" si="1"/>
        <v>-3550172</v>
      </c>
    </row>
    <row r="29" spans="1:5" s="421" customFormat="1" x14ac:dyDescent="0.2">
      <c r="A29" s="588">
        <v>5</v>
      </c>
      <c r="B29" s="587" t="s">
        <v>742</v>
      </c>
      <c r="C29" s="589">
        <v>431494</v>
      </c>
      <c r="D29" s="591">
        <v>451820</v>
      </c>
      <c r="E29" s="590">
        <f t="shared" si="1"/>
        <v>20326</v>
      </c>
    </row>
    <row r="30" spans="1:5" s="421" customFormat="1" x14ac:dyDescent="0.2">
      <c r="A30" s="588">
        <v>6</v>
      </c>
      <c r="B30" s="587" t="s">
        <v>424</v>
      </c>
      <c r="C30" s="589">
        <v>569658</v>
      </c>
      <c r="D30" s="591">
        <v>467898</v>
      </c>
      <c r="E30" s="590">
        <f t="shared" si="1"/>
        <v>-101760</v>
      </c>
    </row>
    <row r="31" spans="1:5" s="421" customFormat="1" x14ac:dyDescent="0.2">
      <c r="A31" s="588">
        <v>7</v>
      </c>
      <c r="B31" s="587" t="s">
        <v>757</v>
      </c>
      <c r="C31" s="590">
        <v>3214853</v>
      </c>
      <c r="D31" s="594">
        <v>3234578</v>
      </c>
      <c r="E31" s="590">
        <f t="shared" si="1"/>
        <v>19725</v>
      </c>
    </row>
    <row r="32" spans="1:5" s="421" customFormat="1" x14ac:dyDescent="0.2">
      <c r="A32" s="588"/>
      <c r="B32" s="592" t="s">
        <v>779</v>
      </c>
      <c r="C32" s="593">
        <f>SUM(C26+C27+C30)</f>
        <v>90955018</v>
      </c>
      <c r="D32" s="593">
        <f>SUM(D26+D27+D30)</f>
        <v>86187073</v>
      </c>
      <c r="E32" s="593">
        <f t="shared" si="1"/>
        <v>-4767945</v>
      </c>
    </row>
    <row r="33" spans="1:5" s="421" customFormat="1" x14ac:dyDescent="0.2">
      <c r="A33" s="588"/>
      <c r="B33" s="592" t="s">
        <v>467</v>
      </c>
      <c r="C33" s="593">
        <f>SUM(C25+C32)</f>
        <v>145336113</v>
      </c>
      <c r="D33" s="593">
        <f>SUM(D25+D32)</f>
        <v>138189754</v>
      </c>
      <c r="E33" s="593">
        <f t="shared" si="1"/>
        <v>-7146359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652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780</v>
      </c>
      <c r="C36" s="590">
        <f t="shared" ref="C36:D42" si="2">C14+C25</f>
        <v>62169830</v>
      </c>
      <c r="D36" s="590">
        <f t="shared" si="2"/>
        <v>58005923</v>
      </c>
      <c r="E36" s="590">
        <f t="shared" ref="E36:E44" si="3">D36-C36</f>
        <v>-4163907</v>
      </c>
    </row>
    <row r="37" spans="1:5" s="421" customFormat="1" x14ac:dyDescent="0.2">
      <c r="A37" s="588">
        <v>2</v>
      </c>
      <c r="B37" s="587" t="s">
        <v>781</v>
      </c>
      <c r="C37" s="590">
        <f t="shared" si="2"/>
        <v>82291867</v>
      </c>
      <c r="D37" s="590">
        <f t="shared" si="2"/>
        <v>72494976</v>
      </c>
      <c r="E37" s="590">
        <f t="shared" si="3"/>
        <v>-9796891</v>
      </c>
    </row>
    <row r="38" spans="1:5" s="421" customFormat="1" x14ac:dyDescent="0.2">
      <c r="A38" s="588">
        <v>3</v>
      </c>
      <c r="B38" s="587" t="s">
        <v>782</v>
      </c>
      <c r="C38" s="590">
        <f t="shared" si="2"/>
        <v>51063814</v>
      </c>
      <c r="D38" s="590">
        <f t="shared" si="2"/>
        <v>44092537</v>
      </c>
      <c r="E38" s="590">
        <f t="shared" si="3"/>
        <v>-6971277</v>
      </c>
    </row>
    <row r="39" spans="1:5" s="421" customFormat="1" x14ac:dyDescent="0.2">
      <c r="A39" s="588">
        <v>4</v>
      </c>
      <c r="B39" s="587" t="s">
        <v>783</v>
      </c>
      <c r="C39" s="590">
        <f t="shared" si="2"/>
        <v>50387476</v>
      </c>
      <c r="D39" s="590">
        <f t="shared" si="2"/>
        <v>43500630</v>
      </c>
      <c r="E39" s="590">
        <f t="shared" si="3"/>
        <v>-6886846</v>
      </c>
    </row>
    <row r="40" spans="1:5" s="421" customFormat="1" x14ac:dyDescent="0.2">
      <c r="A40" s="588">
        <v>5</v>
      </c>
      <c r="B40" s="587" t="s">
        <v>784</v>
      </c>
      <c r="C40" s="590">
        <f t="shared" si="2"/>
        <v>676338</v>
      </c>
      <c r="D40" s="590">
        <f t="shared" si="2"/>
        <v>591907</v>
      </c>
      <c r="E40" s="590">
        <f t="shared" si="3"/>
        <v>-84431</v>
      </c>
    </row>
    <row r="41" spans="1:5" s="421" customFormat="1" x14ac:dyDescent="0.2">
      <c r="A41" s="588">
        <v>6</v>
      </c>
      <c r="B41" s="587" t="s">
        <v>785</v>
      </c>
      <c r="C41" s="590">
        <f t="shared" si="2"/>
        <v>761086</v>
      </c>
      <c r="D41" s="590">
        <f t="shared" si="2"/>
        <v>523737</v>
      </c>
      <c r="E41" s="590">
        <f t="shared" si="3"/>
        <v>-237349</v>
      </c>
    </row>
    <row r="42" spans="1:5" s="421" customFormat="1" x14ac:dyDescent="0.2">
      <c r="A42" s="588">
        <v>7</v>
      </c>
      <c r="B42" s="587" t="s">
        <v>786</v>
      </c>
      <c r="C42" s="590">
        <f t="shared" si="2"/>
        <v>3897073</v>
      </c>
      <c r="D42" s="590">
        <f t="shared" si="2"/>
        <v>3645012</v>
      </c>
      <c r="E42" s="590">
        <f t="shared" si="3"/>
        <v>-252061</v>
      </c>
    </row>
    <row r="43" spans="1:5" s="421" customFormat="1" x14ac:dyDescent="0.2">
      <c r="A43" s="588"/>
      <c r="B43" s="592" t="s">
        <v>787</v>
      </c>
      <c r="C43" s="593">
        <f>SUM(C37+C38+C41)</f>
        <v>134116767</v>
      </c>
      <c r="D43" s="593">
        <f>SUM(D37+D38+D41)</f>
        <v>117111250</v>
      </c>
      <c r="E43" s="593">
        <f t="shared" si="3"/>
        <v>-17005517</v>
      </c>
    </row>
    <row r="44" spans="1:5" s="421" customFormat="1" x14ac:dyDescent="0.2">
      <c r="A44" s="588"/>
      <c r="B44" s="592" t="s">
        <v>724</v>
      </c>
      <c r="C44" s="593">
        <f>SUM(C36+C43)</f>
        <v>196286597</v>
      </c>
      <c r="D44" s="593">
        <f>SUM(D36+D43)</f>
        <v>175117173</v>
      </c>
      <c r="E44" s="593">
        <f t="shared" si="3"/>
        <v>-21169424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788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655</v>
      </c>
      <c r="C47" s="589">
        <v>5437065</v>
      </c>
      <c r="D47" s="589">
        <v>4367264</v>
      </c>
      <c r="E47" s="590">
        <f t="shared" ref="E47:E55" si="4">D47-C47</f>
        <v>-1069801</v>
      </c>
    </row>
    <row r="48" spans="1:5" s="421" customFormat="1" x14ac:dyDescent="0.2">
      <c r="A48" s="588">
        <v>2</v>
      </c>
      <c r="B48" s="587" t="s">
        <v>634</v>
      </c>
      <c r="C48" s="589">
        <v>21716341</v>
      </c>
      <c r="D48" s="591">
        <v>15533050</v>
      </c>
      <c r="E48" s="590">
        <f t="shared" si="4"/>
        <v>-6183291</v>
      </c>
    </row>
    <row r="49" spans="1:5" s="421" customFormat="1" x14ac:dyDescent="0.2">
      <c r="A49" s="588">
        <v>3</v>
      </c>
      <c r="B49" s="587" t="s">
        <v>776</v>
      </c>
      <c r="C49" s="589">
        <v>3675215</v>
      </c>
      <c r="D49" s="591">
        <v>2260670</v>
      </c>
      <c r="E49" s="590">
        <f t="shared" si="4"/>
        <v>-1414545</v>
      </c>
    </row>
    <row r="50" spans="1:5" s="421" customFormat="1" x14ac:dyDescent="0.2">
      <c r="A50" s="588">
        <v>4</v>
      </c>
      <c r="B50" s="587" t="s">
        <v>115</v>
      </c>
      <c r="C50" s="589">
        <v>3515603</v>
      </c>
      <c r="D50" s="591">
        <v>2212190</v>
      </c>
      <c r="E50" s="590">
        <f t="shared" si="4"/>
        <v>-1303413</v>
      </c>
    </row>
    <row r="51" spans="1:5" s="421" customFormat="1" x14ac:dyDescent="0.2">
      <c r="A51" s="588">
        <v>5</v>
      </c>
      <c r="B51" s="587" t="s">
        <v>742</v>
      </c>
      <c r="C51" s="589">
        <v>159612</v>
      </c>
      <c r="D51" s="591">
        <v>48480</v>
      </c>
      <c r="E51" s="590">
        <f t="shared" si="4"/>
        <v>-111132</v>
      </c>
    </row>
    <row r="52" spans="1:5" s="421" customFormat="1" x14ac:dyDescent="0.2">
      <c r="A52" s="588">
        <v>6</v>
      </c>
      <c r="B52" s="587" t="s">
        <v>424</v>
      </c>
      <c r="C52" s="589">
        <v>61777</v>
      </c>
      <c r="D52" s="591">
        <v>21462</v>
      </c>
      <c r="E52" s="590">
        <f t="shared" si="4"/>
        <v>-40315</v>
      </c>
    </row>
    <row r="53" spans="1:5" s="421" customFormat="1" x14ac:dyDescent="0.2">
      <c r="A53" s="588">
        <v>7</v>
      </c>
      <c r="B53" s="587" t="s">
        <v>757</v>
      </c>
      <c r="C53" s="589">
        <v>17775</v>
      </c>
      <c r="D53" s="591">
        <v>22621</v>
      </c>
      <c r="E53" s="590">
        <f t="shared" si="4"/>
        <v>4846</v>
      </c>
    </row>
    <row r="54" spans="1:5" s="421" customFormat="1" x14ac:dyDescent="0.2">
      <c r="A54" s="588"/>
      <c r="B54" s="592" t="s">
        <v>789</v>
      </c>
      <c r="C54" s="593">
        <f>SUM(C48+C49+C52)</f>
        <v>25453333</v>
      </c>
      <c r="D54" s="593">
        <f>SUM(D48+D49+D52)</f>
        <v>17815182</v>
      </c>
      <c r="E54" s="593">
        <f t="shared" si="4"/>
        <v>-7638151</v>
      </c>
    </row>
    <row r="55" spans="1:5" s="421" customFormat="1" x14ac:dyDescent="0.2">
      <c r="A55" s="588"/>
      <c r="B55" s="592" t="s">
        <v>466</v>
      </c>
      <c r="C55" s="593">
        <f>SUM(C47+C54)</f>
        <v>30890398</v>
      </c>
      <c r="D55" s="593">
        <f>SUM(D47+D54)</f>
        <v>22182446</v>
      </c>
      <c r="E55" s="593">
        <f t="shared" si="4"/>
        <v>-8707952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790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655</v>
      </c>
      <c r="C58" s="589">
        <v>27983868</v>
      </c>
      <c r="D58" s="589">
        <v>26725246</v>
      </c>
      <c r="E58" s="590">
        <f t="shared" ref="E58:E66" si="5">D58-C58</f>
        <v>-1258622</v>
      </c>
    </row>
    <row r="59" spans="1:5" s="421" customFormat="1" x14ac:dyDescent="0.2">
      <c r="A59" s="588">
        <v>2</v>
      </c>
      <c r="B59" s="587" t="s">
        <v>634</v>
      </c>
      <c r="C59" s="589">
        <v>11848586</v>
      </c>
      <c r="D59" s="591">
        <v>10610652</v>
      </c>
      <c r="E59" s="590">
        <f t="shared" si="5"/>
        <v>-1237934</v>
      </c>
    </row>
    <row r="60" spans="1:5" s="421" customFormat="1" x14ac:dyDescent="0.2">
      <c r="A60" s="588">
        <v>3</v>
      </c>
      <c r="B60" s="587" t="s">
        <v>776</v>
      </c>
      <c r="C60" s="589">
        <f>C61+C62</f>
        <v>8724675</v>
      </c>
      <c r="D60" s="591">
        <f>D61+D62</f>
        <v>8066905</v>
      </c>
      <c r="E60" s="590">
        <f t="shared" si="5"/>
        <v>-657770</v>
      </c>
    </row>
    <row r="61" spans="1:5" s="421" customFormat="1" x14ac:dyDescent="0.2">
      <c r="A61" s="588">
        <v>4</v>
      </c>
      <c r="B61" s="587" t="s">
        <v>115</v>
      </c>
      <c r="C61" s="589">
        <v>8669686</v>
      </c>
      <c r="D61" s="591">
        <v>8025624</v>
      </c>
      <c r="E61" s="590">
        <f t="shared" si="5"/>
        <v>-644062</v>
      </c>
    </row>
    <row r="62" spans="1:5" s="421" customFormat="1" x14ac:dyDescent="0.2">
      <c r="A62" s="588">
        <v>5</v>
      </c>
      <c r="B62" s="587" t="s">
        <v>742</v>
      </c>
      <c r="C62" s="589">
        <v>54989</v>
      </c>
      <c r="D62" s="591">
        <v>41281</v>
      </c>
      <c r="E62" s="590">
        <f t="shared" si="5"/>
        <v>-13708</v>
      </c>
    </row>
    <row r="63" spans="1:5" s="421" customFormat="1" x14ac:dyDescent="0.2">
      <c r="A63" s="588">
        <v>6</v>
      </c>
      <c r="B63" s="587" t="s">
        <v>424</v>
      </c>
      <c r="C63" s="589">
        <v>141321</v>
      </c>
      <c r="D63" s="591">
        <v>121385</v>
      </c>
      <c r="E63" s="590">
        <f t="shared" si="5"/>
        <v>-19936</v>
      </c>
    </row>
    <row r="64" spans="1:5" s="421" customFormat="1" x14ac:dyDescent="0.2">
      <c r="A64" s="588">
        <v>7</v>
      </c>
      <c r="B64" s="587" t="s">
        <v>757</v>
      </c>
      <c r="C64" s="589">
        <v>85585</v>
      </c>
      <c r="D64" s="591">
        <v>86800</v>
      </c>
      <c r="E64" s="590">
        <f t="shared" si="5"/>
        <v>1215</v>
      </c>
    </row>
    <row r="65" spans="1:5" s="421" customFormat="1" x14ac:dyDescent="0.2">
      <c r="A65" s="588"/>
      <c r="B65" s="592" t="s">
        <v>791</v>
      </c>
      <c r="C65" s="593">
        <f>SUM(C59+C60+C63)</f>
        <v>20714582</v>
      </c>
      <c r="D65" s="593">
        <f>SUM(D59+D60+D63)</f>
        <v>18798942</v>
      </c>
      <c r="E65" s="593">
        <f t="shared" si="5"/>
        <v>-1915640</v>
      </c>
    </row>
    <row r="66" spans="1:5" s="421" customFormat="1" x14ac:dyDescent="0.2">
      <c r="A66" s="588"/>
      <c r="B66" s="592" t="s">
        <v>468</v>
      </c>
      <c r="C66" s="593">
        <f>SUM(C58+C65)</f>
        <v>48698450</v>
      </c>
      <c r="D66" s="593">
        <f>SUM(D58+D65)</f>
        <v>45524188</v>
      </c>
      <c r="E66" s="593">
        <f t="shared" si="5"/>
        <v>-3174262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653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780</v>
      </c>
      <c r="C69" s="590">
        <f t="shared" ref="C69:D75" si="6">C47+C58</f>
        <v>33420933</v>
      </c>
      <c r="D69" s="590">
        <f t="shared" si="6"/>
        <v>31092510</v>
      </c>
      <c r="E69" s="590">
        <f t="shared" ref="E69:E77" si="7">D69-C69</f>
        <v>-2328423</v>
      </c>
    </row>
    <row r="70" spans="1:5" s="421" customFormat="1" x14ac:dyDescent="0.2">
      <c r="A70" s="588">
        <v>2</v>
      </c>
      <c r="B70" s="587" t="s">
        <v>781</v>
      </c>
      <c r="C70" s="590">
        <f t="shared" si="6"/>
        <v>33564927</v>
      </c>
      <c r="D70" s="590">
        <f t="shared" si="6"/>
        <v>26143702</v>
      </c>
      <c r="E70" s="590">
        <f t="shared" si="7"/>
        <v>-7421225</v>
      </c>
    </row>
    <row r="71" spans="1:5" s="421" customFormat="1" x14ac:dyDescent="0.2">
      <c r="A71" s="588">
        <v>3</v>
      </c>
      <c r="B71" s="587" t="s">
        <v>782</v>
      </c>
      <c r="C71" s="590">
        <f t="shared" si="6"/>
        <v>12399890</v>
      </c>
      <c r="D71" s="590">
        <f t="shared" si="6"/>
        <v>10327575</v>
      </c>
      <c r="E71" s="590">
        <f t="shared" si="7"/>
        <v>-2072315</v>
      </c>
    </row>
    <row r="72" spans="1:5" s="421" customFormat="1" x14ac:dyDescent="0.2">
      <c r="A72" s="588">
        <v>4</v>
      </c>
      <c r="B72" s="587" t="s">
        <v>783</v>
      </c>
      <c r="C72" s="590">
        <f t="shared" si="6"/>
        <v>12185289</v>
      </c>
      <c r="D72" s="590">
        <f t="shared" si="6"/>
        <v>10237814</v>
      </c>
      <c r="E72" s="590">
        <f t="shared" si="7"/>
        <v>-1947475</v>
      </c>
    </row>
    <row r="73" spans="1:5" s="421" customFormat="1" x14ac:dyDescent="0.2">
      <c r="A73" s="588">
        <v>5</v>
      </c>
      <c r="B73" s="587" t="s">
        <v>784</v>
      </c>
      <c r="C73" s="590">
        <f t="shared" si="6"/>
        <v>214601</v>
      </c>
      <c r="D73" s="590">
        <f t="shared" si="6"/>
        <v>89761</v>
      </c>
      <c r="E73" s="590">
        <f t="shared" si="7"/>
        <v>-124840</v>
      </c>
    </row>
    <row r="74" spans="1:5" s="421" customFormat="1" x14ac:dyDescent="0.2">
      <c r="A74" s="588">
        <v>6</v>
      </c>
      <c r="B74" s="587" t="s">
        <v>785</v>
      </c>
      <c r="C74" s="590">
        <f t="shared" si="6"/>
        <v>203098</v>
      </c>
      <c r="D74" s="590">
        <f t="shared" si="6"/>
        <v>142847</v>
      </c>
      <c r="E74" s="590">
        <f t="shared" si="7"/>
        <v>-60251</v>
      </c>
    </row>
    <row r="75" spans="1:5" s="421" customFormat="1" x14ac:dyDescent="0.2">
      <c r="A75" s="588">
        <v>7</v>
      </c>
      <c r="B75" s="587" t="s">
        <v>786</v>
      </c>
      <c r="C75" s="590">
        <f t="shared" si="6"/>
        <v>103360</v>
      </c>
      <c r="D75" s="590">
        <f t="shared" si="6"/>
        <v>109421</v>
      </c>
      <c r="E75" s="590">
        <f t="shared" si="7"/>
        <v>6061</v>
      </c>
    </row>
    <row r="76" spans="1:5" s="421" customFormat="1" x14ac:dyDescent="0.2">
      <c r="A76" s="588"/>
      <c r="B76" s="592" t="s">
        <v>792</v>
      </c>
      <c r="C76" s="593">
        <f>SUM(C70+C71+C74)</f>
        <v>46167915</v>
      </c>
      <c r="D76" s="593">
        <f>SUM(D70+D71+D74)</f>
        <v>36614124</v>
      </c>
      <c r="E76" s="593">
        <f t="shared" si="7"/>
        <v>-9553791</v>
      </c>
    </row>
    <row r="77" spans="1:5" s="421" customFormat="1" x14ac:dyDescent="0.2">
      <c r="A77" s="588"/>
      <c r="B77" s="592" t="s">
        <v>725</v>
      </c>
      <c r="C77" s="593">
        <f>SUM(C69+C76)</f>
        <v>79588848</v>
      </c>
      <c r="D77" s="593">
        <f>SUM(D69+D76)</f>
        <v>67706634</v>
      </c>
      <c r="E77" s="593">
        <f t="shared" si="7"/>
        <v>-11882214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793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794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655</v>
      </c>
      <c r="C83" s="599">
        <f t="shared" ref="C83:D89" si="8">IF(C$44=0,0,C14/C$44)</f>
        <v>3.9680421990300231E-2</v>
      </c>
      <c r="D83" s="599">
        <f t="shared" si="8"/>
        <v>3.4281286621729558E-2</v>
      </c>
      <c r="E83" s="599">
        <f t="shared" ref="E83:E91" si="9">D83-C83</f>
        <v>-5.3991353685706733E-3</v>
      </c>
    </row>
    <row r="84" spans="1:5" s="421" customFormat="1" x14ac:dyDescent="0.2">
      <c r="A84" s="588">
        <v>2</v>
      </c>
      <c r="B84" s="587" t="s">
        <v>634</v>
      </c>
      <c r="C84" s="599">
        <f t="shared" si="8"/>
        <v>0.17080819838147177</v>
      </c>
      <c r="D84" s="599">
        <f t="shared" si="8"/>
        <v>0.1420009675464553</v>
      </c>
      <c r="E84" s="599">
        <f t="shared" si="9"/>
        <v>-2.8807230835016462E-2</v>
      </c>
    </row>
    <row r="85" spans="1:5" s="421" customFormat="1" x14ac:dyDescent="0.2">
      <c r="A85" s="588">
        <v>3</v>
      </c>
      <c r="B85" s="587" t="s">
        <v>776</v>
      </c>
      <c r="C85" s="599">
        <f t="shared" si="8"/>
        <v>4.8108027467611558E-2</v>
      </c>
      <c r="D85" s="599">
        <f t="shared" si="8"/>
        <v>3.42715103104137E-2</v>
      </c>
      <c r="E85" s="599">
        <f t="shared" si="9"/>
        <v>-1.3836517157197858E-2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4.6860647342110678E-2</v>
      </c>
      <c r="D86" s="599">
        <f t="shared" si="8"/>
        <v>3.3471548789792305E-2</v>
      </c>
      <c r="E86" s="599">
        <f t="shared" si="9"/>
        <v>-1.3389098552318374E-2</v>
      </c>
    </row>
    <row r="87" spans="1:5" s="421" customFormat="1" x14ac:dyDescent="0.2">
      <c r="A87" s="588">
        <v>5</v>
      </c>
      <c r="B87" s="587" t="s">
        <v>742</v>
      </c>
      <c r="C87" s="599">
        <f t="shared" si="8"/>
        <v>1.2473801255008766E-3</v>
      </c>
      <c r="D87" s="599">
        <f t="shared" si="8"/>
        <v>7.9996152062139557E-4</v>
      </c>
      <c r="E87" s="599">
        <f t="shared" si="9"/>
        <v>-4.4741860487948102E-4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9.7524743373079113E-4</v>
      </c>
      <c r="D88" s="599">
        <f t="shared" si="8"/>
        <v>3.1886649974642979E-4</v>
      </c>
      <c r="E88" s="599">
        <f t="shared" si="9"/>
        <v>-6.5638093398436134E-4</v>
      </c>
    </row>
    <row r="89" spans="1:5" s="421" customFormat="1" x14ac:dyDescent="0.2">
      <c r="A89" s="588">
        <v>7</v>
      </c>
      <c r="B89" s="587" t="s">
        <v>757</v>
      </c>
      <c r="C89" s="599">
        <f t="shared" si="8"/>
        <v>3.47563211358746E-3</v>
      </c>
      <c r="D89" s="599">
        <f t="shared" si="8"/>
        <v>2.3437678496557274E-3</v>
      </c>
      <c r="E89" s="599">
        <f t="shared" si="9"/>
        <v>-1.1318642639317326E-3</v>
      </c>
    </row>
    <row r="90" spans="1:5" s="421" customFormat="1" x14ac:dyDescent="0.2">
      <c r="A90" s="588"/>
      <c r="B90" s="592" t="s">
        <v>795</v>
      </c>
      <c r="C90" s="600">
        <f>SUM(C84+C85+C88)</f>
        <v>0.21989147328281411</v>
      </c>
      <c r="D90" s="600">
        <f>SUM(D84+D85+D88)</f>
        <v>0.17659134435661544</v>
      </c>
      <c r="E90" s="601">
        <f t="shared" si="9"/>
        <v>-4.3300128926198667E-2</v>
      </c>
    </row>
    <row r="91" spans="1:5" s="421" customFormat="1" x14ac:dyDescent="0.2">
      <c r="A91" s="588"/>
      <c r="B91" s="592" t="s">
        <v>796</v>
      </c>
      <c r="C91" s="600">
        <f>SUM(C83+C90)</f>
        <v>0.25957189527311436</v>
      </c>
      <c r="D91" s="600">
        <f>SUM(D83+D90)</f>
        <v>0.21087263097834499</v>
      </c>
      <c r="E91" s="601">
        <f t="shared" si="9"/>
        <v>-4.8699264294769368E-2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797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655</v>
      </c>
      <c r="C95" s="599">
        <f t="shared" ref="C95:D101" si="10">IF(C$44=0,0,C25/C$44)</f>
        <v>0.2770494564129613</v>
      </c>
      <c r="D95" s="599">
        <f t="shared" si="10"/>
        <v>0.29695934504378962</v>
      </c>
      <c r="E95" s="599">
        <f t="shared" ref="E95:E103" si="11">D95-C95</f>
        <v>1.9909888630828321E-2</v>
      </c>
    </row>
    <row r="96" spans="1:5" s="421" customFormat="1" x14ac:dyDescent="0.2">
      <c r="A96" s="588">
        <v>2</v>
      </c>
      <c r="B96" s="587" t="s">
        <v>634</v>
      </c>
      <c r="C96" s="599">
        <f t="shared" si="10"/>
        <v>0.24843523574867418</v>
      </c>
      <c r="D96" s="599">
        <f t="shared" si="10"/>
        <v>0.2719788538386238</v>
      </c>
      <c r="E96" s="599">
        <f t="shared" si="11"/>
        <v>2.3543618089949619E-2</v>
      </c>
    </row>
    <row r="97" spans="1:5" s="421" customFormat="1" x14ac:dyDescent="0.2">
      <c r="A97" s="588">
        <v>3</v>
      </c>
      <c r="B97" s="587" t="s">
        <v>776</v>
      </c>
      <c r="C97" s="599">
        <f t="shared" si="10"/>
        <v>0.21204123784366183</v>
      </c>
      <c r="D97" s="599">
        <f t="shared" si="10"/>
        <v>0.21751725628873644</v>
      </c>
      <c r="E97" s="599">
        <f t="shared" si="11"/>
        <v>5.4760184450746152E-3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0.20984295224192001</v>
      </c>
      <c r="D98" s="599">
        <f t="shared" si="10"/>
        <v>0.21493715524975954</v>
      </c>
      <c r="E98" s="599">
        <f t="shared" si="11"/>
        <v>5.0942030078395262E-3</v>
      </c>
    </row>
    <row r="99" spans="1:5" s="421" customFormat="1" x14ac:dyDescent="0.2">
      <c r="A99" s="588">
        <v>5</v>
      </c>
      <c r="B99" s="587" t="s">
        <v>742</v>
      </c>
      <c r="C99" s="599">
        <f t="shared" si="10"/>
        <v>2.1982856017418247E-3</v>
      </c>
      <c r="D99" s="599">
        <f t="shared" si="10"/>
        <v>2.5801010389769142E-3</v>
      </c>
      <c r="E99" s="599">
        <f t="shared" si="11"/>
        <v>3.8181543723508947E-4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2.9021747215883516E-3</v>
      </c>
      <c r="D100" s="599">
        <f t="shared" si="10"/>
        <v>2.6719138505051131E-3</v>
      </c>
      <c r="E100" s="599">
        <f t="shared" si="11"/>
        <v>-2.3026087108323845E-4</v>
      </c>
    </row>
    <row r="101" spans="1:5" s="421" customFormat="1" x14ac:dyDescent="0.2">
      <c r="A101" s="588">
        <v>7</v>
      </c>
      <c r="B101" s="587" t="s">
        <v>757</v>
      </c>
      <c r="C101" s="599">
        <f t="shared" si="10"/>
        <v>1.6378362298471148E-2</v>
      </c>
      <c r="D101" s="599">
        <f t="shared" si="10"/>
        <v>1.8470935457597867E-2</v>
      </c>
      <c r="E101" s="599">
        <f t="shared" si="11"/>
        <v>2.0925731591267191E-3</v>
      </c>
    </row>
    <row r="102" spans="1:5" s="421" customFormat="1" x14ac:dyDescent="0.2">
      <c r="A102" s="588"/>
      <c r="B102" s="592" t="s">
        <v>798</v>
      </c>
      <c r="C102" s="600">
        <f>SUM(C96+C97+C100)</f>
        <v>0.46337864831392434</v>
      </c>
      <c r="D102" s="600">
        <f>SUM(D96+D97+D100)</f>
        <v>0.49216802397786541</v>
      </c>
      <c r="E102" s="601">
        <f t="shared" si="11"/>
        <v>2.8789375663941075E-2</v>
      </c>
    </row>
    <row r="103" spans="1:5" s="421" customFormat="1" x14ac:dyDescent="0.2">
      <c r="A103" s="588"/>
      <c r="B103" s="592" t="s">
        <v>799</v>
      </c>
      <c r="C103" s="600">
        <f>SUM(C95+C102)</f>
        <v>0.74042810472688569</v>
      </c>
      <c r="D103" s="600">
        <f>SUM(D95+D102)</f>
        <v>0.78912736902165503</v>
      </c>
      <c r="E103" s="601">
        <f t="shared" si="11"/>
        <v>4.869926429476934E-2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800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801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655</v>
      </c>
      <c r="C109" s="599">
        <f t="shared" ref="C109:D115" si="12">IF(C$77=0,0,C47/C$77)</f>
        <v>6.831440756624596E-2</v>
      </c>
      <c r="D109" s="599">
        <f t="shared" si="12"/>
        <v>6.4502748726217876E-2</v>
      </c>
      <c r="E109" s="599">
        <f t="shared" ref="E109:E117" si="13">D109-C109</f>
        <v>-3.8116588400280843E-3</v>
      </c>
    </row>
    <row r="110" spans="1:5" s="421" customFormat="1" x14ac:dyDescent="0.2">
      <c r="A110" s="588">
        <v>2</v>
      </c>
      <c r="B110" s="587" t="s">
        <v>634</v>
      </c>
      <c r="C110" s="599">
        <f t="shared" si="12"/>
        <v>0.27285658161555498</v>
      </c>
      <c r="D110" s="599">
        <f t="shared" si="12"/>
        <v>0.22941695787151375</v>
      </c>
      <c r="E110" s="599">
        <f t="shared" si="13"/>
        <v>-4.3439623744041228E-2</v>
      </c>
    </row>
    <row r="111" spans="1:5" s="421" customFormat="1" x14ac:dyDescent="0.2">
      <c r="A111" s="588">
        <v>3</v>
      </c>
      <c r="B111" s="587" t="s">
        <v>776</v>
      </c>
      <c r="C111" s="599">
        <f t="shared" si="12"/>
        <v>4.6177512206232715E-2</v>
      </c>
      <c r="D111" s="599">
        <f t="shared" si="12"/>
        <v>3.3389194919954228E-2</v>
      </c>
      <c r="E111" s="599">
        <f t="shared" si="13"/>
        <v>-1.2788317286278487E-2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4.4172055361323986E-2</v>
      </c>
      <c r="D112" s="599">
        <f t="shared" si="12"/>
        <v>3.2673164641444145E-2</v>
      </c>
      <c r="E112" s="599">
        <f t="shared" si="13"/>
        <v>-1.1498890719879841E-2</v>
      </c>
    </row>
    <row r="113" spans="1:5" s="421" customFormat="1" x14ac:dyDescent="0.2">
      <c r="A113" s="588">
        <v>5</v>
      </c>
      <c r="B113" s="587" t="s">
        <v>742</v>
      </c>
      <c r="C113" s="599">
        <f t="shared" si="12"/>
        <v>2.0054568449087238E-3</v>
      </c>
      <c r="D113" s="599">
        <f t="shared" si="12"/>
        <v>7.1603027851007924E-4</v>
      </c>
      <c r="E113" s="599">
        <f t="shared" si="13"/>
        <v>-1.2894265663986445E-3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7.7620171107389314E-4</v>
      </c>
      <c r="D114" s="599">
        <f t="shared" si="12"/>
        <v>3.1698518641467248E-4</v>
      </c>
      <c r="E114" s="599">
        <f t="shared" si="13"/>
        <v>-4.5921652465922067E-4</v>
      </c>
    </row>
    <row r="115" spans="1:5" s="421" customFormat="1" x14ac:dyDescent="0.2">
      <c r="A115" s="588">
        <v>7</v>
      </c>
      <c r="B115" s="587" t="s">
        <v>757</v>
      </c>
      <c r="C115" s="599">
        <f t="shared" si="12"/>
        <v>2.2333530948959079E-4</v>
      </c>
      <c r="D115" s="599">
        <f t="shared" si="12"/>
        <v>3.341031545003404E-4</v>
      </c>
      <c r="E115" s="599">
        <f t="shared" si="13"/>
        <v>1.1076784501074961E-4</v>
      </c>
    </row>
    <row r="116" spans="1:5" s="421" customFormat="1" x14ac:dyDescent="0.2">
      <c r="A116" s="588"/>
      <c r="B116" s="592" t="s">
        <v>795</v>
      </c>
      <c r="C116" s="600">
        <f>SUM(C110+C111+C114)</f>
        <v>0.31981029553286161</v>
      </c>
      <c r="D116" s="600">
        <f>SUM(D110+D111+D114)</f>
        <v>0.26312313797788262</v>
      </c>
      <c r="E116" s="601">
        <f t="shared" si="13"/>
        <v>-5.6687157554978995E-2</v>
      </c>
    </row>
    <row r="117" spans="1:5" s="421" customFormat="1" x14ac:dyDescent="0.2">
      <c r="A117" s="588"/>
      <c r="B117" s="592" t="s">
        <v>796</v>
      </c>
      <c r="C117" s="600">
        <f>SUM(C109+C116)</f>
        <v>0.38812470309910757</v>
      </c>
      <c r="D117" s="600">
        <f>SUM(D109+D116)</f>
        <v>0.32762588670410048</v>
      </c>
      <c r="E117" s="601">
        <f t="shared" si="13"/>
        <v>-6.0498816395007093E-2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802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655</v>
      </c>
      <c r="C121" s="599">
        <f t="shared" ref="C121:D127" si="14">IF(C$77=0,0,C58/C$77)</f>
        <v>0.35160539074519587</v>
      </c>
      <c r="D121" s="599">
        <f t="shared" si="14"/>
        <v>0.39472123219122074</v>
      </c>
      <c r="E121" s="599">
        <f t="shared" ref="E121:E129" si="15">D121-C121</f>
        <v>4.3115841446024872E-2</v>
      </c>
    </row>
    <row r="122" spans="1:5" s="421" customFormat="1" x14ac:dyDescent="0.2">
      <c r="A122" s="588">
        <v>2</v>
      </c>
      <c r="B122" s="587" t="s">
        <v>634</v>
      </c>
      <c r="C122" s="599">
        <f t="shared" si="14"/>
        <v>0.14887244001822969</v>
      </c>
      <c r="D122" s="599">
        <f t="shared" si="14"/>
        <v>0.1567151012115002</v>
      </c>
      <c r="E122" s="599">
        <f t="shared" si="15"/>
        <v>7.8426611932705115E-3</v>
      </c>
    </row>
    <row r="123" spans="1:5" s="421" customFormat="1" x14ac:dyDescent="0.2">
      <c r="A123" s="588">
        <v>3</v>
      </c>
      <c r="B123" s="587" t="s">
        <v>776</v>
      </c>
      <c r="C123" s="599">
        <f t="shared" si="14"/>
        <v>0.1096218279224245</v>
      </c>
      <c r="D123" s="599">
        <f t="shared" si="14"/>
        <v>0.1191449718206343</v>
      </c>
      <c r="E123" s="599">
        <f t="shared" si="15"/>
        <v>9.523143898209796E-3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0.10893091454219818</v>
      </c>
      <c r="D124" s="599">
        <f t="shared" si="14"/>
        <v>0.11853526790299455</v>
      </c>
      <c r="E124" s="599">
        <f t="shared" si="15"/>
        <v>9.6043533607963749E-3</v>
      </c>
    </row>
    <row r="125" spans="1:5" s="421" customFormat="1" x14ac:dyDescent="0.2">
      <c r="A125" s="588">
        <v>5</v>
      </c>
      <c r="B125" s="587" t="s">
        <v>742</v>
      </c>
      <c r="C125" s="599">
        <f t="shared" si="14"/>
        <v>6.9091338022633526E-4</v>
      </c>
      <c r="D125" s="599">
        <f t="shared" si="14"/>
        <v>6.0970391763973965E-4</v>
      </c>
      <c r="E125" s="599">
        <f t="shared" si="15"/>
        <v>-8.1209462586595603E-5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1.7756382150423888E-3</v>
      </c>
      <c r="D126" s="599">
        <f t="shared" si="14"/>
        <v>1.792808072544265E-3</v>
      </c>
      <c r="E126" s="599">
        <f t="shared" si="15"/>
        <v>1.7169857501876185E-5</v>
      </c>
    </row>
    <row r="127" spans="1:5" s="421" customFormat="1" x14ac:dyDescent="0.2">
      <c r="A127" s="588">
        <v>7</v>
      </c>
      <c r="B127" s="587" t="s">
        <v>757</v>
      </c>
      <c r="C127" s="599">
        <f t="shared" si="14"/>
        <v>1.0753390977590227E-3</v>
      </c>
      <c r="D127" s="599">
        <f t="shared" si="14"/>
        <v>1.2820014062432936E-3</v>
      </c>
      <c r="E127" s="599">
        <f t="shared" si="15"/>
        <v>2.0666230848427093E-4</v>
      </c>
    </row>
    <row r="128" spans="1:5" s="421" customFormat="1" x14ac:dyDescent="0.2">
      <c r="A128" s="588"/>
      <c r="B128" s="592" t="s">
        <v>798</v>
      </c>
      <c r="C128" s="600">
        <f>SUM(C122+C123+C126)</f>
        <v>0.26026990615569662</v>
      </c>
      <c r="D128" s="600">
        <f>SUM(D122+D123+D126)</f>
        <v>0.27765288110467878</v>
      </c>
      <c r="E128" s="601">
        <f t="shared" si="15"/>
        <v>1.7382974948982166E-2</v>
      </c>
    </row>
    <row r="129" spans="1:5" s="421" customFormat="1" x14ac:dyDescent="0.2">
      <c r="A129" s="588"/>
      <c r="B129" s="592" t="s">
        <v>799</v>
      </c>
      <c r="C129" s="600">
        <f>SUM(C121+C128)</f>
        <v>0.61187529690089248</v>
      </c>
      <c r="D129" s="600">
        <f>SUM(D121+D128)</f>
        <v>0.67237411329589958</v>
      </c>
      <c r="E129" s="601">
        <f t="shared" si="15"/>
        <v>6.0498816395007093E-2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803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804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805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655</v>
      </c>
      <c r="C137" s="606">
        <v>559</v>
      </c>
      <c r="D137" s="606">
        <v>408</v>
      </c>
      <c r="E137" s="607">
        <f t="shared" ref="E137:E145" si="16">D137-C137</f>
        <v>-151</v>
      </c>
    </row>
    <row r="138" spans="1:5" s="421" customFormat="1" x14ac:dyDescent="0.2">
      <c r="A138" s="588">
        <v>2</v>
      </c>
      <c r="B138" s="587" t="s">
        <v>634</v>
      </c>
      <c r="C138" s="606">
        <v>1672</v>
      </c>
      <c r="D138" s="606">
        <v>1292</v>
      </c>
      <c r="E138" s="607">
        <f t="shared" si="16"/>
        <v>-380</v>
      </c>
    </row>
    <row r="139" spans="1:5" s="421" customFormat="1" x14ac:dyDescent="0.2">
      <c r="A139" s="588">
        <v>3</v>
      </c>
      <c r="B139" s="587" t="s">
        <v>776</v>
      </c>
      <c r="C139" s="606">
        <f>C140+C141</f>
        <v>654</v>
      </c>
      <c r="D139" s="606">
        <f>D140+D141</f>
        <v>521</v>
      </c>
      <c r="E139" s="607">
        <f t="shared" si="16"/>
        <v>-133</v>
      </c>
    </row>
    <row r="140" spans="1:5" s="421" customFormat="1" x14ac:dyDescent="0.2">
      <c r="A140" s="588">
        <v>4</v>
      </c>
      <c r="B140" s="587" t="s">
        <v>115</v>
      </c>
      <c r="C140" s="606">
        <v>637</v>
      </c>
      <c r="D140" s="606">
        <v>512</v>
      </c>
      <c r="E140" s="607">
        <f t="shared" si="16"/>
        <v>-125</v>
      </c>
    </row>
    <row r="141" spans="1:5" s="421" customFormat="1" x14ac:dyDescent="0.2">
      <c r="A141" s="588">
        <v>5</v>
      </c>
      <c r="B141" s="587" t="s">
        <v>742</v>
      </c>
      <c r="C141" s="606">
        <v>17</v>
      </c>
      <c r="D141" s="606">
        <v>9</v>
      </c>
      <c r="E141" s="607">
        <f t="shared" si="16"/>
        <v>-8</v>
      </c>
    </row>
    <row r="142" spans="1:5" s="421" customFormat="1" x14ac:dyDescent="0.2">
      <c r="A142" s="588">
        <v>6</v>
      </c>
      <c r="B142" s="587" t="s">
        <v>424</v>
      </c>
      <c r="C142" s="606">
        <v>16</v>
      </c>
      <c r="D142" s="606">
        <v>4</v>
      </c>
      <c r="E142" s="607">
        <f t="shared" si="16"/>
        <v>-12</v>
      </c>
    </row>
    <row r="143" spans="1:5" s="421" customFormat="1" x14ac:dyDescent="0.2">
      <c r="A143" s="588">
        <v>7</v>
      </c>
      <c r="B143" s="587" t="s">
        <v>757</v>
      </c>
      <c r="C143" s="606">
        <v>26</v>
      </c>
      <c r="D143" s="606">
        <v>34</v>
      </c>
      <c r="E143" s="607">
        <f t="shared" si="16"/>
        <v>8</v>
      </c>
    </row>
    <row r="144" spans="1:5" s="421" customFormat="1" x14ac:dyDescent="0.2">
      <c r="A144" s="588"/>
      <c r="B144" s="592" t="s">
        <v>806</v>
      </c>
      <c r="C144" s="608">
        <f>SUM(C138+C139+C142)</f>
        <v>2342</v>
      </c>
      <c r="D144" s="608">
        <f>SUM(D138+D139+D142)</f>
        <v>1817</v>
      </c>
      <c r="E144" s="609">
        <f t="shared" si="16"/>
        <v>-525</v>
      </c>
    </row>
    <row r="145" spans="1:5" s="421" customFormat="1" x14ac:dyDescent="0.2">
      <c r="A145" s="588"/>
      <c r="B145" s="592" t="s">
        <v>138</v>
      </c>
      <c r="C145" s="608">
        <f>SUM(C137+C144)</f>
        <v>2901</v>
      </c>
      <c r="D145" s="608">
        <f>SUM(D137+D144)</f>
        <v>2225</v>
      </c>
      <c r="E145" s="609">
        <f t="shared" si="16"/>
        <v>-676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655</v>
      </c>
      <c r="C149" s="610">
        <v>1980</v>
      </c>
      <c r="D149" s="610">
        <v>1334</v>
      </c>
      <c r="E149" s="607">
        <f t="shared" ref="E149:E157" si="17">D149-C149</f>
        <v>-646</v>
      </c>
    </row>
    <row r="150" spans="1:5" s="421" customFormat="1" x14ac:dyDescent="0.2">
      <c r="A150" s="588">
        <v>2</v>
      </c>
      <c r="B150" s="587" t="s">
        <v>634</v>
      </c>
      <c r="C150" s="610">
        <v>7809</v>
      </c>
      <c r="D150" s="610">
        <v>5745</v>
      </c>
      <c r="E150" s="607">
        <f t="shared" si="17"/>
        <v>-2064</v>
      </c>
    </row>
    <row r="151" spans="1:5" s="421" customFormat="1" x14ac:dyDescent="0.2">
      <c r="A151" s="588">
        <v>3</v>
      </c>
      <c r="B151" s="587" t="s">
        <v>776</v>
      </c>
      <c r="C151" s="610">
        <f>C152+C153</f>
        <v>2380</v>
      </c>
      <c r="D151" s="610">
        <f>D152+D153</f>
        <v>1507</v>
      </c>
      <c r="E151" s="607">
        <f t="shared" si="17"/>
        <v>-873</v>
      </c>
    </row>
    <row r="152" spans="1:5" s="421" customFormat="1" x14ac:dyDescent="0.2">
      <c r="A152" s="588">
        <v>4</v>
      </c>
      <c r="B152" s="587" t="s">
        <v>115</v>
      </c>
      <c r="C152" s="610">
        <v>2324</v>
      </c>
      <c r="D152" s="610">
        <v>1476</v>
      </c>
      <c r="E152" s="607">
        <f t="shared" si="17"/>
        <v>-848</v>
      </c>
    </row>
    <row r="153" spans="1:5" s="421" customFormat="1" x14ac:dyDescent="0.2">
      <c r="A153" s="588">
        <v>5</v>
      </c>
      <c r="B153" s="587" t="s">
        <v>742</v>
      </c>
      <c r="C153" s="611">
        <v>56</v>
      </c>
      <c r="D153" s="610">
        <v>31</v>
      </c>
      <c r="E153" s="607">
        <f t="shared" si="17"/>
        <v>-25</v>
      </c>
    </row>
    <row r="154" spans="1:5" s="421" customFormat="1" x14ac:dyDescent="0.2">
      <c r="A154" s="588">
        <v>6</v>
      </c>
      <c r="B154" s="587" t="s">
        <v>424</v>
      </c>
      <c r="C154" s="610">
        <v>45</v>
      </c>
      <c r="D154" s="610">
        <v>8</v>
      </c>
      <c r="E154" s="607">
        <f t="shared" si="17"/>
        <v>-37</v>
      </c>
    </row>
    <row r="155" spans="1:5" s="421" customFormat="1" x14ac:dyDescent="0.2">
      <c r="A155" s="588">
        <v>7</v>
      </c>
      <c r="B155" s="587" t="s">
        <v>757</v>
      </c>
      <c r="C155" s="610">
        <v>328</v>
      </c>
      <c r="D155" s="610">
        <v>84</v>
      </c>
      <c r="E155" s="607">
        <f t="shared" si="17"/>
        <v>-244</v>
      </c>
    </row>
    <row r="156" spans="1:5" s="421" customFormat="1" x14ac:dyDescent="0.2">
      <c r="A156" s="588"/>
      <c r="B156" s="592" t="s">
        <v>807</v>
      </c>
      <c r="C156" s="608">
        <f>SUM(C150+C151+C154)</f>
        <v>10234</v>
      </c>
      <c r="D156" s="608">
        <f>SUM(D150+D151+D154)</f>
        <v>7260</v>
      </c>
      <c r="E156" s="609">
        <f t="shared" si="17"/>
        <v>-2974</v>
      </c>
    </row>
    <row r="157" spans="1:5" s="421" customFormat="1" x14ac:dyDescent="0.2">
      <c r="A157" s="588"/>
      <c r="B157" s="592" t="s">
        <v>140</v>
      </c>
      <c r="C157" s="608">
        <f>SUM(C149+C156)</f>
        <v>12214</v>
      </c>
      <c r="D157" s="608">
        <f>SUM(D149+D156)</f>
        <v>8594</v>
      </c>
      <c r="E157" s="609">
        <f t="shared" si="17"/>
        <v>-3620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808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655</v>
      </c>
      <c r="C161" s="612">
        <f t="shared" ref="C161:D169" si="18">IF(C137=0,0,C149/C137)</f>
        <v>3.5420393559928445</v>
      </c>
      <c r="D161" s="612">
        <f t="shared" si="18"/>
        <v>3.2696078431372548</v>
      </c>
      <c r="E161" s="613">
        <f t="shared" ref="E161:E169" si="19">D161-C161</f>
        <v>-0.27243151285558964</v>
      </c>
    </row>
    <row r="162" spans="1:5" s="421" customFormat="1" x14ac:dyDescent="0.2">
      <c r="A162" s="588">
        <v>2</v>
      </c>
      <c r="B162" s="587" t="s">
        <v>634</v>
      </c>
      <c r="C162" s="612">
        <f t="shared" si="18"/>
        <v>4.6704545454545459</v>
      </c>
      <c r="D162" s="612">
        <f t="shared" si="18"/>
        <v>4.4465944272445821</v>
      </c>
      <c r="E162" s="613">
        <f t="shared" si="19"/>
        <v>-0.22386011820996377</v>
      </c>
    </row>
    <row r="163" spans="1:5" s="421" customFormat="1" x14ac:dyDescent="0.2">
      <c r="A163" s="588">
        <v>3</v>
      </c>
      <c r="B163" s="587" t="s">
        <v>776</v>
      </c>
      <c r="C163" s="612">
        <f t="shared" si="18"/>
        <v>3.6391437308868499</v>
      </c>
      <c r="D163" s="612">
        <f t="shared" si="18"/>
        <v>2.8925143953934742</v>
      </c>
      <c r="E163" s="613">
        <f t="shared" si="19"/>
        <v>-0.74662933549337573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3.6483516483516483</v>
      </c>
      <c r="D164" s="612">
        <f t="shared" si="18"/>
        <v>2.8828125</v>
      </c>
      <c r="E164" s="613">
        <f t="shared" si="19"/>
        <v>-0.76553914835164827</v>
      </c>
    </row>
    <row r="165" spans="1:5" s="421" customFormat="1" x14ac:dyDescent="0.2">
      <c r="A165" s="588">
        <v>5</v>
      </c>
      <c r="B165" s="587" t="s">
        <v>742</v>
      </c>
      <c r="C165" s="612">
        <f t="shared" si="18"/>
        <v>3.2941176470588234</v>
      </c>
      <c r="D165" s="612">
        <f t="shared" si="18"/>
        <v>3.4444444444444446</v>
      </c>
      <c r="E165" s="613">
        <f t="shared" si="19"/>
        <v>0.15032679738562127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2.8125</v>
      </c>
      <c r="D166" s="612">
        <f t="shared" si="18"/>
        <v>2</v>
      </c>
      <c r="E166" s="613">
        <f t="shared" si="19"/>
        <v>-0.8125</v>
      </c>
    </row>
    <row r="167" spans="1:5" s="421" customFormat="1" x14ac:dyDescent="0.2">
      <c r="A167" s="588">
        <v>7</v>
      </c>
      <c r="B167" s="587" t="s">
        <v>757</v>
      </c>
      <c r="C167" s="612">
        <f t="shared" si="18"/>
        <v>12.615384615384615</v>
      </c>
      <c r="D167" s="612">
        <f t="shared" si="18"/>
        <v>2.4705882352941178</v>
      </c>
      <c r="E167" s="613">
        <f t="shared" si="19"/>
        <v>-10.144796380090497</v>
      </c>
    </row>
    <row r="168" spans="1:5" s="421" customFormat="1" x14ac:dyDescent="0.2">
      <c r="A168" s="588"/>
      <c r="B168" s="592" t="s">
        <v>809</v>
      </c>
      <c r="C168" s="614">
        <f t="shared" si="18"/>
        <v>4.3697694278394534</v>
      </c>
      <c r="D168" s="614">
        <f t="shared" si="18"/>
        <v>3.9955971381397908</v>
      </c>
      <c r="E168" s="615">
        <f t="shared" si="19"/>
        <v>-0.37417228969966265</v>
      </c>
    </row>
    <row r="169" spans="1:5" s="421" customFormat="1" x14ac:dyDescent="0.2">
      <c r="A169" s="588"/>
      <c r="B169" s="592" t="s">
        <v>743</v>
      </c>
      <c r="C169" s="614">
        <f t="shared" si="18"/>
        <v>4.2102723198896932</v>
      </c>
      <c r="D169" s="614">
        <f t="shared" si="18"/>
        <v>3.8624719101123595</v>
      </c>
      <c r="E169" s="615">
        <f t="shared" si="19"/>
        <v>-0.34780040977733373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810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655</v>
      </c>
      <c r="C173" s="617">
        <f t="shared" ref="C173:D181" si="20">IF(C137=0,0,C203/C137)</f>
        <v>1.05813</v>
      </c>
      <c r="D173" s="617">
        <f t="shared" si="20"/>
        <v>1.1956</v>
      </c>
      <c r="E173" s="618">
        <f t="shared" ref="E173:E181" si="21">D173-C173</f>
        <v>0.13746999999999998</v>
      </c>
    </row>
    <row r="174" spans="1:5" s="421" customFormat="1" x14ac:dyDescent="0.2">
      <c r="A174" s="588">
        <v>2</v>
      </c>
      <c r="B174" s="587" t="s">
        <v>634</v>
      </c>
      <c r="C174" s="617">
        <f t="shared" si="20"/>
        <v>1.4158299999999999</v>
      </c>
      <c r="D174" s="617">
        <f t="shared" si="20"/>
        <v>1.4297800000000001</v>
      </c>
      <c r="E174" s="618">
        <f t="shared" si="21"/>
        <v>1.3950000000000129E-2</v>
      </c>
    </row>
    <row r="175" spans="1:5" s="421" customFormat="1" x14ac:dyDescent="0.2">
      <c r="A175" s="588">
        <v>3</v>
      </c>
      <c r="B175" s="587" t="s">
        <v>776</v>
      </c>
      <c r="C175" s="617">
        <f t="shared" si="20"/>
        <v>1.0113123241590214</v>
      </c>
      <c r="D175" s="617">
        <f t="shared" si="20"/>
        <v>0.97645877159309014</v>
      </c>
      <c r="E175" s="618">
        <f t="shared" si="21"/>
        <v>-3.4853552565931256E-2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1.00946</v>
      </c>
      <c r="D176" s="617">
        <f t="shared" si="20"/>
        <v>0.97394999999999998</v>
      </c>
      <c r="E176" s="618">
        <f t="shared" si="21"/>
        <v>-3.5510000000000042E-2</v>
      </c>
    </row>
    <row r="177" spans="1:5" s="421" customFormat="1" x14ac:dyDescent="0.2">
      <c r="A177" s="588">
        <v>5</v>
      </c>
      <c r="B177" s="587" t="s">
        <v>742</v>
      </c>
      <c r="C177" s="617">
        <f t="shared" si="20"/>
        <v>1.0807199999999999</v>
      </c>
      <c r="D177" s="617">
        <f t="shared" si="20"/>
        <v>1.1191800000000001</v>
      </c>
      <c r="E177" s="618">
        <f t="shared" si="21"/>
        <v>3.8460000000000161E-2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0.93852999999999998</v>
      </c>
      <c r="D178" s="617">
        <f t="shared" si="20"/>
        <v>0.98092999999999997</v>
      </c>
      <c r="E178" s="618">
        <f t="shared" si="21"/>
        <v>4.2399999999999993E-2</v>
      </c>
    </row>
    <row r="179" spans="1:5" s="421" customFormat="1" x14ac:dyDescent="0.2">
      <c r="A179" s="588">
        <v>7</v>
      </c>
      <c r="B179" s="587" t="s">
        <v>757</v>
      </c>
      <c r="C179" s="617">
        <f t="shared" si="20"/>
        <v>1.06321</v>
      </c>
      <c r="D179" s="617">
        <f t="shared" si="20"/>
        <v>0.98675000000000002</v>
      </c>
      <c r="E179" s="618">
        <f t="shared" si="21"/>
        <v>-7.6459999999999972E-2</v>
      </c>
    </row>
    <row r="180" spans="1:5" s="421" customFormat="1" x14ac:dyDescent="0.2">
      <c r="A180" s="588"/>
      <c r="B180" s="592" t="s">
        <v>811</v>
      </c>
      <c r="C180" s="619">
        <f t="shared" si="20"/>
        <v>1.299608240819812</v>
      </c>
      <c r="D180" s="619">
        <f t="shared" si="20"/>
        <v>1.2988082003302146</v>
      </c>
      <c r="E180" s="620">
        <f t="shared" si="21"/>
        <v>-8.0004048959736451E-4</v>
      </c>
    </row>
    <row r="181" spans="1:5" s="421" customFormat="1" x14ac:dyDescent="0.2">
      <c r="A181" s="588"/>
      <c r="B181" s="592" t="s">
        <v>722</v>
      </c>
      <c r="C181" s="619">
        <f t="shared" si="20"/>
        <v>1.2530772733540156</v>
      </c>
      <c r="D181" s="619">
        <f t="shared" si="20"/>
        <v>1.2798828314606741</v>
      </c>
      <c r="E181" s="620">
        <f t="shared" si="21"/>
        <v>2.6805558106658411E-2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812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813</v>
      </c>
      <c r="C185" s="589">
        <v>52910924</v>
      </c>
      <c r="D185" s="589">
        <v>50704078</v>
      </c>
      <c r="E185" s="590">
        <f>D185-C185</f>
        <v>-2206846</v>
      </c>
    </row>
    <row r="186" spans="1:5" s="421" customFormat="1" ht="25.5" x14ac:dyDescent="0.2">
      <c r="A186" s="588">
        <v>2</v>
      </c>
      <c r="B186" s="587" t="s">
        <v>814</v>
      </c>
      <c r="C186" s="589">
        <v>33320156</v>
      </c>
      <c r="D186" s="589">
        <v>30983089</v>
      </c>
      <c r="E186" s="590">
        <f>D186-C186</f>
        <v>-2337067</v>
      </c>
    </row>
    <row r="187" spans="1:5" s="421" customFormat="1" x14ac:dyDescent="0.2">
      <c r="A187" s="588"/>
      <c r="B187" s="587" t="s">
        <v>667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746</v>
      </c>
      <c r="C188" s="622">
        <f>+C185-C186</f>
        <v>19590768</v>
      </c>
      <c r="D188" s="622">
        <f>+D185-D186</f>
        <v>19720989</v>
      </c>
      <c r="E188" s="590">
        <f t="shared" ref="E188:E197" si="22">D188-C188</f>
        <v>130221</v>
      </c>
    </row>
    <row r="189" spans="1:5" s="421" customFormat="1" x14ac:dyDescent="0.2">
      <c r="A189" s="588">
        <v>4</v>
      </c>
      <c r="B189" s="587" t="s">
        <v>669</v>
      </c>
      <c r="C189" s="623">
        <f>IF(C185=0,0,+C188/C185)</f>
        <v>0.37025941939702284</v>
      </c>
      <c r="D189" s="623">
        <f>IF(D185=0,0,+D188/D185)</f>
        <v>0.38894285781116067</v>
      </c>
      <c r="E189" s="599">
        <f t="shared" si="22"/>
        <v>1.8683438414137832E-2</v>
      </c>
    </row>
    <row r="190" spans="1:5" s="421" customFormat="1" x14ac:dyDescent="0.2">
      <c r="A190" s="588">
        <v>5</v>
      </c>
      <c r="B190" s="587" t="s">
        <v>761</v>
      </c>
      <c r="C190" s="589">
        <v>2488854</v>
      </c>
      <c r="D190" s="589">
        <v>1493588</v>
      </c>
      <c r="E190" s="622">
        <f t="shared" si="22"/>
        <v>-995266</v>
      </c>
    </row>
    <row r="191" spans="1:5" s="421" customFormat="1" x14ac:dyDescent="0.2">
      <c r="A191" s="588">
        <v>6</v>
      </c>
      <c r="B191" s="587" t="s">
        <v>747</v>
      </c>
      <c r="C191" s="589">
        <v>1412528</v>
      </c>
      <c r="D191" s="589">
        <v>849045</v>
      </c>
      <c r="E191" s="622">
        <f t="shared" si="22"/>
        <v>-563483</v>
      </c>
    </row>
    <row r="192" spans="1:5" ht="29.25" x14ac:dyDescent="0.2">
      <c r="A192" s="588">
        <v>7</v>
      </c>
      <c r="B192" s="624" t="s">
        <v>815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816</v>
      </c>
      <c r="C193" s="589">
        <v>1994173</v>
      </c>
      <c r="D193" s="589">
        <v>1466425</v>
      </c>
      <c r="E193" s="622">
        <f t="shared" si="22"/>
        <v>-527748</v>
      </c>
    </row>
    <row r="194" spans="1:5" s="421" customFormat="1" x14ac:dyDescent="0.2">
      <c r="A194" s="588">
        <v>9</v>
      </c>
      <c r="B194" s="587" t="s">
        <v>817</v>
      </c>
      <c r="C194" s="589">
        <v>4675102</v>
      </c>
      <c r="D194" s="589">
        <v>4325446</v>
      </c>
      <c r="E194" s="622">
        <f t="shared" si="22"/>
        <v>-349656</v>
      </c>
    </row>
    <row r="195" spans="1:5" s="421" customFormat="1" x14ac:dyDescent="0.2">
      <c r="A195" s="588">
        <v>10</v>
      </c>
      <c r="B195" s="587" t="s">
        <v>818</v>
      </c>
      <c r="C195" s="589">
        <f>+C193+C194</f>
        <v>6669275</v>
      </c>
      <c r="D195" s="589">
        <f>+D193+D194</f>
        <v>5791871</v>
      </c>
      <c r="E195" s="625">
        <f t="shared" si="22"/>
        <v>-877404</v>
      </c>
    </row>
    <row r="196" spans="1:5" s="421" customFormat="1" x14ac:dyDescent="0.2">
      <c r="A196" s="588">
        <v>11</v>
      </c>
      <c r="B196" s="587" t="s">
        <v>819</v>
      </c>
      <c r="C196" s="589">
        <v>4764422</v>
      </c>
      <c r="D196" s="589">
        <v>2823266</v>
      </c>
      <c r="E196" s="622">
        <f t="shared" si="22"/>
        <v>-1941156</v>
      </c>
    </row>
    <row r="197" spans="1:5" s="421" customFormat="1" x14ac:dyDescent="0.2">
      <c r="A197" s="588">
        <v>12</v>
      </c>
      <c r="B197" s="587" t="s">
        <v>709</v>
      </c>
      <c r="C197" s="589">
        <v>86761524</v>
      </c>
      <c r="D197" s="589">
        <v>81612663</v>
      </c>
      <c r="E197" s="622">
        <f t="shared" si="22"/>
        <v>-5148861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820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821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655</v>
      </c>
      <c r="C203" s="629">
        <v>591.49467000000004</v>
      </c>
      <c r="D203" s="629">
        <v>487.8048</v>
      </c>
      <c r="E203" s="630">
        <f t="shared" ref="E203:E211" si="23">D203-C203</f>
        <v>-103.68987000000004</v>
      </c>
    </row>
    <row r="204" spans="1:5" s="421" customFormat="1" x14ac:dyDescent="0.2">
      <c r="A204" s="588">
        <v>2</v>
      </c>
      <c r="B204" s="587" t="s">
        <v>634</v>
      </c>
      <c r="C204" s="629">
        <v>2367.2677599999997</v>
      </c>
      <c r="D204" s="629">
        <v>1847.27576</v>
      </c>
      <c r="E204" s="630">
        <f t="shared" si="23"/>
        <v>-519.99199999999973</v>
      </c>
    </row>
    <row r="205" spans="1:5" s="421" customFormat="1" x14ac:dyDescent="0.2">
      <c r="A205" s="588">
        <v>3</v>
      </c>
      <c r="B205" s="587" t="s">
        <v>776</v>
      </c>
      <c r="C205" s="629">
        <f>C206+C207</f>
        <v>661.39826000000005</v>
      </c>
      <c r="D205" s="629">
        <f>D206+D207</f>
        <v>508.73501999999996</v>
      </c>
      <c r="E205" s="630">
        <f t="shared" si="23"/>
        <v>-152.66324000000009</v>
      </c>
    </row>
    <row r="206" spans="1:5" s="421" customFormat="1" x14ac:dyDescent="0.2">
      <c r="A206" s="588">
        <v>4</v>
      </c>
      <c r="B206" s="587" t="s">
        <v>115</v>
      </c>
      <c r="C206" s="629">
        <v>643.02602000000002</v>
      </c>
      <c r="D206" s="629">
        <v>498.66239999999999</v>
      </c>
      <c r="E206" s="630">
        <f t="shared" si="23"/>
        <v>-144.36362000000003</v>
      </c>
    </row>
    <row r="207" spans="1:5" s="421" customFormat="1" x14ac:dyDescent="0.2">
      <c r="A207" s="588">
        <v>5</v>
      </c>
      <c r="B207" s="587" t="s">
        <v>742</v>
      </c>
      <c r="C207" s="629">
        <v>18.372239999999998</v>
      </c>
      <c r="D207" s="629">
        <v>10.072620000000001</v>
      </c>
      <c r="E207" s="630">
        <f t="shared" si="23"/>
        <v>-8.2996199999999973</v>
      </c>
    </row>
    <row r="208" spans="1:5" s="421" customFormat="1" x14ac:dyDescent="0.2">
      <c r="A208" s="588">
        <v>6</v>
      </c>
      <c r="B208" s="587" t="s">
        <v>424</v>
      </c>
      <c r="C208" s="629">
        <v>15.01648</v>
      </c>
      <c r="D208" s="629">
        <v>3.9237199999999999</v>
      </c>
      <c r="E208" s="630">
        <f t="shared" si="23"/>
        <v>-11.09276</v>
      </c>
    </row>
    <row r="209" spans="1:5" s="421" customFormat="1" x14ac:dyDescent="0.2">
      <c r="A209" s="588">
        <v>7</v>
      </c>
      <c r="B209" s="587" t="s">
        <v>757</v>
      </c>
      <c r="C209" s="629">
        <v>27.643460000000001</v>
      </c>
      <c r="D209" s="629">
        <v>33.549500000000002</v>
      </c>
      <c r="E209" s="630">
        <f t="shared" si="23"/>
        <v>5.9060400000000008</v>
      </c>
    </row>
    <row r="210" spans="1:5" s="421" customFormat="1" x14ac:dyDescent="0.2">
      <c r="A210" s="588"/>
      <c r="B210" s="592" t="s">
        <v>822</v>
      </c>
      <c r="C210" s="631">
        <f>C204+C205+C208</f>
        <v>3043.6824999999994</v>
      </c>
      <c r="D210" s="631">
        <f>D204+D205+D208</f>
        <v>2359.9344999999998</v>
      </c>
      <c r="E210" s="632">
        <f t="shared" si="23"/>
        <v>-683.74799999999959</v>
      </c>
    </row>
    <row r="211" spans="1:5" s="421" customFormat="1" x14ac:dyDescent="0.2">
      <c r="A211" s="588"/>
      <c r="B211" s="592" t="s">
        <v>723</v>
      </c>
      <c r="C211" s="631">
        <f>C210+C203</f>
        <v>3635.1771699999995</v>
      </c>
      <c r="D211" s="631">
        <f>D210+D203</f>
        <v>2847.7392999999997</v>
      </c>
      <c r="E211" s="632">
        <f t="shared" si="23"/>
        <v>-787.43786999999975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823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655</v>
      </c>
      <c r="C215" s="633">
        <f>IF(C14*C137=0,0,C25/C14*C137)</f>
        <v>3902.9485667441504</v>
      </c>
      <c r="D215" s="633">
        <f>IF(D14*D137=0,0,D25/D14*D137)</f>
        <v>3534.2726226928712</v>
      </c>
      <c r="E215" s="633">
        <f t="shared" ref="E215:E223" si="24">D215-C215</f>
        <v>-368.6759440512792</v>
      </c>
    </row>
    <row r="216" spans="1:5" s="421" customFormat="1" x14ac:dyDescent="0.2">
      <c r="A216" s="588">
        <v>2</v>
      </c>
      <c r="B216" s="587" t="s">
        <v>634</v>
      </c>
      <c r="C216" s="633">
        <f>IF(C15*C138=0,0,C26/C15*C138)</f>
        <v>2431.8722292479933</v>
      </c>
      <c r="D216" s="633">
        <f>IF(D15*D138=0,0,D26/D15*D138)</f>
        <v>2474.6076398707869</v>
      </c>
      <c r="E216" s="633">
        <f t="shared" si="24"/>
        <v>42.735410622793552</v>
      </c>
    </row>
    <row r="217" spans="1:5" s="421" customFormat="1" x14ac:dyDescent="0.2">
      <c r="A217" s="588">
        <v>3</v>
      </c>
      <c r="B217" s="587" t="s">
        <v>776</v>
      </c>
      <c r="C217" s="633">
        <f>C218+C219</f>
        <v>2882.4587087438886</v>
      </c>
      <c r="D217" s="633">
        <f>D218+D219</f>
        <v>3316.8294860953138</v>
      </c>
      <c r="E217" s="633">
        <f t="shared" si="24"/>
        <v>434.3707773514252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2852.4992325059575</v>
      </c>
      <c r="D218" s="633">
        <f t="shared" si="25"/>
        <v>3287.8019532050384</v>
      </c>
      <c r="E218" s="633">
        <f t="shared" si="24"/>
        <v>435.30272069908096</v>
      </c>
    </row>
    <row r="219" spans="1:5" s="421" customFormat="1" x14ac:dyDescent="0.2">
      <c r="A219" s="588">
        <v>5</v>
      </c>
      <c r="B219" s="587" t="s">
        <v>742</v>
      </c>
      <c r="C219" s="633">
        <f t="shared" si="25"/>
        <v>29.959476237931092</v>
      </c>
      <c r="D219" s="633">
        <f t="shared" si="25"/>
        <v>29.027532890275328</v>
      </c>
      <c r="E219" s="633">
        <f t="shared" si="24"/>
        <v>-0.93194334765576414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47.613348099546563</v>
      </c>
      <c r="D220" s="633">
        <f t="shared" si="25"/>
        <v>33.517648955031433</v>
      </c>
      <c r="E220" s="633">
        <f t="shared" si="24"/>
        <v>-14.09569914451513</v>
      </c>
    </row>
    <row r="221" spans="1:5" s="421" customFormat="1" x14ac:dyDescent="0.2">
      <c r="A221" s="588">
        <v>7</v>
      </c>
      <c r="B221" s="587" t="s">
        <v>757</v>
      </c>
      <c r="C221" s="633">
        <f t="shared" si="25"/>
        <v>122.52085544252587</v>
      </c>
      <c r="D221" s="633">
        <f t="shared" si="25"/>
        <v>267.94966303961172</v>
      </c>
      <c r="E221" s="633">
        <f t="shared" si="24"/>
        <v>145.42880759708584</v>
      </c>
    </row>
    <row r="222" spans="1:5" s="421" customFormat="1" x14ac:dyDescent="0.2">
      <c r="A222" s="588"/>
      <c r="B222" s="592" t="s">
        <v>824</v>
      </c>
      <c r="C222" s="634">
        <f>C216+C218+C219+C220</f>
        <v>5361.9442860914287</v>
      </c>
      <c r="D222" s="634">
        <f>D216+D218+D219+D220</f>
        <v>5824.9547749211315</v>
      </c>
      <c r="E222" s="634">
        <f t="shared" si="24"/>
        <v>463.01048882970281</v>
      </c>
    </row>
    <row r="223" spans="1:5" s="421" customFormat="1" x14ac:dyDescent="0.2">
      <c r="A223" s="588"/>
      <c r="B223" s="592" t="s">
        <v>825</v>
      </c>
      <c r="C223" s="634">
        <f>C215+C222</f>
        <v>9264.8928528355791</v>
      </c>
      <c r="D223" s="634">
        <f>D215+D222</f>
        <v>9359.2273976140023</v>
      </c>
      <c r="E223" s="634">
        <f t="shared" si="24"/>
        <v>94.334544778423151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826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655</v>
      </c>
      <c r="C227" s="636">
        <f t="shared" ref="C227:D235" si="26">IF(C203=0,0,C47/C203)</f>
        <v>9192.0777578604375</v>
      </c>
      <c r="D227" s="636">
        <f t="shared" si="26"/>
        <v>8952.892632462821</v>
      </c>
      <c r="E227" s="636">
        <f t="shared" ref="E227:E235" si="27">D227-C227</f>
        <v>-239.1851253976165</v>
      </c>
    </row>
    <row r="228" spans="1:5" s="421" customFormat="1" x14ac:dyDescent="0.2">
      <c r="A228" s="588">
        <v>2</v>
      </c>
      <c r="B228" s="587" t="s">
        <v>634</v>
      </c>
      <c r="C228" s="636">
        <f t="shared" si="26"/>
        <v>9173.5887958867825</v>
      </c>
      <c r="D228" s="636">
        <f t="shared" si="26"/>
        <v>8408.6254669416539</v>
      </c>
      <c r="E228" s="636">
        <f t="shared" si="27"/>
        <v>-764.96332894512852</v>
      </c>
    </row>
    <row r="229" spans="1:5" s="421" customFormat="1" x14ac:dyDescent="0.2">
      <c r="A229" s="588">
        <v>3</v>
      </c>
      <c r="B229" s="587" t="s">
        <v>776</v>
      </c>
      <c r="C229" s="636">
        <f t="shared" si="26"/>
        <v>5556.7352112477583</v>
      </c>
      <c r="D229" s="636">
        <f t="shared" si="26"/>
        <v>4443.7082393109094</v>
      </c>
      <c r="E229" s="636">
        <f t="shared" si="27"/>
        <v>-1113.0269719368489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5467.2795355932876</v>
      </c>
      <c r="D230" s="636">
        <f t="shared" si="26"/>
        <v>4436.2478502489857</v>
      </c>
      <c r="E230" s="636">
        <f t="shared" si="27"/>
        <v>-1031.0316853443019</v>
      </c>
    </row>
    <row r="231" spans="1:5" s="421" customFormat="1" x14ac:dyDescent="0.2">
      <c r="A231" s="588">
        <v>5</v>
      </c>
      <c r="B231" s="587" t="s">
        <v>742</v>
      </c>
      <c r="C231" s="636">
        <f t="shared" si="26"/>
        <v>8687.6722707737335</v>
      </c>
      <c r="D231" s="636">
        <f t="shared" si="26"/>
        <v>4813.0476479803665</v>
      </c>
      <c r="E231" s="636">
        <f t="shared" si="27"/>
        <v>-3874.6246227933671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4113.9468104375992</v>
      </c>
      <c r="D232" s="636">
        <f t="shared" si="26"/>
        <v>5469.8092626385169</v>
      </c>
      <c r="E232" s="636">
        <f t="shared" si="27"/>
        <v>1355.8624522009177</v>
      </c>
    </row>
    <row r="233" spans="1:5" s="421" customFormat="1" x14ac:dyDescent="0.2">
      <c r="A233" s="588">
        <v>7</v>
      </c>
      <c r="B233" s="587" t="s">
        <v>757</v>
      </c>
      <c r="C233" s="636">
        <f t="shared" si="26"/>
        <v>643.00923256350688</v>
      </c>
      <c r="D233" s="636">
        <f t="shared" si="26"/>
        <v>674.25744049836806</v>
      </c>
      <c r="E233" s="636">
        <f t="shared" si="27"/>
        <v>31.248207934861171</v>
      </c>
    </row>
    <row r="234" spans="1:5" x14ac:dyDescent="0.2">
      <c r="A234" s="588"/>
      <c r="B234" s="592" t="s">
        <v>827</v>
      </c>
      <c r="C234" s="637">
        <f t="shared" si="26"/>
        <v>8362.6767903682485</v>
      </c>
      <c r="D234" s="637">
        <f t="shared" si="26"/>
        <v>7549.0154493694636</v>
      </c>
      <c r="E234" s="637">
        <f t="shared" si="27"/>
        <v>-813.66134099878491</v>
      </c>
    </row>
    <row r="235" spans="1:5" s="421" customFormat="1" x14ac:dyDescent="0.2">
      <c r="A235" s="588"/>
      <c r="B235" s="592" t="s">
        <v>828</v>
      </c>
      <c r="C235" s="637">
        <f t="shared" si="26"/>
        <v>8497.6320425119757</v>
      </c>
      <c r="D235" s="637">
        <f t="shared" si="26"/>
        <v>7789.4932306479041</v>
      </c>
      <c r="E235" s="637">
        <f t="shared" si="27"/>
        <v>-708.13881186407161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829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655</v>
      </c>
      <c r="C239" s="636">
        <f t="shared" ref="C239:D247" si="28">IF(C215=0,0,C58/C215)</f>
        <v>7169.9299956043778</v>
      </c>
      <c r="D239" s="636">
        <f t="shared" si="28"/>
        <v>7561.7386809388836</v>
      </c>
      <c r="E239" s="638">
        <f t="shared" ref="E239:E247" si="29">D239-C239</f>
        <v>391.80868533450575</v>
      </c>
    </row>
    <row r="240" spans="1:5" s="421" customFormat="1" x14ac:dyDescent="0.2">
      <c r="A240" s="588">
        <v>2</v>
      </c>
      <c r="B240" s="587" t="s">
        <v>634</v>
      </c>
      <c r="C240" s="636">
        <f t="shared" si="28"/>
        <v>4872.2074529647198</v>
      </c>
      <c r="D240" s="636">
        <f t="shared" si="28"/>
        <v>4287.8118652191833</v>
      </c>
      <c r="E240" s="638">
        <f t="shared" si="29"/>
        <v>-584.39558774553643</v>
      </c>
    </row>
    <row r="241" spans="1:5" x14ac:dyDescent="0.2">
      <c r="A241" s="588">
        <v>3</v>
      </c>
      <c r="B241" s="587" t="s">
        <v>776</v>
      </c>
      <c r="C241" s="636">
        <f t="shared" si="28"/>
        <v>3026.8169925674388</v>
      </c>
      <c r="D241" s="636">
        <f t="shared" si="28"/>
        <v>2432.1132677509568</v>
      </c>
      <c r="E241" s="638">
        <f t="shared" si="29"/>
        <v>-594.70372481648201</v>
      </c>
    </row>
    <row r="242" spans="1:5" x14ac:dyDescent="0.2">
      <c r="A242" s="588">
        <v>4</v>
      </c>
      <c r="B242" s="587" t="s">
        <v>115</v>
      </c>
      <c r="C242" s="636">
        <f t="shared" si="28"/>
        <v>3039.3298274031677</v>
      </c>
      <c r="D242" s="636">
        <f t="shared" si="28"/>
        <v>2441.0302427664187</v>
      </c>
      <c r="E242" s="638">
        <f t="shared" si="29"/>
        <v>-598.29958463674893</v>
      </c>
    </row>
    <row r="243" spans="1:5" x14ac:dyDescent="0.2">
      <c r="A243" s="588">
        <v>5</v>
      </c>
      <c r="B243" s="587" t="s">
        <v>742</v>
      </c>
      <c r="C243" s="636">
        <f t="shared" si="28"/>
        <v>1835.4459725293705</v>
      </c>
      <c r="D243" s="636">
        <f t="shared" si="28"/>
        <v>1422.1325717222689</v>
      </c>
      <c r="E243" s="638">
        <f t="shared" si="29"/>
        <v>-413.31340080710152</v>
      </c>
    </row>
    <row r="244" spans="1:5" x14ac:dyDescent="0.2">
      <c r="A244" s="588">
        <v>6</v>
      </c>
      <c r="B244" s="587" t="s">
        <v>424</v>
      </c>
      <c r="C244" s="636">
        <f t="shared" si="28"/>
        <v>2968.0962511717557</v>
      </c>
      <c r="D244" s="636">
        <f t="shared" si="28"/>
        <v>3621.5248916430501</v>
      </c>
      <c r="E244" s="638">
        <f t="shared" si="29"/>
        <v>653.42864047129433</v>
      </c>
    </row>
    <row r="245" spans="1:5" x14ac:dyDescent="0.2">
      <c r="A245" s="588">
        <v>7</v>
      </c>
      <c r="B245" s="587" t="s">
        <v>757</v>
      </c>
      <c r="C245" s="636">
        <f t="shared" si="28"/>
        <v>698.53413682822054</v>
      </c>
      <c r="D245" s="636">
        <f t="shared" si="28"/>
        <v>323.94144114735508</v>
      </c>
      <c r="E245" s="638">
        <f t="shared" si="29"/>
        <v>-374.59269568086546</v>
      </c>
    </row>
    <row r="246" spans="1:5" ht="25.5" x14ac:dyDescent="0.2">
      <c r="A246" s="588"/>
      <c r="B246" s="592" t="s">
        <v>830</v>
      </c>
      <c r="C246" s="637">
        <f t="shared" si="28"/>
        <v>3863.2594623805435</v>
      </c>
      <c r="D246" s="637">
        <f t="shared" si="28"/>
        <v>3227.311236979438</v>
      </c>
      <c r="E246" s="639">
        <f t="shared" si="29"/>
        <v>-635.94822540110545</v>
      </c>
    </row>
    <row r="247" spans="1:5" x14ac:dyDescent="0.2">
      <c r="A247" s="588"/>
      <c r="B247" s="592" t="s">
        <v>831</v>
      </c>
      <c r="C247" s="637">
        <f t="shared" si="28"/>
        <v>5256.2345591612029</v>
      </c>
      <c r="D247" s="637">
        <f t="shared" si="28"/>
        <v>4864.0967962383011</v>
      </c>
      <c r="E247" s="639">
        <f t="shared" si="29"/>
        <v>-392.13776292290186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759</v>
      </c>
      <c r="B249" s="626" t="s">
        <v>756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5228282.0201916695</v>
      </c>
      <c r="D251" s="622">
        <f>((IF((IF(D15=0,0,D26/D15)*D138)=0,0,D59/(IF(D15=0,0,D26/D15)*D138)))-(IF((IF(D17=0,0,D28/D17)*D140)=0,0,D61/(IF(D17=0,0,D28/D17)*D140))))*(IF(D17=0,0,D28/D17)*D140)</f>
        <v>6071852.2254433697</v>
      </c>
      <c r="E251" s="622">
        <f>D251-C251</f>
        <v>843570.20525170024</v>
      </c>
    </row>
    <row r="252" spans="1:5" x14ac:dyDescent="0.2">
      <c r="A252" s="588">
        <v>2</v>
      </c>
      <c r="B252" s="587" t="s">
        <v>742</v>
      </c>
      <c r="C252" s="622">
        <f>IF(C231=0,0,(C228-C231)*C207)+IF(C243=0,0,(C240-C243)*C219)</f>
        <v>99907.158432710246</v>
      </c>
      <c r="D252" s="622">
        <f>IF(D231=0,0,(D228-D231)*D207)+IF(D243=0,0,(D240-D243)*D219)</f>
        <v>119400.4889957885</v>
      </c>
      <c r="E252" s="622">
        <f>D252-C252</f>
        <v>19493.330563078256</v>
      </c>
    </row>
    <row r="253" spans="1:5" x14ac:dyDescent="0.2">
      <c r="A253" s="588">
        <v>3</v>
      </c>
      <c r="B253" s="587" t="s">
        <v>757</v>
      </c>
      <c r="C253" s="622">
        <f>IF(C233=0,0,(C228-C233)*C209+IF(C221=0,0,(C240-C245)*C221))</f>
        <v>747176.759966232</v>
      </c>
      <c r="D253" s="622">
        <f>IF(D233=0,0,(D228-D233)*D209+IF(D221=0,0,(D240-D245)*D221))</f>
        <v>1321601.9245658882</v>
      </c>
      <c r="E253" s="622">
        <f>D253-C253</f>
        <v>574425.16459965624</v>
      </c>
    </row>
    <row r="254" spans="1:5" ht="15" customHeight="1" x14ac:dyDescent="0.2">
      <c r="A254" s="588"/>
      <c r="B254" s="592" t="s">
        <v>758</v>
      </c>
      <c r="C254" s="640">
        <f>+C251+C252+C253</f>
        <v>6075365.9385906113</v>
      </c>
      <c r="D254" s="640">
        <f>+D251+D252+D253</f>
        <v>7512854.6390050463</v>
      </c>
      <c r="E254" s="640">
        <f>D254-C254</f>
        <v>1437488.700414435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832</v>
      </c>
      <c r="B256" s="626" t="s">
        <v>833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724</v>
      </c>
      <c r="C258" s="622">
        <f>+C44</f>
        <v>196286597</v>
      </c>
      <c r="D258" s="625">
        <f>+D44</f>
        <v>175117173</v>
      </c>
      <c r="E258" s="622">
        <f t="shared" ref="E258:E271" si="30">D258-C258</f>
        <v>-21169424</v>
      </c>
    </row>
    <row r="259" spans="1:5" x14ac:dyDescent="0.2">
      <c r="A259" s="588">
        <v>2</v>
      </c>
      <c r="B259" s="587" t="s">
        <v>741</v>
      </c>
      <c r="C259" s="622">
        <f>+(C43-C76)</f>
        <v>87948852</v>
      </c>
      <c r="D259" s="625">
        <f>+(D43-D76)</f>
        <v>80497126</v>
      </c>
      <c r="E259" s="622">
        <f t="shared" si="30"/>
        <v>-7451726</v>
      </c>
    </row>
    <row r="260" spans="1:5" x14ac:dyDescent="0.2">
      <c r="A260" s="588">
        <v>3</v>
      </c>
      <c r="B260" s="587" t="s">
        <v>745</v>
      </c>
      <c r="C260" s="622">
        <f>C195</f>
        <v>6669275</v>
      </c>
      <c r="D260" s="622">
        <f>D195</f>
        <v>5791871</v>
      </c>
      <c r="E260" s="622">
        <f t="shared" si="30"/>
        <v>-877404</v>
      </c>
    </row>
    <row r="261" spans="1:5" x14ac:dyDescent="0.2">
      <c r="A261" s="588">
        <v>4</v>
      </c>
      <c r="B261" s="587" t="s">
        <v>746</v>
      </c>
      <c r="C261" s="622">
        <f>C188</f>
        <v>19590768</v>
      </c>
      <c r="D261" s="622">
        <f>D188</f>
        <v>19720989</v>
      </c>
      <c r="E261" s="622">
        <f t="shared" si="30"/>
        <v>130221</v>
      </c>
    </row>
    <row r="262" spans="1:5" x14ac:dyDescent="0.2">
      <c r="A262" s="588">
        <v>5</v>
      </c>
      <c r="B262" s="587" t="s">
        <v>747</v>
      </c>
      <c r="C262" s="622">
        <f>C191</f>
        <v>1412528</v>
      </c>
      <c r="D262" s="622">
        <f>D191</f>
        <v>849045</v>
      </c>
      <c r="E262" s="622">
        <f t="shared" si="30"/>
        <v>-563483</v>
      </c>
    </row>
    <row r="263" spans="1:5" x14ac:dyDescent="0.2">
      <c r="A263" s="588">
        <v>6</v>
      </c>
      <c r="B263" s="587" t="s">
        <v>748</v>
      </c>
      <c r="C263" s="622">
        <f>+C259+C260+C261+C262</f>
        <v>115621423</v>
      </c>
      <c r="D263" s="622">
        <f>+D259+D260+D261+D262</f>
        <v>106859031</v>
      </c>
      <c r="E263" s="622">
        <f t="shared" si="30"/>
        <v>-8762392</v>
      </c>
    </row>
    <row r="264" spans="1:5" x14ac:dyDescent="0.2">
      <c r="A264" s="588">
        <v>7</v>
      </c>
      <c r="B264" s="587" t="s">
        <v>653</v>
      </c>
      <c r="C264" s="622">
        <f>+C258-C263</f>
        <v>80665174</v>
      </c>
      <c r="D264" s="622">
        <f>+D258-D263</f>
        <v>68258142</v>
      </c>
      <c r="E264" s="622">
        <f t="shared" si="30"/>
        <v>-12407032</v>
      </c>
    </row>
    <row r="265" spans="1:5" x14ac:dyDescent="0.2">
      <c r="A265" s="588">
        <v>8</v>
      </c>
      <c r="B265" s="587" t="s">
        <v>834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835</v>
      </c>
      <c r="C266" s="622">
        <f>+C264+C265</f>
        <v>80665174</v>
      </c>
      <c r="D266" s="622">
        <f>+D264+D265</f>
        <v>68258142</v>
      </c>
      <c r="E266" s="641">
        <f t="shared" si="30"/>
        <v>-12407032</v>
      </c>
    </row>
    <row r="267" spans="1:5" x14ac:dyDescent="0.2">
      <c r="A267" s="588">
        <v>10</v>
      </c>
      <c r="B267" s="587" t="s">
        <v>836</v>
      </c>
      <c r="C267" s="642">
        <f>IF(C258=0,0,C266/C258)</f>
        <v>0.41095609803658678</v>
      </c>
      <c r="D267" s="642">
        <f>IF(D258=0,0,D266/D258)</f>
        <v>0.38978554090751566</v>
      </c>
      <c r="E267" s="643">
        <f t="shared" si="30"/>
        <v>-2.1170557129071121E-2</v>
      </c>
    </row>
    <row r="268" spans="1:5" x14ac:dyDescent="0.2">
      <c r="A268" s="588">
        <v>11</v>
      </c>
      <c r="B268" s="587" t="s">
        <v>715</v>
      </c>
      <c r="C268" s="622">
        <f>+C260*C267</f>
        <v>2740779.2307329574</v>
      </c>
      <c r="D268" s="644">
        <f>+D260*D267</f>
        <v>2257587.5706015537</v>
      </c>
      <c r="E268" s="622">
        <f t="shared" si="30"/>
        <v>-483191.66013140371</v>
      </c>
    </row>
    <row r="269" spans="1:5" x14ac:dyDescent="0.2">
      <c r="A269" s="588">
        <v>12</v>
      </c>
      <c r="B269" s="587" t="s">
        <v>837</v>
      </c>
      <c r="C269" s="622">
        <f>((C17+C18+C28+C29)*C267)-(C50+C51+C61+C62)</f>
        <v>8585095.7523060329</v>
      </c>
      <c r="D269" s="644">
        <f>((D17+D18+D28+D29)*D267)-(D50+D51+D61+D62)</f>
        <v>6859058.3845296465</v>
      </c>
      <c r="E269" s="622">
        <f t="shared" si="30"/>
        <v>-1726037.3677763864</v>
      </c>
    </row>
    <row r="270" spans="1:5" s="648" customFormat="1" x14ac:dyDescent="0.2">
      <c r="A270" s="645">
        <v>13</v>
      </c>
      <c r="B270" s="646" t="s">
        <v>838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839</v>
      </c>
      <c r="C271" s="622">
        <f>+C268+C269+C270</f>
        <v>11325874.98303899</v>
      </c>
      <c r="D271" s="622">
        <f>+D268+D269+D270</f>
        <v>9116645.9551311992</v>
      </c>
      <c r="E271" s="625">
        <f t="shared" si="30"/>
        <v>-2209229.0279077906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840</v>
      </c>
      <c r="B273" s="626" t="s">
        <v>841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842</v>
      </c>
      <c r="C275" s="425"/>
      <c r="D275" s="425"/>
      <c r="E275" s="596"/>
    </row>
    <row r="276" spans="1:5" x14ac:dyDescent="0.2">
      <c r="A276" s="588">
        <v>1</v>
      </c>
      <c r="B276" s="587" t="s">
        <v>655</v>
      </c>
      <c r="C276" s="623">
        <f t="shared" ref="C276:D284" si="31">IF(C14=0,0,+C47/C14)</f>
        <v>0.69806778636068634</v>
      </c>
      <c r="D276" s="623">
        <f t="shared" si="31"/>
        <v>0.72748424934393785</v>
      </c>
      <c r="E276" s="650">
        <f t="shared" ref="E276:E284" si="32">D276-C276</f>
        <v>2.9416462983251512E-2</v>
      </c>
    </row>
    <row r="277" spans="1:5" x14ac:dyDescent="0.2">
      <c r="A277" s="588">
        <v>2</v>
      </c>
      <c r="B277" s="587" t="s">
        <v>634</v>
      </c>
      <c r="C277" s="623">
        <f t="shared" si="31"/>
        <v>0.64771998153150145</v>
      </c>
      <c r="D277" s="623">
        <f t="shared" si="31"/>
        <v>0.62464993496551713</v>
      </c>
      <c r="E277" s="650">
        <f t="shared" si="32"/>
        <v>-2.3070046565984326E-2</v>
      </c>
    </row>
    <row r="278" spans="1:5" x14ac:dyDescent="0.2">
      <c r="A278" s="588">
        <v>3</v>
      </c>
      <c r="B278" s="587" t="s">
        <v>776</v>
      </c>
      <c r="C278" s="623">
        <f t="shared" si="31"/>
        <v>0.38920154388014522</v>
      </c>
      <c r="D278" s="623">
        <f t="shared" si="31"/>
        <v>0.37668227935209853</v>
      </c>
      <c r="E278" s="650">
        <f t="shared" si="32"/>
        <v>-1.2519264528046692E-2</v>
      </c>
    </row>
    <row r="279" spans="1:5" x14ac:dyDescent="0.2">
      <c r="A279" s="588">
        <v>4</v>
      </c>
      <c r="B279" s="587" t="s">
        <v>115</v>
      </c>
      <c r="C279" s="623">
        <f t="shared" si="31"/>
        <v>0.38220898907896039</v>
      </c>
      <c r="D279" s="623">
        <f t="shared" si="31"/>
        <v>0.37741388937843462</v>
      </c>
      <c r="E279" s="650">
        <f t="shared" si="32"/>
        <v>-4.7950997005257734E-3</v>
      </c>
    </row>
    <row r="280" spans="1:5" x14ac:dyDescent="0.2">
      <c r="A280" s="588">
        <v>5</v>
      </c>
      <c r="B280" s="587" t="s">
        <v>742</v>
      </c>
      <c r="C280" s="623">
        <f t="shared" si="31"/>
        <v>0.65189263367695349</v>
      </c>
      <c r="D280" s="623">
        <f t="shared" si="31"/>
        <v>0.34607065609228549</v>
      </c>
      <c r="E280" s="650">
        <f t="shared" si="32"/>
        <v>-0.305821977584668</v>
      </c>
    </row>
    <row r="281" spans="1:5" x14ac:dyDescent="0.2">
      <c r="A281" s="588">
        <v>6</v>
      </c>
      <c r="B281" s="587" t="s">
        <v>424</v>
      </c>
      <c r="C281" s="623">
        <f t="shared" si="31"/>
        <v>0.32271663497502978</v>
      </c>
      <c r="D281" s="623">
        <f t="shared" si="31"/>
        <v>0.38435502068446786</v>
      </c>
      <c r="E281" s="650">
        <f t="shared" si="32"/>
        <v>6.1638385709438082E-2</v>
      </c>
    </row>
    <row r="282" spans="1:5" x14ac:dyDescent="0.2">
      <c r="A282" s="588">
        <v>7</v>
      </c>
      <c r="B282" s="587" t="s">
        <v>757</v>
      </c>
      <c r="C282" s="623">
        <f t="shared" si="31"/>
        <v>2.605464512913723E-2</v>
      </c>
      <c r="D282" s="623">
        <f t="shared" si="31"/>
        <v>5.5114829668107421E-2</v>
      </c>
      <c r="E282" s="650">
        <f t="shared" si="32"/>
        <v>2.9060184538970191E-2</v>
      </c>
    </row>
    <row r="283" spans="1:5" ht="29.25" customHeight="1" x14ac:dyDescent="0.2">
      <c r="A283" s="588"/>
      <c r="B283" s="592" t="s">
        <v>843</v>
      </c>
      <c r="C283" s="651">
        <f t="shared" si="31"/>
        <v>0.58971968443632805</v>
      </c>
      <c r="D283" s="651">
        <f t="shared" si="31"/>
        <v>0.57609235647564683</v>
      </c>
      <c r="E283" s="652">
        <f t="shared" si="32"/>
        <v>-1.3627327960681224E-2</v>
      </c>
    </row>
    <row r="284" spans="1:5" x14ac:dyDescent="0.2">
      <c r="A284" s="588"/>
      <c r="B284" s="592" t="s">
        <v>844</v>
      </c>
      <c r="C284" s="651">
        <f t="shared" si="31"/>
        <v>0.60628271951253687</v>
      </c>
      <c r="D284" s="651">
        <f t="shared" si="31"/>
        <v>0.60070393763506735</v>
      </c>
      <c r="E284" s="652">
        <f t="shared" si="32"/>
        <v>-5.5787818774695186E-3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845</v>
      </c>
      <c r="C286" s="596"/>
      <c r="D286" s="596"/>
      <c r="E286" s="596"/>
    </row>
    <row r="287" spans="1:5" x14ac:dyDescent="0.2">
      <c r="A287" s="588">
        <v>1</v>
      </c>
      <c r="B287" s="587" t="s">
        <v>655</v>
      </c>
      <c r="C287" s="623">
        <f t="shared" ref="C287:D295" si="33">IF(C25=0,0,+C58/C25)</f>
        <v>0.51458816708269661</v>
      </c>
      <c r="D287" s="623">
        <f t="shared" si="33"/>
        <v>0.51392054190436831</v>
      </c>
      <c r="E287" s="650">
        <f t="shared" ref="E287:E295" si="34">D287-C287</f>
        <v>-6.6762517832830159E-4</v>
      </c>
    </row>
    <row r="288" spans="1:5" x14ac:dyDescent="0.2">
      <c r="A288" s="588">
        <v>2</v>
      </c>
      <c r="B288" s="587" t="s">
        <v>634</v>
      </c>
      <c r="C288" s="623">
        <f t="shared" si="33"/>
        <v>0.24297561339028814</v>
      </c>
      <c r="D288" s="623">
        <f t="shared" si="33"/>
        <v>0.22278102319618928</v>
      </c>
      <c r="E288" s="650">
        <f t="shared" si="34"/>
        <v>-2.019459019409886E-2</v>
      </c>
    </row>
    <row r="289" spans="1:5" x14ac:dyDescent="0.2">
      <c r="A289" s="588">
        <v>3</v>
      </c>
      <c r="B289" s="587" t="s">
        <v>776</v>
      </c>
      <c r="C289" s="623">
        <f t="shared" si="33"/>
        <v>0.20962268601270617</v>
      </c>
      <c r="D289" s="623">
        <f t="shared" si="33"/>
        <v>0.21177977783575005</v>
      </c>
      <c r="E289" s="650">
        <f t="shared" si="34"/>
        <v>2.1570918230438829E-3</v>
      </c>
    </row>
    <row r="290" spans="1:5" x14ac:dyDescent="0.2">
      <c r="A290" s="588">
        <v>4</v>
      </c>
      <c r="B290" s="587" t="s">
        <v>115</v>
      </c>
      <c r="C290" s="623">
        <f t="shared" si="33"/>
        <v>0.21048363486307228</v>
      </c>
      <c r="D290" s="623">
        <f t="shared" si="33"/>
        <v>0.2132252218944049</v>
      </c>
      <c r="E290" s="650">
        <f t="shared" si="34"/>
        <v>2.7415870313326207E-3</v>
      </c>
    </row>
    <row r="291" spans="1:5" x14ac:dyDescent="0.2">
      <c r="A291" s="588">
        <v>5</v>
      </c>
      <c r="B291" s="587" t="s">
        <v>742</v>
      </c>
      <c r="C291" s="623">
        <f t="shared" si="33"/>
        <v>0.12743862023573907</v>
      </c>
      <c r="D291" s="623">
        <f t="shared" si="33"/>
        <v>9.1366030720198305E-2</v>
      </c>
      <c r="E291" s="650">
        <f t="shared" si="34"/>
        <v>-3.6072589515540765E-2</v>
      </c>
    </row>
    <row r="292" spans="1:5" x14ac:dyDescent="0.2">
      <c r="A292" s="588">
        <v>6</v>
      </c>
      <c r="B292" s="587" t="s">
        <v>424</v>
      </c>
      <c r="C292" s="623">
        <f t="shared" si="33"/>
        <v>0.24808042720369064</v>
      </c>
      <c r="D292" s="623">
        <f t="shared" si="33"/>
        <v>0.25942619972729097</v>
      </c>
      <c r="E292" s="650">
        <f t="shared" si="34"/>
        <v>1.1345772523600334E-2</v>
      </c>
    </row>
    <row r="293" spans="1:5" x14ac:dyDescent="0.2">
      <c r="A293" s="588">
        <v>7</v>
      </c>
      <c r="B293" s="587" t="s">
        <v>757</v>
      </c>
      <c r="C293" s="623">
        <f t="shared" si="33"/>
        <v>2.6621746002072257E-2</v>
      </c>
      <c r="D293" s="623">
        <f t="shared" si="33"/>
        <v>2.6835030721163625E-2</v>
      </c>
      <c r="E293" s="650">
        <f t="shared" si="34"/>
        <v>2.132847190913674E-4</v>
      </c>
    </row>
    <row r="294" spans="1:5" ht="29.25" customHeight="1" x14ac:dyDescent="0.2">
      <c r="A294" s="588"/>
      <c r="B294" s="592" t="s">
        <v>846</v>
      </c>
      <c r="C294" s="651">
        <f t="shared" si="33"/>
        <v>0.22774534550694059</v>
      </c>
      <c r="D294" s="651">
        <f t="shared" si="33"/>
        <v>0.21811788410542726</v>
      </c>
      <c r="E294" s="652">
        <f t="shared" si="34"/>
        <v>-9.6274614015133264E-3</v>
      </c>
    </row>
    <row r="295" spans="1:5" x14ac:dyDescent="0.2">
      <c r="A295" s="588"/>
      <c r="B295" s="592" t="s">
        <v>847</v>
      </c>
      <c r="C295" s="651">
        <f t="shared" si="33"/>
        <v>0.33507466929434115</v>
      </c>
      <c r="D295" s="651">
        <f t="shared" si="33"/>
        <v>0.32943244113452869</v>
      </c>
      <c r="E295" s="652">
        <f t="shared" si="34"/>
        <v>-5.6422281598124679E-3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848</v>
      </c>
      <c r="B297" s="579" t="s">
        <v>849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850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653</v>
      </c>
      <c r="C301" s="590">
        <f>+C48+C47+C50+C51+C52+C59+C58+C61+C62+C63</f>
        <v>79588848</v>
      </c>
      <c r="D301" s="590">
        <f>+D48+D47+D50+D51+D52+D59+D58+D61+D62+D63</f>
        <v>67706634</v>
      </c>
      <c r="E301" s="590">
        <f>D301-C301</f>
        <v>-11882214</v>
      </c>
    </row>
    <row r="302" spans="1:5" ht="25.5" x14ac:dyDescent="0.2">
      <c r="A302" s="588">
        <v>2</v>
      </c>
      <c r="B302" s="587" t="s">
        <v>851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852</v>
      </c>
      <c r="C303" s="593">
        <f>+C301+C302</f>
        <v>79588848</v>
      </c>
      <c r="D303" s="593">
        <f>+D301+D302</f>
        <v>67706634</v>
      </c>
      <c r="E303" s="593">
        <f>D303-C303</f>
        <v>-11882214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853</v>
      </c>
      <c r="C305" s="589">
        <v>-1986848</v>
      </c>
      <c r="D305" s="654">
        <v>-780634</v>
      </c>
      <c r="E305" s="655">
        <f>D305-C305</f>
        <v>1206214</v>
      </c>
    </row>
    <row r="306" spans="1:5" x14ac:dyDescent="0.2">
      <c r="A306" s="588">
        <v>4</v>
      </c>
      <c r="B306" s="592" t="s">
        <v>854</v>
      </c>
      <c r="C306" s="593">
        <f>+C303+C305+C194+C190-C191</f>
        <v>83353428</v>
      </c>
      <c r="D306" s="593">
        <f>+D303+D305</f>
        <v>66926000</v>
      </c>
      <c r="E306" s="656">
        <f>D306-C306</f>
        <v>-16427428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855</v>
      </c>
      <c r="C308" s="589">
        <v>77602000</v>
      </c>
      <c r="D308" s="589">
        <v>66926000</v>
      </c>
      <c r="E308" s="590">
        <f>D308-C308</f>
        <v>-10676000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856</v>
      </c>
      <c r="C310" s="657">
        <f>C306-C308</f>
        <v>5751428</v>
      </c>
      <c r="D310" s="658">
        <f>D306-D308</f>
        <v>0</v>
      </c>
      <c r="E310" s="656">
        <f>D310-C310</f>
        <v>-5751428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857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858</v>
      </c>
      <c r="C314" s="590">
        <f>+C14+C15+C16+C19+C25+C26+C27+C30</f>
        <v>196286597</v>
      </c>
      <c r="D314" s="590">
        <f>+D14+D15+D16+D19+D25+D26+D27+D30</f>
        <v>175117173</v>
      </c>
      <c r="E314" s="590">
        <f>D314-C314</f>
        <v>-21169424</v>
      </c>
    </row>
    <row r="315" spans="1:5" x14ac:dyDescent="0.2">
      <c r="A315" s="588">
        <v>2</v>
      </c>
      <c r="B315" s="659" t="s">
        <v>859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860</v>
      </c>
      <c r="C316" s="657">
        <f>C314+C315</f>
        <v>196286597</v>
      </c>
      <c r="D316" s="657">
        <f>D314+D315</f>
        <v>175117173</v>
      </c>
      <c r="E316" s="593">
        <f>D316-C316</f>
        <v>-21169424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861</v>
      </c>
      <c r="C318" s="589">
        <v>196286597</v>
      </c>
      <c r="D318" s="589">
        <v>175117173</v>
      </c>
      <c r="E318" s="590">
        <f>D318-C318</f>
        <v>-21169424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856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862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863</v>
      </c>
      <c r="C324" s="589">
        <f>+C193+C194</f>
        <v>6669275</v>
      </c>
      <c r="D324" s="589">
        <f>+D193+D194</f>
        <v>5791871</v>
      </c>
      <c r="E324" s="590">
        <f>D324-C324</f>
        <v>-877404</v>
      </c>
    </row>
    <row r="325" spans="1:5" x14ac:dyDescent="0.2">
      <c r="A325" s="588">
        <v>2</v>
      </c>
      <c r="B325" s="587" t="s">
        <v>864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865</v>
      </c>
      <c r="C326" s="657">
        <f>C324+C325</f>
        <v>6669275</v>
      </c>
      <c r="D326" s="657">
        <f>D324+D325</f>
        <v>5791871</v>
      </c>
      <c r="E326" s="593">
        <f>D326-C326</f>
        <v>-877404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866</v>
      </c>
      <c r="C328" s="589">
        <v>6669275</v>
      </c>
      <c r="D328" s="589">
        <v>5791871</v>
      </c>
      <c r="E328" s="590">
        <f>D328-C328</f>
        <v>-877404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867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1" orientation="portrait" horizontalDpi="1200" verticalDpi="1200" r:id="rId1"/>
  <headerFooter>
    <oddHeader>_x000D_
                &amp;LOFFICE OF HEALTH CARE ACCESS&amp;CTWELVE MONTHS ACTUAL FILING&amp;RWINDHAM COMMUNITY MEMORIAL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628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868</v>
      </c>
      <c r="B5" s="824"/>
      <c r="C5" s="825"/>
      <c r="D5" s="661"/>
    </row>
    <row r="6" spans="1:58" s="662" customFormat="1" ht="15.75" customHeight="1" x14ac:dyDescent="0.25">
      <c r="A6" s="823" t="s">
        <v>869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870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871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775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655</v>
      </c>
      <c r="C14" s="589">
        <v>6003242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634</v>
      </c>
      <c r="C15" s="591">
        <v>24866808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776</v>
      </c>
      <c r="C16" s="591">
        <v>6001530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5861443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742</v>
      </c>
      <c r="C18" s="591">
        <v>140087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55839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757</v>
      </c>
      <c r="C20" s="591">
        <v>410434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777</v>
      </c>
      <c r="C21" s="593">
        <f>SUM(C15+C16+C19)</f>
        <v>30924177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36927419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778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655</v>
      </c>
      <c r="C25" s="589">
        <v>52002681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634</v>
      </c>
      <c r="C26" s="591">
        <v>47628168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776</v>
      </c>
      <c r="C27" s="591">
        <v>38091007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37639187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742</v>
      </c>
      <c r="C29" s="591">
        <v>451820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467898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757</v>
      </c>
      <c r="C31" s="594">
        <v>3234578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779</v>
      </c>
      <c r="C32" s="593">
        <f>SUM(C26+C27+C30)</f>
        <v>86187073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138189754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652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872</v>
      </c>
      <c r="C36" s="590">
        <f>SUM(C14+C25)</f>
        <v>58005923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873</v>
      </c>
      <c r="C37" s="594">
        <f>SUM(C21+C32)</f>
        <v>117111250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652</v>
      </c>
      <c r="C38" s="593">
        <f>SUM(+C36+C37)</f>
        <v>175117173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788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655</v>
      </c>
      <c r="C41" s="589">
        <v>4367264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634</v>
      </c>
      <c r="C42" s="591">
        <v>15533050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776</v>
      </c>
      <c r="C43" s="591">
        <v>2260670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2212190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742</v>
      </c>
      <c r="C45" s="591">
        <v>48480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21462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757</v>
      </c>
      <c r="C47" s="591">
        <v>22621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789</v>
      </c>
      <c r="C48" s="593">
        <f>SUM(C42+C43+C46)</f>
        <v>17815182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22182446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790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655</v>
      </c>
      <c r="C52" s="589">
        <v>26725246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634</v>
      </c>
      <c r="C53" s="591">
        <v>10610652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776</v>
      </c>
      <c r="C54" s="591">
        <v>8066905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8025624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742</v>
      </c>
      <c r="C56" s="591">
        <v>41281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121385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757</v>
      </c>
      <c r="C58" s="591">
        <v>86800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791</v>
      </c>
      <c r="C59" s="593">
        <f>SUM(C53+C54+C57)</f>
        <v>18798942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45524188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653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874</v>
      </c>
      <c r="C63" s="590">
        <f>SUM(C41+C52)</f>
        <v>31092510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875</v>
      </c>
      <c r="C64" s="594">
        <f>SUM(C48+C59)</f>
        <v>36614124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653</v>
      </c>
      <c r="C65" s="593">
        <f>SUM(+C63+C64)</f>
        <v>67706634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876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877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655</v>
      </c>
      <c r="C70" s="606">
        <v>408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634</v>
      </c>
      <c r="C71" s="606">
        <v>1292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776</v>
      </c>
      <c r="C72" s="606">
        <v>521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512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742</v>
      </c>
      <c r="C74" s="606">
        <v>9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4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757</v>
      </c>
      <c r="C76" s="621">
        <v>34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806</v>
      </c>
      <c r="C77" s="608">
        <f>SUM(C71+C72+C75)</f>
        <v>1817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2225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810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655</v>
      </c>
      <c r="C81" s="617">
        <v>1.1956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634</v>
      </c>
      <c r="C82" s="617">
        <v>1.4297800000000001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776</v>
      </c>
      <c r="C83" s="617">
        <f>((C73*C84)+(C74*C85))/(C73+C74)</f>
        <v>0.97645877159309014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0.97394999999999998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742</v>
      </c>
      <c r="C85" s="617">
        <v>1.1191800000000001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0.98092999999999997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757</v>
      </c>
      <c r="C87" s="617">
        <v>0.98675000000000002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811</v>
      </c>
      <c r="C88" s="619">
        <f>((C71*C82)+(C73*C84)+(C74*C85)+(C75*C86))/(C71+C73+C74+C75)</f>
        <v>1.2988082003302146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722</v>
      </c>
      <c r="C89" s="619">
        <f>((C70*C81)+(C71*C82)+(C73*C84)+(C74*C85)+(C75*C86))/(C70+C71+C73+C74+C75)</f>
        <v>1.2798828314606741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812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813</v>
      </c>
      <c r="C92" s="589">
        <v>50704078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814</v>
      </c>
      <c r="C93" s="622">
        <v>30983089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667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746</v>
      </c>
      <c r="C95" s="589">
        <f>+C92-C93</f>
        <v>19720989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669</v>
      </c>
      <c r="C96" s="681">
        <f>(+C92-C93)/C92</f>
        <v>0.38894285781116067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761</v>
      </c>
      <c r="C98" s="589">
        <v>1493588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747</v>
      </c>
      <c r="C99" s="589">
        <v>849045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878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816</v>
      </c>
      <c r="C103" s="589">
        <v>1466425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817</v>
      </c>
      <c r="C104" s="589">
        <v>4325446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818</v>
      </c>
      <c r="C105" s="654">
        <f>+C103+C104</f>
        <v>5791871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819</v>
      </c>
      <c r="C107" s="589">
        <v>2823266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709</v>
      </c>
      <c r="C108" s="589">
        <v>81612663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849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850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653</v>
      </c>
      <c r="C114" s="590">
        <f>+C65</f>
        <v>67706634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851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852</v>
      </c>
      <c r="C116" s="593">
        <f>+C114+C115</f>
        <v>67706634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853</v>
      </c>
      <c r="C118" s="654">
        <v>-780634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854</v>
      </c>
      <c r="C119" s="656">
        <f>+C116+C118</f>
        <v>66926000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855</v>
      </c>
      <c r="C121" s="589">
        <v>66926000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856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857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858</v>
      </c>
      <c r="C127" s="590">
        <f>C38</f>
        <v>175117173</v>
      </c>
      <c r="D127" s="664"/>
      <c r="AR127" s="485"/>
    </row>
    <row r="128" spans="1:58" s="421" customFormat="1" ht="12.75" x14ac:dyDescent="0.2">
      <c r="A128" s="588">
        <v>2</v>
      </c>
      <c r="B128" s="659" t="s">
        <v>859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860</v>
      </c>
      <c r="C129" s="657">
        <f>C127+C128</f>
        <v>175117173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861</v>
      </c>
      <c r="C131" s="589">
        <v>175117173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856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862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863</v>
      </c>
      <c r="C137" s="589">
        <f>C105</f>
        <v>5791871</v>
      </c>
      <c r="D137" s="664"/>
      <c r="AR137" s="485"/>
    </row>
    <row r="138" spans="1:44" s="421" customFormat="1" ht="12.75" x14ac:dyDescent="0.2">
      <c r="A138" s="588">
        <v>2</v>
      </c>
      <c r="B138" s="669" t="s">
        <v>879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865</v>
      </c>
      <c r="C139" s="657">
        <f>C137+C138</f>
        <v>5791871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880</v>
      </c>
      <c r="C141" s="589">
        <v>5791871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867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67" orientation="portrait" r:id="rId1"/>
  <headerFooter>
    <oddHeader>&amp;LOFFICE OF HEALTH CARE ACCESS&amp;CTWELVE MONTHS ACTUAL FILING&amp;RWINDHAM COMMUNITY MEMORIAL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628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881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631</v>
      </c>
      <c r="D8" s="177" t="s">
        <v>631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882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883</v>
      </c>
      <c r="C12" s="185">
        <v>812</v>
      </c>
      <c r="D12" s="185">
        <v>1057</v>
      </c>
      <c r="E12" s="185">
        <f>+D12-C12</f>
        <v>245</v>
      </c>
      <c r="F12" s="77">
        <f>IF(C12=0,0,+E12/C12)</f>
        <v>0.30172413793103448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884</v>
      </c>
      <c r="C13" s="185">
        <v>662</v>
      </c>
      <c r="D13" s="185">
        <v>1000</v>
      </c>
      <c r="E13" s="185">
        <f>+D13-C13</f>
        <v>338</v>
      </c>
      <c r="F13" s="77">
        <f>IF(C13=0,0,+E13/C13)</f>
        <v>0.51057401812688818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885</v>
      </c>
      <c r="C15" s="76">
        <v>1994173</v>
      </c>
      <c r="D15" s="76">
        <v>1466425</v>
      </c>
      <c r="E15" s="76">
        <f>+D15-C15</f>
        <v>-527748</v>
      </c>
      <c r="F15" s="77">
        <f>IF(C15=0,0,+E15/C15)</f>
        <v>-0.26464504333375288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886</v>
      </c>
      <c r="C16" s="79">
        <f>IF(C13=0,0,+C15/+C13)</f>
        <v>3012.3459214501509</v>
      </c>
      <c r="D16" s="79">
        <f>IF(D13=0,0,+D15/+D13)</f>
        <v>1466.425</v>
      </c>
      <c r="E16" s="79">
        <f>+D16-C16</f>
        <v>-1545.9209214501509</v>
      </c>
      <c r="F16" s="80">
        <f>IF(C16=0,0,+E16/C16)</f>
        <v>-0.51319501868694439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887</v>
      </c>
      <c r="C18" s="704">
        <v>0.42554599999999998</v>
      </c>
      <c r="D18" s="704">
        <v>0.43153999999999998</v>
      </c>
      <c r="E18" s="704">
        <f>+D18-C18</f>
        <v>5.9939999999999993E-3</v>
      </c>
      <c r="F18" s="77">
        <f>IF(C18=0,0,+E18/C18)</f>
        <v>1.4085433772142142E-2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888</v>
      </c>
      <c r="C19" s="79">
        <f>+C15*C18</f>
        <v>848612.34345799999</v>
      </c>
      <c r="D19" s="79">
        <f>+D15*D18</f>
        <v>632821.04449999996</v>
      </c>
      <c r="E19" s="79">
        <f>+D19-C19</f>
        <v>-215791.29895800003</v>
      </c>
      <c r="F19" s="80">
        <f>IF(C19=0,0,+E19/C19)</f>
        <v>-0.25428724979261402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889</v>
      </c>
      <c r="C20" s="79">
        <f>IF(C13=0,0,+C19/C13)</f>
        <v>1281.891757489426</v>
      </c>
      <c r="D20" s="79">
        <f>IF(D13=0,0,+D19/D13)</f>
        <v>632.82104449999997</v>
      </c>
      <c r="E20" s="79">
        <f>+D20-C20</f>
        <v>-649.07071298942606</v>
      </c>
      <c r="F20" s="80">
        <f>IF(C20=0,0,+E20/C20)</f>
        <v>-0.50633815936271054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890</v>
      </c>
      <c r="C22" s="76">
        <v>302577</v>
      </c>
      <c r="D22" s="76">
        <v>244579</v>
      </c>
      <c r="E22" s="76">
        <f>+D22-C22</f>
        <v>-57998</v>
      </c>
      <c r="F22" s="77">
        <f>IF(C22=0,0,+E22/C22)</f>
        <v>-0.19168013431291869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891</v>
      </c>
      <c r="C23" s="185">
        <v>950997</v>
      </c>
      <c r="D23" s="185">
        <v>588504</v>
      </c>
      <c r="E23" s="185">
        <f>+D23-C23</f>
        <v>-362493</v>
      </c>
      <c r="F23" s="77">
        <f>IF(C23=0,0,+E23/C23)</f>
        <v>-0.38117154943706449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892</v>
      </c>
      <c r="C24" s="185">
        <v>740599</v>
      </c>
      <c r="D24" s="185">
        <v>633342</v>
      </c>
      <c r="E24" s="185">
        <f>+D24-C24</f>
        <v>-107257</v>
      </c>
      <c r="F24" s="77">
        <f>IF(C24=0,0,+E24/C24)</f>
        <v>-0.1448246621991118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893</v>
      </c>
      <c r="C25" s="79">
        <f>+C22+C23+C24</f>
        <v>1994173</v>
      </c>
      <c r="D25" s="79">
        <f>+D22+D23+D24</f>
        <v>1466425</v>
      </c>
      <c r="E25" s="79">
        <f>+E22+E23+E24</f>
        <v>-527748</v>
      </c>
      <c r="F25" s="80">
        <f>IF(C25=0,0,+E25/C25)</f>
        <v>-0.26464504333375288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894</v>
      </c>
      <c r="C27" s="185">
        <v>64</v>
      </c>
      <c r="D27" s="185">
        <v>48</v>
      </c>
      <c r="E27" s="185">
        <f>+D27-C27</f>
        <v>-16</v>
      </c>
      <c r="F27" s="77">
        <f>IF(C27=0,0,+E27/C27)</f>
        <v>-0.25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895</v>
      </c>
      <c r="C28" s="185">
        <v>18</v>
      </c>
      <c r="D28" s="185">
        <v>16</v>
      </c>
      <c r="E28" s="185">
        <f>+D28-C28</f>
        <v>-2</v>
      </c>
      <c r="F28" s="77">
        <f>IF(C28=0,0,+E28/C28)</f>
        <v>-0.1111111111111111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896</v>
      </c>
      <c r="C29" s="185">
        <v>549</v>
      </c>
      <c r="D29" s="185">
        <v>400</v>
      </c>
      <c r="E29" s="185">
        <f>+D29-C29</f>
        <v>-149</v>
      </c>
      <c r="F29" s="77">
        <f>IF(C29=0,0,+E29/C29)</f>
        <v>-0.27140255009107467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897</v>
      </c>
      <c r="C30" s="185">
        <v>906</v>
      </c>
      <c r="D30" s="185">
        <v>476</v>
      </c>
      <c r="E30" s="185">
        <f>+D30-C30</f>
        <v>-430</v>
      </c>
      <c r="F30" s="77">
        <f>IF(C30=0,0,+E30/C30)</f>
        <v>-0.47461368653421632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898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899</v>
      </c>
      <c r="C33" s="76">
        <v>675948</v>
      </c>
      <c r="D33" s="76">
        <v>373659</v>
      </c>
      <c r="E33" s="76">
        <f>+D33-C33</f>
        <v>-302289</v>
      </c>
      <c r="F33" s="77">
        <f>IF(C33=0,0,+E33/C33)</f>
        <v>-0.44720747749826911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900</v>
      </c>
      <c r="C34" s="185">
        <v>1405773</v>
      </c>
      <c r="D34" s="185">
        <v>1337015</v>
      </c>
      <c r="E34" s="185">
        <f>+D34-C34</f>
        <v>-68758</v>
      </c>
      <c r="F34" s="77">
        <f>IF(C34=0,0,+E34/C34)</f>
        <v>-4.8911168446114699E-2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901</v>
      </c>
      <c r="C35" s="185">
        <v>2593381</v>
      </c>
      <c r="D35" s="185">
        <v>2614772</v>
      </c>
      <c r="E35" s="185">
        <f>+D35-C35</f>
        <v>21391</v>
      </c>
      <c r="F35" s="77">
        <f>IF(C35=0,0,+E35/C35)</f>
        <v>8.2483059758670253E-3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902</v>
      </c>
      <c r="C36" s="79">
        <f>+C33+C34+C35</f>
        <v>4675102</v>
      </c>
      <c r="D36" s="79">
        <f>+D33+D34+D35</f>
        <v>4325446</v>
      </c>
      <c r="E36" s="79">
        <f>+E33+E34+E35</f>
        <v>-349656</v>
      </c>
      <c r="F36" s="80">
        <f>IF(C36=0,0,+E36/C36)</f>
        <v>-7.479109546700799E-2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903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904</v>
      </c>
      <c r="C39" s="76">
        <f>+C25</f>
        <v>1994173</v>
      </c>
      <c r="D39" s="76">
        <f>+D25</f>
        <v>1466425</v>
      </c>
      <c r="E39" s="76">
        <f>+D39-C39</f>
        <v>-527748</v>
      </c>
      <c r="F39" s="77">
        <f>IF(C39=0,0,+E39/C39)</f>
        <v>-0.26464504333375288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905</v>
      </c>
      <c r="C40" s="185">
        <f>+C36</f>
        <v>4675102</v>
      </c>
      <c r="D40" s="185">
        <f>+D36</f>
        <v>4325446</v>
      </c>
      <c r="E40" s="185">
        <f>+D40-C40</f>
        <v>-349656</v>
      </c>
      <c r="F40" s="77">
        <f>IF(C40=0,0,+E40/C40)</f>
        <v>-7.479109546700799E-2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906</v>
      </c>
      <c r="C41" s="79">
        <f>+C39+C40</f>
        <v>6669275</v>
      </c>
      <c r="D41" s="79">
        <f>+D39+D40</f>
        <v>5791871</v>
      </c>
      <c r="E41" s="79">
        <f>+E39+E40</f>
        <v>-877404</v>
      </c>
      <c r="F41" s="80">
        <f>IF(C41=0,0,+E41/C41)</f>
        <v>-0.131559127491369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907</v>
      </c>
      <c r="C43" s="76">
        <f t="shared" ref="C43:D45" si="0">+C22+C33</f>
        <v>978525</v>
      </c>
      <c r="D43" s="76">
        <f t="shared" si="0"/>
        <v>618238</v>
      </c>
      <c r="E43" s="76">
        <f>+D43-C43</f>
        <v>-360287</v>
      </c>
      <c r="F43" s="77">
        <f>IF(C43=0,0,+E43/C43)</f>
        <v>-0.36819396540711785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908</v>
      </c>
      <c r="C44" s="185">
        <f t="shared" si="0"/>
        <v>2356770</v>
      </c>
      <c r="D44" s="185">
        <f t="shared" si="0"/>
        <v>1925519</v>
      </c>
      <c r="E44" s="185">
        <f>+D44-C44</f>
        <v>-431251</v>
      </c>
      <c r="F44" s="77">
        <f>IF(C44=0,0,+E44/C44)</f>
        <v>-0.1829839144252515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909</v>
      </c>
      <c r="C45" s="185">
        <f t="shared" si="0"/>
        <v>3333980</v>
      </c>
      <c r="D45" s="185">
        <f t="shared" si="0"/>
        <v>3248114</v>
      </c>
      <c r="E45" s="185">
        <f>+D45-C45</f>
        <v>-85866</v>
      </c>
      <c r="F45" s="77">
        <f>IF(C45=0,0,+E45/C45)</f>
        <v>-2.5754803568107786E-2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906</v>
      </c>
      <c r="C46" s="79">
        <f>+C43+C44+C45</f>
        <v>6669275</v>
      </c>
      <c r="D46" s="79">
        <f>+D43+D44+D45</f>
        <v>5791871</v>
      </c>
      <c r="E46" s="79">
        <f>+E43+E44+E45</f>
        <v>-877404</v>
      </c>
      <c r="F46" s="80">
        <f>IF(C46=0,0,+E46/C46)</f>
        <v>-0.131559127491369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910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paperSize="9" scale="74" orientation="portrait" horizontalDpi="1200" verticalDpi="1200" r:id="rId1"/>
  <headerFooter>
    <oddHeader>_x000D_
                  &amp;LOFFICE OF HEALTH CARE ACCESS&amp;CTWELVE MONTHS ACTUAL FILING&amp;RWINDHAM COMMUNITY MEMORIAL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Normal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628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911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912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913</v>
      </c>
      <c r="D10" s="177" t="s">
        <v>913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914</v>
      </c>
      <c r="D11" s="693" t="s">
        <v>914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915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52910924</v>
      </c>
      <c r="D15" s="76">
        <v>50704078</v>
      </c>
      <c r="E15" s="76">
        <f>+D15-C15</f>
        <v>-2206846</v>
      </c>
      <c r="F15" s="77">
        <f>IF(C15=0,0,E15/C15)</f>
        <v>-4.1708702724601823E-2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529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916</v>
      </c>
      <c r="C17" s="76">
        <v>19590768</v>
      </c>
      <c r="D17" s="76">
        <v>19720989</v>
      </c>
      <c r="E17" s="76">
        <f>+D17-C17</f>
        <v>130221</v>
      </c>
      <c r="F17" s="77">
        <f>IF(C17=0,0,E17/C17)</f>
        <v>6.6470594720942026E-3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917</v>
      </c>
      <c r="C19" s="79">
        <f>+C15-C17</f>
        <v>33320156</v>
      </c>
      <c r="D19" s="79">
        <f>+D15-D17</f>
        <v>30983089</v>
      </c>
      <c r="E19" s="79">
        <f>+D19-C19</f>
        <v>-2337067</v>
      </c>
      <c r="F19" s="80">
        <f>IF(C19=0,0,E19/C19)</f>
        <v>-7.0139737641084277E-2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918</v>
      </c>
      <c r="C21" s="720">
        <f>IF(C15=0,0,C17/C15)</f>
        <v>0.37025941939702284</v>
      </c>
      <c r="D21" s="720">
        <f>IF(D15=0,0,D17/D15)</f>
        <v>0.38894285781116067</v>
      </c>
      <c r="E21" s="720">
        <f>+D21-C21</f>
        <v>1.8683438414137832E-2</v>
      </c>
      <c r="F21" s="80">
        <f>IF(C21=0,0,E21/C21)</f>
        <v>5.0460400020516161E-2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529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529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529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529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919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FILING&amp;R&amp;12WINDHAM COMMUNITY MEMORIAL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zoomScaleNormal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920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921</v>
      </c>
      <c r="B6" s="734" t="s">
        <v>922</v>
      </c>
      <c r="C6" s="734" t="s">
        <v>923</v>
      </c>
      <c r="D6" s="734" t="s">
        <v>924</v>
      </c>
      <c r="E6" s="734" t="s">
        <v>925</v>
      </c>
    </row>
    <row r="7" spans="1:6" ht="37.5" customHeight="1" x14ac:dyDescent="0.25">
      <c r="A7" s="735" t="s">
        <v>8</v>
      </c>
      <c r="B7" s="736" t="s">
        <v>9</v>
      </c>
      <c r="C7" s="737" t="s">
        <v>926</v>
      </c>
      <c r="D7" s="737" t="s">
        <v>927</v>
      </c>
      <c r="E7" s="737" t="s">
        <v>928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929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930</v>
      </c>
      <c r="C10" s="744">
        <v>55857478</v>
      </c>
      <c r="D10" s="744">
        <v>50950484</v>
      </c>
      <c r="E10" s="744">
        <v>36927419</v>
      </c>
    </row>
    <row r="11" spans="1:6" ht="26.1" customHeight="1" x14ac:dyDescent="0.25">
      <c r="A11" s="742">
        <v>2</v>
      </c>
      <c r="B11" s="743" t="s">
        <v>931</v>
      </c>
      <c r="C11" s="744">
        <v>142607314</v>
      </c>
      <c r="D11" s="744">
        <v>145336113</v>
      </c>
      <c r="E11" s="744">
        <v>138189754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198464792</v>
      </c>
      <c r="D12" s="744">
        <f>+D11+D10</f>
        <v>196286597</v>
      </c>
      <c r="E12" s="744">
        <f>+E11+E10</f>
        <v>175117173</v>
      </c>
    </row>
    <row r="13" spans="1:6" ht="26.1" customHeight="1" x14ac:dyDescent="0.25">
      <c r="A13" s="742">
        <v>4</v>
      </c>
      <c r="B13" s="743" t="s">
        <v>506</v>
      </c>
      <c r="C13" s="744">
        <v>77506994</v>
      </c>
      <c r="D13" s="744">
        <v>77601420</v>
      </c>
      <c r="E13" s="744">
        <v>66924838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932</v>
      </c>
      <c r="C16" s="744">
        <v>86792851</v>
      </c>
      <c r="D16" s="744">
        <v>86761524</v>
      </c>
      <c r="E16" s="744">
        <v>81612663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933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13225</v>
      </c>
      <c r="D19" s="747">
        <v>12214</v>
      </c>
      <c r="E19" s="747">
        <v>8594</v>
      </c>
    </row>
    <row r="20" spans="1:5" ht="26.1" customHeight="1" x14ac:dyDescent="0.25">
      <c r="A20" s="742">
        <v>2</v>
      </c>
      <c r="B20" s="743" t="s">
        <v>381</v>
      </c>
      <c r="C20" s="748">
        <v>3427</v>
      </c>
      <c r="D20" s="748">
        <v>2901</v>
      </c>
      <c r="E20" s="748">
        <v>2225</v>
      </c>
    </row>
    <row r="21" spans="1:5" ht="26.1" customHeight="1" x14ac:dyDescent="0.25">
      <c r="A21" s="742">
        <v>3</v>
      </c>
      <c r="B21" s="743" t="s">
        <v>934</v>
      </c>
      <c r="C21" s="749">
        <f>IF(C20=0,0,+C19/C20)</f>
        <v>3.8590604026845639</v>
      </c>
      <c r="D21" s="749">
        <f>IF(D20=0,0,+D19/D20)</f>
        <v>4.2102723198896932</v>
      </c>
      <c r="E21" s="749">
        <f>IF(E20=0,0,+E19/E20)</f>
        <v>3.8624719101123595</v>
      </c>
    </row>
    <row r="22" spans="1:5" ht="26.1" customHeight="1" x14ac:dyDescent="0.25">
      <c r="A22" s="742">
        <v>4</v>
      </c>
      <c r="B22" s="743" t="s">
        <v>935</v>
      </c>
      <c r="C22" s="748">
        <f>IF(C10=0,0,C19*(C12/C10))</f>
        <v>46989.176170825333</v>
      </c>
      <c r="D22" s="748">
        <f>IF(D10=0,0,D19*(D12/D10))</f>
        <v>47054.400813111017</v>
      </c>
      <c r="E22" s="748">
        <f>IF(E10=0,0,E19*(E12/E10))</f>
        <v>40754.459031160557</v>
      </c>
    </row>
    <row r="23" spans="1:5" ht="26.1" customHeight="1" x14ac:dyDescent="0.25">
      <c r="A23" s="742">
        <v>0</v>
      </c>
      <c r="B23" s="743" t="s">
        <v>936</v>
      </c>
      <c r="C23" s="748">
        <f>IF(C10=0,0,C20*(C12/C10))</f>
        <v>12176.325651222563</v>
      </c>
      <c r="D23" s="748">
        <f>IF(D10=0,0,D20*(D12/D10))</f>
        <v>11176.094380124043</v>
      </c>
      <c r="E23" s="748">
        <f>IF(E10=0,0,E20*(E12/E10))</f>
        <v>10551.392988635354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937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1.2230953574555004</v>
      </c>
      <c r="D26" s="750">
        <v>1.2530772733540156</v>
      </c>
      <c r="E26" s="750">
        <v>1.2798828314606741</v>
      </c>
    </row>
    <row r="27" spans="1:5" ht="26.1" customHeight="1" x14ac:dyDescent="0.25">
      <c r="A27" s="742">
        <v>2</v>
      </c>
      <c r="B27" s="743" t="s">
        <v>938</v>
      </c>
      <c r="C27" s="748">
        <f>C19*C26</f>
        <v>16175.436102348993</v>
      </c>
      <c r="D27" s="748">
        <f>D19*D26</f>
        <v>15305.085816745946</v>
      </c>
      <c r="E27" s="748">
        <f>E19*E26</f>
        <v>10999.313053573032</v>
      </c>
    </row>
    <row r="28" spans="1:5" ht="26.1" customHeight="1" x14ac:dyDescent="0.25">
      <c r="A28" s="742">
        <v>3</v>
      </c>
      <c r="B28" s="743" t="s">
        <v>939</v>
      </c>
      <c r="C28" s="748">
        <f>C20*C26</f>
        <v>4191.5477899999996</v>
      </c>
      <c r="D28" s="748">
        <f>D20*D26</f>
        <v>3635.1771699999995</v>
      </c>
      <c r="E28" s="748">
        <f>E20*E26</f>
        <v>2847.7392999999997</v>
      </c>
    </row>
    <row r="29" spans="1:5" ht="26.1" customHeight="1" x14ac:dyDescent="0.25">
      <c r="A29" s="742">
        <v>4</v>
      </c>
      <c r="B29" s="743" t="s">
        <v>940</v>
      </c>
      <c r="C29" s="748">
        <f>C22*C26</f>
        <v>57472.243225195089</v>
      </c>
      <c r="D29" s="748">
        <f>D22*D26</f>
        <v>58962.800270200132</v>
      </c>
      <c r="E29" s="748">
        <f>E22*E26</f>
        <v>52160.932419449811</v>
      </c>
    </row>
    <row r="30" spans="1:5" ht="26.1" customHeight="1" x14ac:dyDescent="0.25">
      <c r="A30" s="742">
        <v>5</v>
      </c>
      <c r="B30" s="743" t="s">
        <v>941</v>
      </c>
      <c r="C30" s="748">
        <f>C23*C26</f>
        <v>14892.80737487664</v>
      </c>
      <c r="D30" s="748">
        <f>D23*D26</f>
        <v>14004.509872592973</v>
      </c>
      <c r="E30" s="748">
        <f>E23*E26</f>
        <v>13504.546734148922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942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943</v>
      </c>
      <c r="C33" s="744">
        <f>IF(C19=0,0,C12/C19)</f>
        <v>15006.789565217392</v>
      </c>
      <c r="D33" s="744">
        <f>IF(D19=0,0,D12/D19)</f>
        <v>16070.623628622892</v>
      </c>
      <c r="E33" s="744">
        <f>IF(E19=0,0,E12/E19)</f>
        <v>20376.678263905051</v>
      </c>
    </row>
    <row r="34" spans="1:5" ht="26.1" customHeight="1" x14ac:dyDescent="0.25">
      <c r="A34" s="742">
        <v>2</v>
      </c>
      <c r="B34" s="743" t="s">
        <v>944</v>
      </c>
      <c r="C34" s="744">
        <f>IF(C20=0,0,C12/C20)</f>
        <v>57912.107382550334</v>
      </c>
      <c r="D34" s="744">
        <f>IF(D20=0,0,D12/D20)</f>
        <v>67661.701826956225</v>
      </c>
      <c r="E34" s="744">
        <f>IF(E20=0,0,E12/E20)</f>
        <v>78704.347415730343</v>
      </c>
    </row>
    <row r="35" spans="1:5" ht="26.1" customHeight="1" x14ac:dyDescent="0.25">
      <c r="A35" s="742">
        <v>3</v>
      </c>
      <c r="B35" s="743" t="s">
        <v>945</v>
      </c>
      <c r="C35" s="744">
        <f>IF(C22=0,0,C12/C22)</f>
        <v>4223.6278260869558</v>
      </c>
      <c r="D35" s="744">
        <f>IF(D22=0,0,D12/D22)</f>
        <v>4171.4822335025383</v>
      </c>
      <c r="E35" s="744">
        <f>IF(E22=0,0,E12/E22)</f>
        <v>4296.8837561089131</v>
      </c>
    </row>
    <row r="36" spans="1:5" ht="26.1" customHeight="1" x14ac:dyDescent="0.25">
      <c r="A36" s="742">
        <v>4</v>
      </c>
      <c r="B36" s="743" t="s">
        <v>946</v>
      </c>
      <c r="C36" s="744">
        <f>IF(C23=0,0,C12/C23)</f>
        <v>16299.23489932886</v>
      </c>
      <c r="D36" s="744">
        <f>IF(D23=0,0,D12/D23)</f>
        <v>17563.076180627369</v>
      </c>
      <c r="E36" s="744">
        <f>IF(E23=0,0,E12/E23)</f>
        <v>16596.592808988764</v>
      </c>
    </row>
    <row r="37" spans="1:5" ht="26.1" customHeight="1" x14ac:dyDescent="0.25">
      <c r="A37" s="742">
        <v>5</v>
      </c>
      <c r="B37" s="743" t="s">
        <v>947</v>
      </c>
      <c r="C37" s="744">
        <f>IF(C29=0,0,C12/C29)</f>
        <v>3453.2285650022372</v>
      </c>
      <c r="D37" s="744">
        <f>IF(D29=0,0,D12/D29)</f>
        <v>3328.9904159996872</v>
      </c>
      <c r="E37" s="744">
        <f>IF(E29=0,0,E12/E29)</f>
        <v>3357.24774994057</v>
      </c>
    </row>
    <row r="38" spans="1:5" ht="26.1" customHeight="1" x14ac:dyDescent="0.25">
      <c r="A38" s="742">
        <v>6</v>
      </c>
      <c r="B38" s="743" t="s">
        <v>948</v>
      </c>
      <c r="C38" s="744">
        <f>IF(C30=0,0,C12/C30)</f>
        <v>13326.217616619373</v>
      </c>
      <c r="D38" s="744">
        <f>IF(D30=0,0,D12/D30)</f>
        <v>14015.956201661558</v>
      </c>
      <c r="E38" s="744">
        <f>IF(E30=0,0,E12/E30)</f>
        <v>12967.275129433374</v>
      </c>
    </row>
    <row r="39" spans="1:5" ht="26.1" customHeight="1" x14ac:dyDescent="0.25">
      <c r="A39" s="742">
        <v>7</v>
      </c>
      <c r="B39" s="743" t="s">
        <v>949</v>
      </c>
      <c r="C39" s="744">
        <f>IF(C22=0,0,C10/C22)</f>
        <v>1188.7307365622814</v>
      </c>
      <c r="D39" s="744">
        <f>IF(D22=0,0,D10/D22)</f>
        <v>1082.799549448378</v>
      </c>
      <c r="E39" s="744">
        <f>IF(E22=0,0,E10/E22)</f>
        <v>906.0951826587999</v>
      </c>
    </row>
    <row r="40" spans="1:5" ht="26.1" customHeight="1" x14ac:dyDescent="0.25">
      <c r="A40" s="742">
        <v>8</v>
      </c>
      <c r="B40" s="743" t="s">
        <v>950</v>
      </c>
      <c r="C40" s="744">
        <f>IF(C23=0,0,C10/C23)</f>
        <v>4587.383714921556</v>
      </c>
      <c r="D40" s="744">
        <f>IF(D23=0,0,D10/D23)</f>
        <v>4558.8809710315372</v>
      </c>
      <c r="E40" s="744">
        <f>IF(E23=0,0,E10/E23)</f>
        <v>3499.7671909077421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951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952</v>
      </c>
      <c r="C43" s="744">
        <f>IF(C19=0,0,C13/C19)</f>
        <v>5860.6422684310019</v>
      </c>
      <c r="D43" s="744">
        <f>IF(D19=0,0,D13/D19)</f>
        <v>6353.481251023416</v>
      </c>
      <c r="E43" s="744">
        <f>IF(E19=0,0,E13/E19)</f>
        <v>7787.3909704444959</v>
      </c>
    </row>
    <row r="44" spans="1:5" ht="26.1" customHeight="1" x14ac:dyDescent="0.25">
      <c r="A44" s="742">
        <v>2</v>
      </c>
      <c r="B44" s="743" t="s">
        <v>953</v>
      </c>
      <c r="C44" s="744">
        <f>IF(C20=0,0,C13/C20)</f>
        <v>22616.572512401519</v>
      </c>
      <c r="D44" s="744">
        <f>IF(D20=0,0,D13/D20)</f>
        <v>26749.886246122027</v>
      </c>
      <c r="E44" s="744">
        <f>IF(E20=0,0,E13/E20)</f>
        <v>30078.578876404496</v>
      </c>
    </row>
    <row r="45" spans="1:5" ht="26.1" customHeight="1" x14ac:dyDescent="0.25">
      <c r="A45" s="742">
        <v>3</v>
      </c>
      <c r="B45" s="743" t="s">
        <v>954</v>
      </c>
      <c r="C45" s="744">
        <f>IF(C22=0,0,C13/C22)</f>
        <v>1649.4648409716658</v>
      </c>
      <c r="D45" s="744">
        <f>IF(D22=0,0,D13/D22)</f>
        <v>1649.1851699103456</v>
      </c>
      <c r="E45" s="744">
        <f>IF(E22=0,0,E13/E22)</f>
        <v>1642.1476223946381</v>
      </c>
    </row>
    <row r="46" spans="1:5" ht="26.1" customHeight="1" x14ac:dyDescent="0.25">
      <c r="A46" s="742">
        <v>4</v>
      </c>
      <c r="B46" s="743" t="s">
        <v>955</v>
      </c>
      <c r="C46" s="744">
        <f>IF(C23=0,0,C13/C23)</f>
        <v>6365.3844534141472</v>
      </c>
      <c r="D46" s="744">
        <f>IF(D23=0,0,D13/D23)</f>
        <v>6943.5186712461091</v>
      </c>
      <c r="E46" s="744">
        <f>IF(E23=0,0,E13/E23)</f>
        <v>6342.7490637570882</v>
      </c>
    </row>
    <row r="47" spans="1:5" ht="26.1" customHeight="1" x14ac:dyDescent="0.25">
      <c r="A47" s="742">
        <v>5</v>
      </c>
      <c r="B47" s="743" t="s">
        <v>956</v>
      </c>
      <c r="C47" s="744">
        <f>IF(C29=0,0,C13/C29)</f>
        <v>1348.5987261068303</v>
      </c>
      <c r="D47" s="744">
        <f>IF(D29=0,0,D13/D29)</f>
        <v>1316.108116378249</v>
      </c>
      <c r="E47" s="744">
        <f>IF(E29=0,0,E13/E29)</f>
        <v>1283.0452772934905</v>
      </c>
    </row>
    <row r="48" spans="1:5" ht="26.1" customHeight="1" x14ac:dyDescent="0.25">
      <c r="A48" s="742">
        <v>6</v>
      </c>
      <c r="B48" s="743" t="s">
        <v>957</v>
      </c>
      <c r="C48" s="744">
        <f>IF(C30=0,0,C13/C30)</f>
        <v>5204.3239430297144</v>
      </c>
      <c r="D48" s="744">
        <f>IF(D30=0,0,D13/D30)</f>
        <v>5541.1735723695047</v>
      </c>
      <c r="E48" s="744">
        <f>IF(E30=0,0,E13/E30)</f>
        <v>4955.7263429484301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958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959</v>
      </c>
      <c r="C51" s="744">
        <f>IF(C19=0,0,C16/C19)</f>
        <v>6562.7864650283555</v>
      </c>
      <c r="D51" s="744">
        <f>IF(D19=0,0,D16/D19)</f>
        <v>7103.4488292123797</v>
      </c>
      <c r="E51" s="744">
        <f>IF(E19=0,0,E16/E19)</f>
        <v>9496.4699790551549</v>
      </c>
    </row>
    <row r="52" spans="1:6" ht="26.1" customHeight="1" x14ac:dyDescent="0.25">
      <c r="A52" s="742">
        <v>2</v>
      </c>
      <c r="B52" s="743" t="s">
        <v>960</v>
      </c>
      <c r="C52" s="744">
        <f>IF(C20=0,0,C16/C20)</f>
        <v>25326.189378465129</v>
      </c>
      <c r="D52" s="744">
        <f>IF(D20=0,0,D16/D20)</f>
        <v>29907.45398138573</v>
      </c>
      <c r="E52" s="744">
        <f>IF(E20=0,0,E16/E20)</f>
        <v>36679.848539325845</v>
      </c>
    </row>
    <row r="53" spans="1:6" ht="26.1" customHeight="1" x14ac:dyDescent="0.25">
      <c r="A53" s="742">
        <v>3</v>
      </c>
      <c r="B53" s="743" t="s">
        <v>961</v>
      </c>
      <c r="C53" s="744">
        <f>IF(C22=0,0,C16/C22)</f>
        <v>1847.081776545127</v>
      </c>
      <c r="D53" s="744">
        <f>IF(D22=0,0,D16/D22)</f>
        <v>1843.8556755742425</v>
      </c>
      <c r="E53" s="744">
        <f>IF(E22=0,0,E16/E22)</f>
        <v>2002.5456094902293</v>
      </c>
    </row>
    <row r="54" spans="1:6" ht="26.1" customHeight="1" x14ac:dyDescent="0.25">
      <c r="A54" s="742">
        <v>4</v>
      </c>
      <c r="B54" s="743" t="s">
        <v>962</v>
      </c>
      <c r="C54" s="744">
        <f>IF(C23=0,0,C16/C23)</f>
        <v>7128.0001443855572</v>
      </c>
      <c r="D54" s="744">
        <f>IF(D23=0,0,D16/D23)</f>
        <v>7763.1345127417435</v>
      </c>
      <c r="E54" s="744">
        <f>IF(E23=0,0,E16/E23)</f>
        <v>7734.7761653748457</v>
      </c>
    </row>
    <row r="55" spans="1:6" ht="26.1" customHeight="1" x14ac:dyDescent="0.25">
      <c r="A55" s="742">
        <v>5</v>
      </c>
      <c r="B55" s="743" t="s">
        <v>963</v>
      </c>
      <c r="C55" s="744">
        <f>IF(C29=0,0,C16/C29)</f>
        <v>1510.1698860077056</v>
      </c>
      <c r="D55" s="744">
        <f>IF(D29=0,0,D16/D29)</f>
        <v>1471.4620676496156</v>
      </c>
      <c r="E55" s="744">
        <f>IF(E29=0,0,E16/E29)</f>
        <v>1564.6319805734186</v>
      </c>
    </row>
    <row r="56" spans="1:6" ht="26.1" customHeight="1" x14ac:dyDescent="0.25">
      <c r="A56" s="742">
        <v>6</v>
      </c>
      <c r="B56" s="743" t="s">
        <v>964</v>
      </c>
      <c r="C56" s="744">
        <f>IF(C30=0,0,C16/C30)</f>
        <v>5827.8368084189988</v>
      </c>
      <c r="D56" s="744">
        <f>IF(D30=0,0,D16/D30)</f>
        <v>6195.2560131928321</v>
      </c>
      <c r="E56" s="744">
        <f>IF(E30=0,0,E16/E30)</f>
        <v>6043.3470746282965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965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966</v>
      </c>
      <c r="C59" s="752">
        <v>12663438</v>
      </c>
      <c r="D59" s="752">
        <v>11636506</v>
      </c>
      <c r="E59" s="752">
        <v>10301279</v>
      </c>
    </row>
    <row r="60" spans="1:6" ht="26.1" customHeight="1" x14ac:dyDescent="0.25">
      <c r="A60" s="742">
        <v>2</v>
      </c>
      <c r="B60" s="743" t="s">
        <v>967</v>
      </c>
      <c r="C60" s="752">
        <v>3148987</v>
      </c>
      <c r="D60" s="752">
        <v>3502855</v>
      </c>
      <c r="E60" s="752">
        <v>3678381</v>
      </c>
    </row>
    <row r="61" spans="1:6" ht="26.1" customHeight="1" x14ac:dyDescent="0.25">
      <c r="A61" s="753">
        <v>3</v>
      </c>
      <c r="B61" s="754" t="s">
        <v>968</v>
      </c>
      <c r="C61" s="755">
        <f>C59+C60</f>
        <v>15812425</v>
      </c>
      <c r="D61" s="755">
        <f>D59+D60</f>
        <v>15139361</v>
      </c>
      <c r="E61" s="755">
        <f>E59+E60</f>
        <v>13979660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969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970</v>
      </c>
      <c r="C64" s="744">
        <v>1822615</v>
      </c>
      <c r="D64" s="744">
        <v>1720183</v>
      </c>
      <c r="E64" s="752">
        <v>1572726</v>
      </c>
      <c r="F64" s="756"/>
    </row>
    <row r="65" spans="1:6" ht="26.1" customHeight="1" x14ac:dyDescent="0.25">
      <c r="A65" s="742">
        <v>2</v>
      </c>
      <c r="B65" s="743" t="s">
        <v>971</v>
      </c>
      <c r="C65" s="752">
        <v>453225</v>
      </c>
      <c r="D65" s="752">
        <v>517814</v>
      </c>
      <c r="E65" s="752">
        <v>561589</v>
      </c>
      <c r="F65" s="756"/>
    </row>
    <row r="66" spans="1:6" ht="26.1" customHeight="1" x14ac:dyDescent="0.25">
      <c r="A66" s="753">
        <v>3</v>
      </c>
      <c r="B66" s="754" t="s">
        <v>972</v>
      </c>
      <c r="C66" s="757">
        <f>C64+C65</f>
        <v>2275840</v>
      </c>
      <c r="D66" s="757">
        <f>D64+D65</f>
        <v>2237997</v>
      </c>
      <c r="E66" s="757">
        <f>E64+E65</f>
        <v>2134315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973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974</v>
      </c>
      <c r="C69" s="752">
        <v>23750037</v>
      </c>
      <c r="D69" s="752">
        <v>22636620</v>
      </c>
      <c r="E69" s="752">
        <v>19924833</v>
      </c>
    </row>
    <row r="70" spans="1:6" ht="26.1" customHeight="1" x14ac:dyDescent="0.25">
      <c r="A70" s="742">
        <v>2</v>
      </c>
      <c r="B70" s="743" t="s">
        <v>975</v>
      </c>
      <c r="C70" s="752">
        <v>5905865</v>
      </c>
      <c r="D70" s="752">
        <v>6814140</v>
      </c>
      <c r="E70" s="752">
        <v>7114765</v>
      </c>
    </row>
    <row r="71" spans="1:6" ht="26.1" customHeight="1" x14ac:dyDescent="0.25">
      <c r="A71" s="753">
        <v>3</v>
      </c>
      <c r="B71" s="754" t="s">
        <v>976</v>
      </c>
      <c r="C71" s="755">
        <f>C69+C70</f>
        <v>29655902</v>
      </c>
      <c r="D71" s="755">
        <f>D69+D70</f>
        <v>29450760</v>
      </c>
      <c r="E71" s="755">
        <f>E69+E70</f>
        <v>27039598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977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978</v>
      </c>
      <c r="C75" s="744">
        <f t="shared" ref="C75:E76" si="0">+C59+C64+C69</f>
        <v>38236090</v>
      </c>
      <c r="D75" s="744">
        <f t="shared" si="0"/>
        <v>35993309</v>
      </c>
      <c r="E75" s="744">
        <f t="shared" si="0"/>
        <v>31798838</v>
      </c>
    </row>
    <row r="76" spans="1:6" ht="26.1" customHeight="1" x14ac:dyDescent="0.25">
      <c r="A76" s="742">
        <v>2</v>
      </c>
      <c r="B76" s="743" t="s">
        <v>979</v>
      </c>
      <c r="C76" s="744">
        <f t="shared" si="0"/>
        <v>9508077</v>
      </c>
      <c r="D76" s="744">
        <f t="shared" si="0"/>
        <v>10834809</v>
      </c>
      <c r="E76" s="744">
        <f t="shared" si="0"/>
        <v>11354735</v>
      </c>
    </row>
    <row r="77" spans="1:6" ht="26.1" customHeight="1" x14ac:dyDescent="0.25">
      <c r="A77" s="753">
        <v>3</v>
      </c>
      <c r="B77" s="754" t="s">
        <v>977</v>
      </c>
      <c r="C77" s="757">
        <f>C75+C76</f>
        <v>47744167</v>
      </c>
      <c r="D77" s="757">
        <f>D75+D76</f>
        <v>46828118</v>
      </c>
      <c r="E77" s="757">
        <f>E75+E76</f>
        <v>43153573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980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615</v>
      </c>
      <c r="C80" s="749">
        <v>147</v>
      </c>
      <c r="D80" s="749">
        <v>143.5</v>
      </c>
      <c r="E80" s="749">
        <v>99.3</v>
      </c>
    </row>
    <row r="81" spans="1:5" ht="26.1" customHeight="1" x14ac:dyDescent="0.25">
      <c r="A81" s="742">
        <v>2</v>
      </c>
      <c r="B81" s="743" t="s">
        <v>616</v>
      </c>
      <c r="C81" s="749">
        <v>9.8000000000000007</v>
      </c>
      <c r="D81" s="749">
        <v>8</v>
      </c>
      <c r="E81" s="749">
        <v>6.6</v>
      </c>
    </row>
    <row r="82" spans="1:5" ht="26.1" customHeight="1" x14ac:dyDescent="0.25">
      <c r="A82" s="742">
        <v>3</v>
      </c>
      <c r="B82" s="743" t="s">
        <v>981</v>
      </c>
      <c r="C82" s="749">
        <v>344.2</v>
      </c>
      <c r="D82" s="749">
        <v>326.2</v>
      </c>
      <c r="E82" s="749">
        <v>302.3</v>
      </c>
    </row>
    <row r="83" spans="1:5" ht="26.1" customHeight="1" x14ac:dyDescent="0.25">
      <c r="A83" s="753">
        <v>4</v>
      </c>
      <c r="B83" s="754" t="s">
        <v>980</v>
      </c>
      <c r="C83" s="759">
        <f>C80+C81+C82</f>
        <v>501</v>
      </c>
      <c r="D83" s="759">
        <f>D80+D81+D82</f>
        <v>477.7</v>
      </c>
      <c r="E83" s="759">
        <f>E80+E81+E82</f>
        <v>408.2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982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983</v>
      </c>
      <c r="C86" s="752">
        <f>IF(C80=0,0,C59/C80)</f>
        <v>86145.836734693876</v>
      </c>
      <c r="D86" s="752">
        <f>IF(D80=0,0,D59/D80)</f>
        <v>81090.634146341457</v>
      </c>
      <c r="E86" s="752">
        <f>IF(E80=0,0,E59/E80)</f>
        <v>103738.96273917423</v>
      </c>
    </row>
    <row r="87" spans="1:5" ht="26.1" customHeight="1" x14ac:dyDescent="0.25">
      <c r="A87" s="742">
        <v>2</v>
      </c>
      <c r="B87" s="743" t="s">
        <v>984</v>
      </c>
      <c r="C87" s="752">
        <f>IF(C80=0,0,C60/C80)</f>
        <v>21421.680272108842</v>
      </c>
      <c r="D87" s="752">
        <f>IF(D80=0,0,D60/D80)</f>
        <v>24410.139372822301</v>
      </c>
      <c r="E87" s="752">
        <f>IF(E80=0,0,E60/E80)</f>
        <v>37043.111782477339</v>
      </c>
    </row>
    <row r="88" spans="1:5" ht="26.1" customHeight="1" x14ac:dyDescent="0.25">
      <c r="A88" s="753">
        <v>3</v>
      </c>
      <c r="B88" s="754" t="s">
        <v>985</v>
      </c>
      <c r="C88" s="755">
        <f>+C86+C87</f>
        <v>107567.51700680272</v>
      </c>
      <c r="D88" s="755">
        <f>+D86+D87</f>
        <v>105500.77351916376</v>
      </c>
      <c r="E88" s="755">
        <f>+E86+E87</f>
        <v>140782.07452165155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986</v>
      </c>
    </row>
    <row r="91" spans="1:5" ht="26.1" customHeight="1" x14ac:dyDescent="0.25">
      <c r="A91" s="742">
        <v>1</v>
      </c>
      <c r="B91" s="743" t="s">
        <v>987</v>
      </c>
      <c r="C91" s="744">
        <f>IF(C81=0,0,C64/C81)</f>
        <v>185981.12244897959</v>
      </c>
      <c r="D91" s="744">
        <f>IF(D81=0,0,D64/D81)</f>
        <v>215022.875</v>
      </c>
      <c r="E91" s="744">
        <f>IF(E81=0,0,E64/E81)</f>
        <v>238291.81818181821</v>
      </c>
    </row>
    <row r="92" spans="1:5" ht="26.1" customHeight="1" x14ac:dyDescent="0.25">
      <c r="A92" s="742">
        <v>2</v>
      </c>
      <c r="B92" s="743" t="s">
        <v>988</v>
      </c>
      <c r="C92" s="744">
        <f>IF(C81=0,0,C65/C81)</f>
        <v>46247.448979591834</v>
      </c>
      <c r="D92" s="744">
        <f>IF(D81=0,0,D65/D81)</f>
        <v>64726.75</v>
      </c>
      <c r="E92" s="744">
        <f>IF(E81=0,0,E65/E81)</f>
        <v>85089.242424242431</v>
      </c>
    </row>
    <row r="93" spans="1:5" ht="26.1" customHeight="1" x14ac:dyDescent="0.25">
      <c r="A93" s="753">
        <v>3</v>
      </c>
      <c r="B93" s="754" t="s">
        <v>989</v>
      </c>
      <c r="C93" s="757">
        <f>+C91+C92</f>
        <v>232228.57142857142</v>
      </c>
      <c r="D93" s="757">
        <f>+D91+D92</f>
        <v>279749.625</v>
      </c>
      <c r="E93" s="757">
        <f>+E91+E92</f>
        <v>323381.06060606067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990</v>
      </c>
      <c r="B95" s="745" t="s">
        <v>991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992</v>
      </c>
      <c r="C96" s="752">
        <f>IF(C82=0,0,C69/C82)</f>
        <v>69000.688553166765</v>
      </c>
      <c r="D96" s="752">
        <f>IF(D82=0,0,D69/D82)</f>
        <v>69394.911097486212</v>
      </c>
      <c r="E96" s="752">
        <f>IF(E82=0,0,E69/E82)</f>
        <v>65910.79391333113</v>
      </c>
    </row>
    <row r="97" spans="1:5" ht="26.1" customHeight="1" x14ac:dyDescent="0.25">
      <c r="A97" s="742">
        <v>2</v>
      </c>
      <c r="B97" s="743" t="s">
        <v>993</v>
      </c>
      <c r="C97" s="752">
        <f>IF(C82=0,0,C70/C82)</f>
        <v>17158.23649041255</v>
      </c>
      <c r="D97" s="752">
        <f>IF(D82=0,0,D70/D82)</f>
        <v>20889.454322501533</v>
      </c>
      <c r="E97" s="752">
        <f>IF(E82=0,0,E70/E82)</f>
        <v>23535.444922262654</v>
      </c>
    </row>
    <row r="98" spans="1:5" ht="26.1" customHeight="1" x14ac:dyDescent="0.25">
      <c r="A98" s="753">
        <v>3</v>
      </c>
      <c r="B98" s="754" t="s">
        <v>994</v>
      </c>
      <c r="C98" s="757">
        <f>+C96+C97</f>
        <v>86158.925043579307</v>
      </c>
      <c r="D98" s="757">
        <f>+D96+D97</f>
        <v>90284.365419987749</v>
      </c>
      <c r="E98" s="757">
        <f>+E96+E97</f>
        <v>89446.238835593787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995</v>
      </c>
      <c r="B100" s="745" t="s">
        <v>996</v>
      </c>
    </row>
    <row r="101" spans="1:5" ht="26.1" customHeight="1" x14ac:dyDescent="0.25">
      <c r="A101" s="742">
        <v>1</v>
      </c>
      <c r="B101" s="743" t="s">
        <v>997</v>
      </c>
      <c r="C101" s="744">
        <f>IF(C83=0,0,C75/C83)</f>
        <v>76319.540918163679</v>
      </c>
      <c r="D101" s="744">
        <f>IF(D83=0,0,D75/D83)</f>
        <v>75347.098597446093</v>
      </c>
      <c r="E101" s="744">
        <f>IF(E83=0,0,E75/E83)</f>
        <v>77900.142087212153</v>
      </c>
    </row>
    <row r="102" spans="1:5" ht="26.1" customHeight="1" x14ac:dyDescent="0.25">
      <c r="A102" s="742">
        <v>2</v>
      </c>
      <c r="B102" s="743" t="s">
        <v>998</v>
      </c>
      <c r="C102" s="761">
        <f>IF(C83=0,0,C76/C83)</f>
        <v>18978.197604790421</v>
      </c>
      <c r="D102" s="761">
        <f>IF(D83=0,0,D76/D83)</f>
        <v>22681.199497592632</v>
      </c>
      <c r="E102" s="761">
        <f>IF(E83=0,0,E76/E83)</f>
        <v>27816.59725624694</v>
      </c>
    </row>
    <row r="103" spans="1:5" ht="26.1" customHeight="1" x14ac:dyDescent="0.25">
      <c r="A103" s="753">
        <v>3</v>
      </c>
      <c r="B103" s="754" t="s">
        <v>996</v>
      </c>
      <c r="C103" s="757">
        <f>+C101+C102</f>
        <v>95297.738522954096</v>
      </c>
      <c r="D103" s="757">
        <f>+D101+D102</f>
        <v>98028.298095038728</v>
      </c>
      <c r="E103" s="757">
        <f>+E101+E102</f>
        <v>105716.73934345909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999</v>
      </c>
      <c r="B107" s="736" t="s">
        <v>1000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1001</v>
      </c>
      <c r="C108" s="744">
        <f>IF(C19=0,0,C77/C19)</f>
        <v>3610.1449527410209</v>
      </c>
      <c r="D108" s="744">
        <f>IF(D19=0,0,D77/D19)</f>
        <v>3833.9706893728508</v>
      </c>
      <c r="E108" s="744">
        <f>IF(E19=0,0,E77/E19)</f>
        <v>5021.3606004188969</v>
      </c>
    </row>
    <row r="109" spans="1:5" ht="26.1" customHeight="1" x14ac:dyDescent="0.25">
      <c r="A109" s="742">
        <v>2</v>
      </c>
      <c r="B109" s="743" t="s">
        <v>1002</v>
      </c>
      <c r="C109" s="744">
        <f>IF(C20=0,0,C77/C20)</f>
        <v>13931.767435074409</v>
      </c>
      <c r="D109" s="744">
        <f>IF(D20=0,0,D77/D20)</f>
        <v>16142.060668734919</v>
      </c>
      <c r="E109" s="744">
        <f>IF(E20=0,0,E77/E20)</f>
        <v>19394.864269662921</v>
      </c>
    </row>
    <row r="110" spans="1:5" ht="26.1" customHeight="1" x14ac:dyDescent="0.25">
      <c r="A110" s="742">
        <v>3</v>
      </c>
      <c r="B110" s="743" t="s">
        <v>1003</v>
      </c>
      <c r="C110" s="744">
        <f>IF(C22=0,0,C77/C22)</f>
        <v>1016.0673348779293</v>
      </c>
      <c r="D110" s="744">
        <f>IF(D22=0,0,D77/D22)</f>
        <v>995.1910382620797</v>
      </c>
      <c r="E110" s="744">
        <f>IF(E22=0,0,E77/E22)</f>
        <v>1058.867520901335</v>
      </c>
    </row>
    <row r="111" spans="1:5" ht="26.1" customHeight="1" x14ac:dyDescent="0.25">
      <c r="A111" s="742">
        <v>4</v>
      </c>
      <c r="B111" s="743" t="s">
        <v>1004</v>
      </c>
      <c r="C111" s="744">
        <f>IF(C23=0,0,C77/C23)</f>
        <v>3921.065218488654</v>
      </c>
      <c r="D111" s="744">
        <f>IF(D23=0,0,D77/D23)</f>
        <v>4190.0252813971192</v>
      </c>
      <c r="E111" s="744">
        <f>IF(E23=0,0,E77/E23)</f>
        <v>4089.8460560117182</v>
      </c>
    </row>
    <row r="112" spans="1:5" ht="26.1" customHeight="1" x14ac:dyDescent="0.25">
      <c r="A112" s="742">
        <v>5</v>
      </c>
      <c r="B112" s="743" t="s">
        <v>1005</v>
      </c>
      <c r="C112" s="744">
        <f>IF(C29=0,0,C77/C29)</f>
        <v>830.73435663408338</v>
      </c>
      <c r="D112" s="744">
        <f>IF(D29=0,0,D77/D29)</f>
        <v>794.19765997218053</v>
      </c>
      <c r="E112" s="744">
        <f>IF(E29=0,0,E77/E29)</f>
        <v>827.3159814894118</v>
      </c>
    </row>
    <row r="113" spans="1:7" ht="25.5" customHeight="1" x14ac:dyDescent="0.25">
      <c r="A113" s="742">
        <v>6</v>
      </c>
      <c r="B113" s="743" t="s">
        <v>1006</v>
      </c>
      <c r="C113" s="744">
        <f>IF(C30=0,0,C77/C30)</f>
        <v>3205.8540608362277</v>
      </c>
      <c r="D113" s="744">
        <f>IF(D30=0,0,D77/D30)</f>
        <v>3343.7884243020385</v>
      </c>
      <c r="E113" s="744">
        <f>IF(E30=0,0,E77/E30)</f>
        <v>3195.4847392898896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3" fitToHeight="5" orientation="portrait" horizontalDpi="1200" verticalDpi="1200" r:id="rId1"/>
  <headerFooter>
    <oddHeader>&amp;L&amp;"Arial,Bold"&amp;12OFFICE OF HEALTH CARE ACCESS&amp;C&amp;"Arial,Bold"&amp;12TWELVE MONTHS ACTUAL FILING&amp;R&amp;"Arial,Bold"&amp;12WINDHAM COMMUNITY MEMORIAL HOSPITAL</oddHeader>
    <oddFooter>&amp;L&amp;"Arial,Bold"&amp;12REPORT 700&amp;C&amp;"Arial,Bold"&amp;12PAGE &amp;P of &amp;N&amp;R&amp;"Arial,Bold"&amp;12&amp;D, &amp;T</oddFooter>
  </headerFooter>
  <rowBreaks count="2" manualBreakCount="2">
    <brk id="40" max="4" man="1"/>
    <brk id="7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75" zoomScaleNormal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196286597</v>
      </c>
      <c r="D12" s="76">
        <v>175117173</v>
      </c>
      <c r="E12" s="76">
        <f t="shared" ref="E12:E21" si="0">D12-C12</f>
        <v>-21169424</v>
      </c>
      <c r="F12" s="77">
        <f t="shared" ref="F12:F21" si="1">IF(C12=0,0,E12/C12)</f>
        <v>-0.10784956448147094</v>
      </c>
    </row>
    <row r="13" spans="1:8" ht="23.1" customHeight="1" x14ac:dyDescent="0.2">
      <c r="A13" s="74">
        <v>2</v>
      </c>
      <c r="B13" s="75" t="s">
        <v>72</v>
      </c>
      <c r="C13" s="76">
        <v>112015902</v>
      </c>
      <c r="D13" s="76">
        <v>102400464</v>
      </c>
      <c r="E13" s="76">
        <f t="shared" si="0"/>
        <v>-9615438</v>
      </c>
      <c r="F13" s="77">
        <f t="shared" si="1"/>
        <v>-8.5839937261764851E-2</v>
      </c>
    </row>
    <row r="14" spans="1:8" ht="23.1" customHeight="1" x14ac:dyDescent="0.2">
      <c r="A14" s="74">
        <v>3</v>
      </c>
      <c r="B14" s="75" t="s">
        <v>73</v>
      </c>
      <c r="C14" s="76">
        <v>1994173</v>
      </c>
      <c r="D14" s="76">
        <v>1466425</v>
      </c>
      <c r="E14" s="76">
        <f t="shared" si="0"/>
        <v>-527748</v>
      </c>
      <c r="F14" s="77">
        <f t="shared" si="1"/>
        <v>-0.26464504333375288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82276522</v>
      </c>
      <c r="D16" s="79">
        <f>D12-D13-D14-D15</f>
        <v>71250284</v>
      </c>
      <c r="E16" s="79">
        <f t="shared" si="0"/>
        <v>-11026238</v>
      </c>
      <c r="F16" s="80">
        <f t="shared" si="1"/>
        <v>-0.13401439112849228</v>
      </c>
    </row>
    <row r="17" spans="1:7" ht="23.1" customHeight="1" x14ac:dyDescent="0.2">
      <c r="A17" s="74">
        <v>5</v>
      </c>
      <c r="B17" s="75" t="s">
        <v>76</v>
      </c>
      <c r="C17" s="76">
        <v>4675102</v>
      </c>
      <c r="D17" s="76">
        <v>4325446</v>
      </c>
      <c r="E17" s="76">
        <f t="shared" si="0"/>
        <v>-349656</v>
      </c>
      <c r="F17" s="77">
        <f t="shared" si="1"/>
        <v>-7.479109546700799E-2</v>
      </c>
      <c r="G17" s="65"/>
    </row>
    <row r="18" spans="1:7" ht="31.5" customHeight="1" x14ac:dyDescent="0.25">
      <c r="A18" s="71"/>
      <c r="B18" s="81" t="s">
        <v>77</v>
      </c>
      <c r="C18" s="79">
        <f>C16-C17</f>
        <v>77601420</v>
      </c>
      <c r="D18" s="79">
        <f>D16-D17</f>
        <v>66924838</v>
      </c>
      <c r="E18" s="79">
        <f t="shared" si="0"/>
        <v>-10676582</v>
      </c>
      <c r="F18" s="80">
        <f t="shared" si="1"/>
        <v>-0.13758230197334018</v>
      </c>
    </row>
    <row r="19" spans="1:7" ht="23.1" customHeight="1" x14ac:dyDescent="0.2">
      <c r="A19" s="74">
        <v>6</v>
      </c>
      <c r="B19" s="75" t="s">
        <v>78</v>
      </c>
      <c r="C19" s="76">
        <v>4764423</v>
      </c>
      <c r="D19" s="76">
        <v>2822409</v>
      </c>
      <c r="E19" s="76">
        <f t="shared" si="0"/>
        <v>-1942014</v>
      </c>
      <c r="F19" s="77">
        <f t="shared" si="1"/>
        <v>-0.40760738498659754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857</v>
      </c>
      <c r="E20" s="76">
        <f t="shared" si="0"/>
        <v>857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82365843</v>
      </c>
      <c r="D21" s="79">
        <f>SUM(D18:D20)</f>
        <v>69748104</v>
      </c>
      <c r="E21" s="79">
        <f t="shared" si="0"/>
        <v>-12617739</v>
      </c>
      <c r="F21" s="80">
        <f t="shared" si="1"/>
        <v>-0.15319140241179829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35993309</v>
      </c>
      <c r="D24" s="76">
        <v>31798838</v>
      </c>
      <c r="E24" s="76">
        <f t="shared" ref="E24:E33" si="2">D24-C24</f>
        <v>-4194471</v>
      </c>
      <c r="F24" s="77">
        <f t="shared" ref="F24:F33" si="3">IF(C24=0,0,E24/C24)</f>
        <v>-0.11653474261007789</v>
      </c>
    </row>
    <row r="25" spans="1:7" ht="23.1" customHeight="1" x14ac:dyDescent="0.2">
      <c r="A25" s="74">
        <v>2</v>
      </c>
      <c r="B25" s="75" t="s">
        <v>83</v>
      </c>
      <c r="C25" s="76">
        <v>10834809</v>
      </c>
      <c r="D25" s="76">
        <v>11354735</v>
      </c>
      <c r="E25" s="76">
        <f t="shared" si="2"/>
        <v>519926</v>
      </c>
      <c r="F25" s="77">
        <f t="shared" si="3"/>
        <v>4.7986632713137814E-2</v>
      </c>
    </row>
    <row r="26" spans="1:7" ht="23.1" customHeight="1" x14ac:dyDescent="0.2">
      <c r="A26" s="74">
        <v>3</v>
      </c>
      <c r="B26" s="75" t="s">
        <v>84</v>
      </c>
      <c r="C26" s="76">
        <v>2627350</v>
      </c>
      <c r="D26" s="76">
        <v>2785769</v>
      </c>
      <c r="E26" s="76">
        <f t="shared" si="2"/>
        <v>158419</v>
      </c>
      <c r="F26" s="77">
        <f t="shared" si="3"/>
        <v>6.0296115858184104E-2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7734480</v>
      </c>
      <c r="D27" s="76">
        <v>6393287</v>
      </c>
      <c r="E27" s="76">
        <f t="shared" si="2"/>
        <v>-1341193</v>
      </c>
      <c r="F27" s="77">
        <f t="shared" si="3"/>
        <v>-0.17340441762083553</v>
      </c>
    </row>
    <row r="28" spans="1:7" ht="23.1" customHeight="1" x14ac:dyDescent="0.2">
      <c r="A28" s="74">
        <v>5</v>
      </c>
      <c r="B28" s="75" t="s">
        <v>86</v>
      </c>
      <c r="C28" s="76">
        <v>4243315</v>
      </c>
      <c r="D28" s="76">
        <v>3879948</v>
      </c>
      <c r="E28" s="76">
        <f t="shared" si="2"/>
        <v>-363367</v>
      </c>
      <c r="F28" s="77">
        <f t="shared" si="3"/>
        <v>-8.5632813024722421E-2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1698978</v>
      </c>
      <c r="D30" s="76">
        <v>1785086</v>
      </c>
      <c r="E30" s="76">
        <f t="shared" si="2"/>
        <v>86108</v>
      </c>
      <c r="F30" s="77">
        <f t="shared" si="3"/>
        <v>5.0682233672242963E-2</v>
      </c>
    </row>
    <row r="31" spans="1:7" ht="23.1" customHeight="1" x14ac:dyDescent="0.2">
      <c r="A31" s="74">
        <v>8</v>
      </c>
      <c r="B31" s="75" t="s">
        <v>89</v>
      </c>
      <c r="C31" s="76">
        <v>343860</v>
      </c>
      <c r="D31" s="76">
        <v>413222</v>
      </c>
      <c r="E31" s="76">
        <f t="shared" si="2"/>
        <v>69362</v>
      </c>
      <c r="F31" s="77">
        <f t="shared" si="3"/>
        <v>0.20171581457569943</v>
      </c>
    </row>
    <row r="32" spans="1:7" ht="23.1" customHeight="1" x14ac:dyDescent="0.2">
      <c r="A32" s="74">
        <v>9</v>
      </c>
      <c r="B32" s="75" t="s">
        <v>90</v>
      </c>
      <c r="C32" s="76">
        <v>23285423</v>
      </c>
      <c r="D32" s="76">
        <v>23201778</v>
      </c>
      <c r="E32" s="76">
        <f t="shared" si="2"/>
        <v>-83645</v>
      </c>
      <c r="F32" s="77">
        <f t="shared" si="3"/>
        <v>-3.5921614994926226E-3</v>
      </c>
    </row>
    <row r="33" spans="1:6" ht="23.1" customHeight="1" x14ac:dyDescent="0.25">
      <c r="A33" s="71"/>
      <c r="B33" s="78" t="s">
        <v>91</v>
      </c>
      <c r="C33" s="79">
        <f>SUM(C24:C32)</f>
        <v>86761524</v>
      </c>
      <c r="D33" s="79">
        <f>SUM(D24:D32)</f>
        <v>81612663</v>
      </c>
      <c r="E33" s="79">
        <f t="shared" si="2"/>
        <v>-5148861</v>
      </c>
      <c r="F33" s="80">
        <f t="shared" si="3"/>
        <v>-5.9344981077095876E-2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-4395681</v>
      </c>
      <c r="D35" s="79">
        <f>+D21-D33</f>
        <v>-11864559</v>
      </c>
      <c r="E35" s="79">
        <f>D35-C35</f>
        <v>-7468878</v>
      </c>
      <c r="F35" s="80">
        <f>IF(C35=0,0,E35/C35)</f>
        <v>1.699140133235328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116996</v>
      </c>
      <c r="D38" s="76">
        <v>120473</v>
      </c>
      <c r="E38" s="76">
        <f>D38-C38</f>
        <v>3477</v>
      </c>
      <c r="F38" s="77">
        <f>IF(C38=0,0,E38/C38)</f>
        <v>2.9718964750931654E-2</v>
      </c>
    </row>
    <row r="39" spans="1:6" ht="23.1" customHeight="1" x14ac:dyDescent="0.2">
      <c r="A39" s="85">
        <v>2</v>
      </c>
      <c r="B39" s="75" t="s">
        <v>95</v>
      </c>
      <c r="C39" s="76">
        <v>96770</v>
      </c>
      <c r="D39" s="76">
        <v>149246</v>
      </c>
      <c r="E39" s="76">
        <f>D39-C39</f>
        <v>52476</v>
      </c>
      <c r="F39" s="77">
        <f>IF(C39=0,0,E39/C39)</f>
        <v>0.54227549860493951</v>
      </c>
    </row>
    <row r="40" spans="1:6" ht="23.1" customHeight="1" x14ac:dyDescent="0.2">
      <c r="A40" s="85">
        <v>3</v>
      </c>
      <c r="B40" s="75" t="s">
        <v>96</v>
      </c>
      <c r="C40" s="76">
        <v>-1363155</v>
      </c>
      <c r="D40" s="76">
        <v>-1417392</v>
      </c>
      <c r="E40" s="76">
        <f>D40-C40</f>
        <v>-54237</v>
      </c>
      <c r="F40" s="77">
        <f>IF(C40=0,0,E40/C40)</f>
        <v>3.9787845109323594E-2</v>
      </c>
    </row>
    <row r="41" spans="1:6" ht="23.1" customHeight="1" x14ac:dyDescent="0.25">
      <c r="A41" s="83"/>
      <c r="B41" s="78" t="s">
        <v>97</v>
      </c>
      <c r="C41" s="79">
        <f>SUM(C38:C40)</f>
        <v>-1149389</v>
      </c>
      <c r="D41" s="79">
        <f>SUM(D38:D40)</f>
        <v>-1147673</v>
      </c>
      <c r="E41" s="79">
        <f>D41-C41</f>
        <v>1716</v>
      </c>
      <c r="F41" s="80">
        <f>IF(C41=0,0,E41/C41)</f>
        <v>-1.4929671329723879E-3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-5545070</v>
      </c>
      <c r="D43" s="79">
        <f>D35+D41</f>
        <v>-13012232</v>
      </c>
      <c r="E43" s="79">
        <f>D43-C43</f>
        <v>-7467162</v>
      </c>
      <c r="F43" s="80">
        <f>IF(C43=0,0,E43/C43)</f>
        <v>1.3466307909548483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-7589</v>
      </c>
      <c r="D46" s="76">
        <v>6783</v>
      </c>
      <c r="E46" s="76">
        <f>D46-C46</f>
        <v>14372</v>
      </c>
      <c r="F46" s="77">
        <f>IF(C46=0,0,E46/C46)</f>
        <v>-1.8937936487020688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-7589</v>
      </c>
      <c r="D48" s="79">
        <f>SUM(D46:D47)</f>
        <v>6783</v>
      </c>
      <c r="E48" s="79">
        <f>D48-C48</f>
        <v>14372</v>
      </c>
      <c r="F48" s="80">
        <f>IF(C48=0,0,E48/C48)</f>
        <v>-1.8937936487020688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-5552659</v>
      </c>
      <c r="D50" s="79">
        <f>D43+D48</f>
        <v>-13005449</v>
      </c>
      <c r="E50" s="79">
        <f>D50-C50</f>
        <v>-7452790</v>
      </c>
      <c r="F50" s="80">
        <f>IF(C50=0,0,E50/C50)</f>
        <v>1.3422019972773405</v>
      </c>
    </row>
    <row r="51" spans="1:6" ht="23.1" customHeight="1" x14ac:dyDescent="0.2">
      <c r="A51" s="85"/>
      <c r="B51" s="75" t="s">
        <v>104</v>
      </c>
      <c r="C51" s="76">
        <v>2349623</v>
      </c>
      <c r="D51" s="76">
        <v>359626</v>
      </c>
      <c r="E51" s="76">
        <f>D51-C51</f>
        <v>-1989997</v>
      </c>
      <c r="F51" s="77">
        <f>IF(C51=0,0,E51/C51)</f>
        <v>-0.84694310534072914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6" orientation="portrait" horizontalDpi="1200" verticalDpi="1200" r:id="rId1"/>
  <headerFooter>
    <oddHeader>&amp;LOFFICE OF HEALTH CARE ACCESS&amp;CTWELVE MONTHS ACTUAL FILING&amp;RWINDHAM COMMUNITY MEMORIAL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36" zoomScale="75" zoomScaleNormal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28122425</v>
      </c>
      <c r="D14" s="113">
        <v>20140887</v>
      </c>
      <c r="E14" s="113">
        <f t="shared" ref="E14:E25" si="0">D14-C14</f>
        <v>-7981538</v>
      </c>
      <c r="F14" s="114">
        <f t="shared" ref="F14:F25" si="1">IF(C14=0,0,E14/C14)</f>
        <v>-0.28381400252645356</v>
      </c>
    </row>
    <row r="15" spans="1:6" x14ac:dyDescent="0.2">
      <c r="A15" s="115">
        <v>2</v>
      </c>
      <c r="B15" s="116" t="s">
        <v>114</v>
      </c>
      <c r="C15" s="113">
        <v>5404935</v>
      </c>
      <c r="D15" s="113">
        <v>4725921</v>
      </c>
      <c r="E15" s="113">
        <f t="shared" si="0"/>
        <v>-679014</v>
      </c>
      <c r="F15" s="114">
        <f t="shared" si="1"/>
        <v>-0.12562852282219861</v>
      </c>
    </row>
    <row r="16" spans="1:6" x14ac:dyDescent="0.2">
      <c r="A16" s="115">
        <v>3</v>
      </c>
      <c r="B16" s="116" t="s">
        <v>115</v>
      </c>
      <c r="C16" s="113">
        <v>9198117</v>
      </c>
      <c r="D16" s="113">
        <v>5861443</v>
      </c>
      <c r="E16" s="113">
        <f t="shared" si="0"/>
        <v>-3336674</v>
      </c>
      <c r="F16" s="114">
        <f t="shared" si="1"/>
        <v>-0.36275620325333979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191428</v>
      </c>
      <c r="D18" s="113">
        <v>55839</v>
      </c>
      <c r="E18" s="113">
        <f t="shared" si="0"/>
        <v>-135589</v>
      </c>
      <c r="F18" s="114">
        <f t="shared" si="1"/>
        <v>-0.70830286060555403</v>
      </c>
    </row>
    <row r="19" spans="1:6" x14ac:dyDescent="0.2">
      <c r="A19" s="115">
        <v>6</v>
      </c>
      <c r="B19" s="116" t="s">
        <v>118</v>
      </c>
      <c r="C19" s="113">
        <v>6928555</v>
      </c>
      <c r="D19" s="113">
        <v>5564920</v>
      </c>
      <c r="E19" s="113">
        <f t="shared" si="0"/>
        <v>-1363635</v>
      </c>
      <c r="F19" s="114">
        <f t="shared" si="1"/>
        <v>-0.19681376564088759</v>
      </c>
    </row>
    <row r="20" spans="1:6" x14ac:dyDescent="0.2">
      <c r="A20" s="115">
        <v>7</v>
      </c>
      <c r="B20" s="116" t="s">
        <v>119</v>
      </c>
      <c r="C20" s="113">
        <v>0</v>
      </c>
      <c r="D20" s="113">
        <v>0</v>
      </c>
      <c r="E20" s="113">
        <f t="shared" si="0"/>
        <v>0</v>
      </c>
      <c r="F20" s="114">
        <f t="shared" si="1"/>
        <v>0</v>
      </c>
    </row>
    <row r="21" spans="1:6" x14ac:dyDescent="0.2">
      <c r="A21" s="115">
        <v>8</v>
      </c>
      <c r="B21" s="116" t="s">
        <v>120</v>
      </c>
      <c r="C21" s="113">
        <v>177960</v>
      </c>
      <c r="D21" s="113">
        <v>27888</v>
      </c>
      <c r="E21" s="113">
        <f t="shared" si="0"/>
        <v>-150072</v>
      </c>
      <c r="F21" s="114">
        <f t="shared" si="1"/>
        <v>-0.84329062710721514</v>
      </c>
    </row>
    <row r="22" spans="1:6" x14ac:dyDescent="0.2">
      <c r="A22" s="115">
        <v>9</v>
      </c>
      <c r="B22" s="116" t="s">
        <v>121</v>
      </c>
      <c r="C22" s="113">
        <v>682220</v>
      </c>
      <c r="D22" s="113">
        <v>410434</v>
      </c>
      <c r="E22" s="113">
        <f t="shared" si="0"/>
        <v>-271786</v>
      </c>
      <c r="F22" s="114">
        <f t="shared" si="1"/>
        <v>-0.3983846852921345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244844</v>
      </c>
      <c r="D24" s="113">
        <v>140087</v>
      </c>
      <c r="E24" s="113">
        <f t="shared" si="0"/>
        <v>-104757</v>
      </c>
      <c r="F24" s="114">
        <f t="shared" si="1"/>
        <v>-0.4278520200617536</v>
      </c>
    </row>
    <row r="25" spans="1:6" ht="15.75" x14ac:dyDescent="0.25">
      <c r="A25" s="117"/>
      <c r="B25" s="118" t="s">
        <v>124</v>
      </c>
      <c r="C25" s="119">
        <f>SUM(C14:C24)</f>
        <v>50950484</v>
      </c>
      <c r="D25" s="119">
        <f>SUM(D14:D24)</f>
        <v>36927419</v>
      </c>
      <c r="E25" s="119">
        <f t="shared" si="0"/>
        <v>-14023065</v>
      </c>
      <c r="F25" s="120">
        <f t="shared" si="1"/>
        <v>-0.27522927947063269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38784704</v>
      </c>
      <c r="D27" s="113">
        <v>37254935</v>
      </c>
      <c r="E27" s="113">
        <f t="shared" ref="E27:E38" si="2">D27-C27</f>
        <v>-1529769</v>
      </c>
      <c r="F27" s="114">
        <f t="shared" ref="F27:F38" si="3">IF(C27=0,0,E27/C27)</f>
        <v>-3.944258540686555E-2</v>
      </c>
    </row>
    <row r="28" spans="1:6" x14ac:dyDescent="0.2">
      <c r="A28" s="115">
        <v>2</v>
      </c>
      <c r="B28" s="116" t="s">
        <v>114</v>
      </c>
      <c r="C28" s="113">
        <v>9979803</v>
      </c>
      <c r="D28" s="113">
        <v>10373233</v>
      </c>
      <c r="E28" s="113">
        <f t="shared" si="2"/>
        <v>393430</v>
      </c>
      <c r="F28" s="114">
        <f t="shared" si="3"/>
        <v>3.9422621869389607E-2</v>
      </c>
    </row>
    <row r="29" spans="1:6" x14ac:dyDescent="0.2">
      <c r="A29" s="115">
        <v>3</v>
      </c>
      <c r="B29" s="116" t="s">
        <v>115</v>
      </c>
      <c r="C29" s="113">
        <v>41189359</v>
      </c>
      <c r="D29" s="113">
        <v>37639187</v>
      </c>
      <c r="E29" s="113">
        <f t="shared" si="2"/>
        <v>-3550172</v>
      </c>
      <c r="F29" s="114">
        <f t="shared" si="3"/>
        <v>-8.6191484553085659E-2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569658</v>
      </c>
      <c r="D31" s="113">
        <v>467898</v>
      </c>
      <c r="E31" s="113">
        <f t="shared" si="2"/>
        <v>-101760</v>
      </c>
      <c r="F31" s="114">
        <f t="shared" si="3"/>
        <v>-0.17863349588700589</v>
      </c>
    </row>
    <row r="32" spans="1:6" x14ac:dyDescent="0.2">
      <c r="A32" s="115">
        <v>6</v>
      </c>
      <c r="B32" s="116" t="s">
        <v>118</v>
      </c>
      <c r="C32" s="113">
        <v>48951093</v>
      </c>
      <c r="D32" s="113">
        <v>47113519</v>
      </c>
      <c r="E32" s="113">
        <f t="shared" si="2"/>
        <v>-1837574</v>
      </c>
      <c r="F32" s="114">
        <f t="shared" si="3"/>
        <v>-3.7538977934568285E-2</v>
      </c>
    </row>
    <row r="33" spans="1:6" x14ac:dyDescent="0.2">
      <c r="A33" s="115">
        <v>7</v>
      </c>
      <c r="B33" s="116" t="s">
        <v>119</v>
      </c>
      <c r="C33" s="113">
        <v>0</v>
      </c>
      <c r="D33" s="113">
        <v>0</v>
      </c>
      <c r="E33" s="113">
        <f t="shared" si="2"/>
        <v>0</v>
      </c>
      <c r="F33" s="114">
        <f t="shared" si="3"/>
        <v>0</v>
      </c>
    </row>
    <row r="34" spans="1:6" x14ac:dyDescent="0.2">
      <c r="A34" s="115">
        <v>8</v>
      </c>
      <c r="B34" s="116" t="s">
        <v>120</v>
      </c>
      <c r="C34" s="113">
        <v>2215149</v>
      </c>
      <c r="D34" s="113">
        <v>1654584</v>
      </c>
      <c r="E34" s="113">
        <f t="shared" si="2"/>
        <v>-560565</v>
      </c>
      <c r="F34" s="114">
        <f t="shared" si="3"/>
        <v>-0.25305972645632413</v>
      </c>
    </row>
    <row r="35" spans="1:6" x14ac:dyDescent="0.2">
      <c r="A35" s="115">
        <v>9</v>
      </c>
      <c r="B35" s="116" t="s">
        <v>121</v>
      </c>
      <c r="C35" s="113">
        <v>3214853</v>
      </c>
      <c r="D35" s="113">
        <v>3234578</v>
      </c>
      <c r="E35" s="113">
        <f t="shared" si="2"/>
        <v>19725</v>
      </c>
      <c r="F35" s="114">
        <f t="shared" si="3"/>
        <v>6.1355838042983614E-3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431494</v>
      </c>
      <c r="D37" s="113">
        <v>451819</v>
      </c>
      <c r="E37" s="113">
        <f t="shared" si="2"/>
        <v>20325</v>
      </c>
      <c r="F37" s="114">
        <f t="shared" si="3"/>
        <v>4.7103783598381438E-2</v>
      </c>
    </row>
    <row r="38" spans="1:6" ht="15.75" x14ac:dyDescent="0.25">
      <c r="A38" s="117"/>
      <c r="B38" s="118" t="s">
        <v>126</v>
      </c>
      <c r="C38" s="119">
        <f>SUM(C27:C37)</f>
        <v>145336113</v>
      </c>
      <c r="D38" s="119">
        <f>SUM(D27:D37)</f>
        <v>138189753</v>
      </c>
      <c r="E38" s="119">
        <f t="shared" si="2"/>
        <v>-7146360</v>
      </c>
      <c r="F38" s="120">
        <f t="shared" si="3"/>
        <v>-4.9171261378099469E-2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66907129</v>
      </c>
      <c r="D41" s="119">
        <f t="shared" si="4"/>
        <v>57395822</v>
      </c>
      <c r="E41" s="123">
        <f t="shared" ref="E41:E52" si="5">D41-C41</f>
        <v>-9511307</v>
      </c>
      <c r="F41" s="124">
        <f t="shared" ref="F41:F52" si="6">IF(C41=0,0,E41/C41)</f>
        <v>-0.14215685446613618</v>
      </c>
    </row>
    <row r="42" spans="1:6" ht="15.75" x14ac:dyDescent="0.25">
      <c r="A42" s="121">
        <v>2</v>
      </c>
      <c r="B42" s="122" t="s">
        <v>114</v>
      </c>
      <c r="C42" s="119">
        <f t="shared" si="4"/>
        <v>15384738</v>
      </c>
      <c r="D42" s="119">
        <f t="shared" si="4"/>
        <v>15099154</v>
      </c>
      <c r="E42" s="123">
        <f t="shared" si="5"/>
        <v>-285584</v>
      </c>
      <c r="F42" s="124">
        <f t="shared" si="6"/>
        <v>-1.8562812054387926E-2</v>
      </c>
    </row>
    <row r="43" spans="1:6" ht="15.75" x14ac:dyDescent="0.25">
      <c r="A43" s="121">
        <v>3</v>
      </c>
      <c r="B43" s="122" t="s">
        <v>115</v>
      </c>
      <c r="C43" s="119">
        <f t="shared" si="4"/>
        <v>50387476</v>
      </c>
      <c r="D43" s="119">
        <f t="shared" si="4"/>
        <v>43500630</v>
      </c>
      <c r="E43" s="123">
        <f t="shared" si="5"/>
        <v>-6886846</v>
      </c>
      <c r="F43" s="124">
        <f t="shared" si="6"/>
        <v>-0.13667773317321946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761086</v>
      </c>
      <c r="D45" s="119">
        <f t="shared" si="4"/>
        <v>523737</v>
      </c>
      <c r="E45" s="123">
        <f t="shared" si="5"/>
        <v>-237349</v>
      </c>
      <c r="F45" s="124">
        <f t="shared" si="6"/>
        <v>-0.311855690421319</v>
      </c>
    </row>
    <row r="46" spans="1:6" ht="15.75" x14ac:dyDescent="0.25">
      <c r="A46" s="121">
        <v>6</v>
      </c>
      <c r="B46" s="122" t="s">
        <v>118</v>
      </c>
      <c r="C46" s="119">
        <f t="shared" si="4"/>
        <v>55879648</v>
      </c>
      <c r="D46" s="119">
        <f t="shared" si="4"/>
        <v>52678439</v>
      </c>
      <c r="E46" s="123">
        <f t="shared" si="5"/>
        <v>-3201209</v>
      </c>
      <c r="F46" s="124">
        <f t="shared" si="6"/>
        <v>-5.7287565590964352E-2</v>
      </c>
    </row>
    <row r="47" spans="1:6" ht="15.75" x14ac:dyDescent="0.25">
      <c r="A47" s="121">
        <v>7</v>
      </c>
      <c r="B47" s="122" t="s">
        <v>119</v>
      </c>
      <c r="C47" s="119">
        <f t="shared" si="4"/>
        <v>0</v>
      </c>
      <c r="D47" s="119">
        <f t="shared" si="4"/>
        <v>0</v>
      </c>
      <c r="E47" s="123">
        <f t="shared" si="5"/>
        <v>0</v>
      </c>
      <c r="F47" s="124">
        <f t="shared" si="6"/>
        <v>0</v>
      </c>
    </row>
    <row r="48" spans="1:6" ht="15.75" x14ac:dyDescent="0.25">
      <c r="A48" s="121">
        <v>8</v>
      </c>
      <c r="B48" s="122" t="s">
        <v>120</v>
      </c>
      <c r="C48" s="119">
        <f t="shared" si="4"/>
        <v>2393109</v>
      </c>
      <c r="D48" s="119">
        <f t="shared" si="4"/>
        <v>1682472</v>
      </c>
      <c r="E48" s="123">
        <f t="shared" si="5"/>
        <v>-710637</v>
      </c>
      <c r="F48" s="124">
        <f t="shared" si="6"/>
        <v>-0.2969513716257805</v>
      </c>
    </row>
    <row r="49" spans="1:6" ht="15.75" x14ac:dyDescent="0.25">
      <c r="A49" s="121">
        <v>9</v>
      </c>
      <c r="B49" s="122" t="s">
        <v>121</v>
      </c>
      <c r="C49" s="119">
        <f t="shared" si="4"/>
        <v>3897073</v>
      </c>
      <c r="D49" s="119">
        <f t="shared" si="4"/>
        <v>3645012</v>
      </c>
      <c r="E49" s="123">
        <f t="shared" si="5"/>
        <v>-252061</v>
      </c>
      <c r="F49" s="124">
        <f t="shared" si="6"/>
        <v>-6.4679568486399927E-2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676338</v>
      </c>
      <c r="D51" s="119">
        <f t="shared" si="4"/>
        <v>591906</v>
      </c>
      <c r="E51" s="123">
        <f t="shared" si="5"/>
        <v>-84432</v>
      </c>
      <c r="F51" s="124">
        <f t="shared" si="6"/>
        <v>-0.1248369897891291</v>
      </c>
    </row>
    <row r="52" spans="1:6" ht="18.75" customHeight="1" thickBot="1" x14ac:dyDescent="0.3">
      <c r="A52" s="125"/>
      <c r="B52" s="126" t="s">
        <v>128</v>
      </c>
      <c r="C52" s="127">
        <f>SUM(C41:C51)</f>
        <v>196286597</v>
      </c>
      <c r="D52" s="128">
        <f>SUM(D41:D51)</f>
        <v>175117172</v>
      </c>
      <c r="E52" s="127">
        <f t="shared" si="5"/>
        <v>-21169425</v>
      </c>
      <c r="F52" s="129">
        <f t="shared" si="6"/>
        <v>-0.10784956957606229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18465829</v>
      </c>
      <c r="D57" s="113">
        <v>12992934</v>
      </c>
      <c r="E57" s="113">
        <f t="shared" ref="E57:E68" si="7">D57-C57</f>
        <v>-5472895</v>
      </c>
      <c r="F57" s="114">
        <f t="shared" ref="F57:F68" si="8">IF(C57=0,0,E57/C57)</f>
        <v>-0.29637959931287133</v>
      </c>
    </row>
    <row r="58" spans="1:6" x14ac:dyDescent="0.2">
      <c r="A58" s="115">
        <v>2</v>
      </c>
      <c r="B58" s="116" t="s">
        <v>114</v>
      </c>
      <c r="C58" s="113">
        <v>3250512</v>
      </c>
      <c r="D58" s="113">
        <v>2540116</v>
      </c>
      <c r="E58" s="113">
        <f t="shared" si="7"/>
        <v>-710396</v>
      </c>
      <c r="F58" s="114">
        <f t="shared" si="8"/>
        <v>-0.21854895474928257</v>
      </c>
    </row>
    <row r="59" spans="1:6" x14ac:dyDescent="0.2">
      <c r="A59" s="115">
        <v>3</v>
      </c>
      <c r="B59" s="116" t="s">
        <v>115</v>
      </c>
      <c r="C59" s="113">
        <v>3515603</v>
      </c>
      <c r="D59" s="113">
        <v>2212190</v>
      </c>
      <c r="E59" s="113">
        <f t="shared" si="7"/>
        <v>-1303413</v>
      </c>
      <c r="F59" s="114">
        <f t="shared" si="8"/>
        <v>-0.37075090674345196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61777</v>
      </c>
      <c r="D61" s="113">
        <v>21462</v>
      </c>
      <c r="E61" s="113">
        <f t="shared" si="7"/>
        <v>-40315</v>
      </c>
      <c r="F61" s="114">
        <f t="shared" si="8"/>
        <v>-0.65258915130226458</v>
      </c>
    </row>
    <row r="62" spans="1:6" x14ac:dyDescent="0.2">
      <c r="A62" s="115">
        <v>6</v>
      </c>
      <c r="B62" s="116" t="s">
        <v>118</v>
      </c>
      <c r="C62" s="113">
        <v>5292927</v>
      </c>
      <c r="D62" s="113">
        <v>4318048</v>
      </c>
      <c r="E62" s="113">
        <f t="shared" si="7"/>
        <v>-974879</v>
      </c>
      <c r="F62" s="114">
        <f t="shared" si="8"/>
        <v>-0.184185234370321</v>
      </c>
    </row>
    <row r="63" spans="1:6" x14ac:dyDescent="0.2">
      <c r="A63" s="115">
        <v>7</v>
      </c>
      <c r="B63" s="116" t="s">
        <v>119</v>
      </c>
      <c r="C63" s="113">
        <v>0</v>
      </c>
      <c r="D63" s="113">
        <v>0</v>
      </c>
      <c r="E63" s="113">
        <f t="shared" si="7"/>
        <v>0</v>
      </c>
      <c r="F63" s="114">
        <f t="shared" si="8"/>
        <v>0</v>
      </c>
    </row>
    <row r="64" spans="1:6" x14ac:dyDescent="0.2">
      <c r="A64" s="115">
        <v>8</v>
      </c>
      <c r="B64" s="116" t="s">
        <v>120</v>
      </c>
      <c r="C64" s="113">
        <v>126363</v>
      </c>
      <c r="D64" s="113">
        <v>26595</v>
      </c>
      <c r="E64" s="113">
        <f t="shared" si="7"/>
        <v>-99768</v>
      </c>
      <c r="F64" s="114">
        <f t="shared" si="8"/>
        <v>-0.78953491132689158</v>
      </c>
    </row>
    <row r="65" spans="1:6" x14ac:dyDescent="0.2">
      <c r="A65" s="115">
        <v>9</v>
      </c>
      <c r="B65" s="116" t="s">
        <v>121</v>
      </c>
      <c r="C65" s="113">
        <v>17775</v>
      </c>
      <c r="D65" s="113">
        <v>22621</v>
      </c>
      <c r="E65" s="113">
        <f t="shared" si="7"/>
        <v>4846</v>
      </c>
      <c r="F65" s="114">
        <f t="shared" si="8"/>
        <v>0.27263009845288327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159612</v>
      </c>
      <c r="D67" s="113">
        <v>48480</v>
      </c>
      <c r="E67" s="113">
        <f t="shared" si="7"/>
        <v>-111132</v>
      </c>
      <c r="F67" s="114">
        <f t="shared" si="8"/>
        <v>-0.69626343883918507</v>
      </c>
    </row>
    <row r="68" spans="1:6" ht="15.75" x14ac:dyDescent="0.25">
      <c r="A68" s="117"/>
      <c r="B68" s="118" t="s">
        <v>131</v>
      </c>
      <c r="C68" s="119">
        <f>SUM(C57:C67)</f>
        <v>30890398</v>
      </c>
      <c r="D68" s="119">
        <f>SUM(D57:D67)</f>
        <v>22182446</v>
      </c>
      <c r="E68" s="119">
        <f t="shared" si="7"/>
        <v>-8707952</v>
      </c>
      <c r="F68" s="120">
        <f t="shared" si="8"/>
        <v>-0.28189834265003644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9586142</v>
      </c>
      <c r="D70" s="113">
        <v>8450599</v>
      </c>
      <c r="E70" s="113">
        <f t="shared" ref="E70:E81" si="9">D70-C70</f>
        <v>-1135543</v>
      </c>
      <c r="F70" s="114">
        <f t="shared" ref="F70:F81" si="10">IF(C70=0,0,E70/C70)</f>
        <v>-0.11845672638690309</v>
      </c>
    </row>
    <row r="71" spans="1:6" x14ac:dyDescent="0.2">
      <c r="A71" s="115">
        <v>2</v>
      </c>
      <c r="B71" s="116" t="s">
        <v>114</v>
      </c>
      <c r="C71" s="113">
        <v>2262444</v>
      </c>
      <c r="D71" s="113">
        <v>2160053</v>
      </c>
      <c r="E71" s="113">
        <f t="shared" si="9"/>
        <v>-102391</v>
      </c>
      <c r="F71" s="114">
        <f t="shared" si="10"/>
        <v>-4.5256810776310927E-2</v>
      </c>
    </row>
    <row r="72" spans="1:6" x14ac:dyDescent="0.2">
      <c r="A72" s="115">
        <v>3</v>
      </c>
      <c r="B72" s="116" t="s">
        <v>115</v>
      </c>
      <c r="C72" s="113">
        <v>8669686</v>
      </c>
      <c r="D72" s="113">
        <v>8025624</v>
      </c>
      <c r="E72" s="113">
        <f t="shared" si="9"/>
        <v>-644062</v>
      </c>
      <c r="F72" s="114">
        <f t="shared" si="10"/>
        <v>-7.4288965021339873E-2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141321</v>
      </c>
      <c r="D74" s="113">
        <v>121385</v>
      </c>
      <c r="E74" s="113">
        <f t="shared" si="9"/>
        <v>-19936</v>
      </c>
      <c r="F74" s="114">
        <f t="shared" si="10"/>
        <v>-0.14106891403259247</v>
      </c>
    </row>
    <row r="75" spans="1:6" x14ac:dyDescent="0.2">
      <c r="A75" s="115">
        <v>6</v>
      </c>
      <c r="B75" s="116" t="s">
        <v>118</v>
      </c>
      <c r="C75" s="113">
        <v>26637111</v>
      </c>
      <c r="D75" s="113">
        <v>25803570</v>
      </c>
      <c r="E75" s="113">
        <f t="shared" si="9"/>
        <v>-833541</v>
      </c>
      <c r="F75" s="114">
        <f t="shared" si="10"/>
        <v>-3.1292470118099519E-2</v>
      </c>
    </row>
    <row r="76" spans="1:6" x14ac:dyDescent="0.2">
      <c r="A76" s="115">
        <v>7</v>
      </c>
      <c r="B76" s="116" t="s">
        <v>119</v>
      </c>
      <c r="C76" s="113">
        <v>0</v>
      </c>
      <c r="D76" s="113">
        <v>0</v>
      </c>
      <c r="E76" s="113">
        <f t="shared" si="9"/>
        <v>0</v>
      </c>
      <c r="F76" s="114">
        <f t="shared" si="10"/>
        <v>0</v>
      </c>
    </row>
    <row r="77" spans="1:6" x14ac:dyDescent="0.2">
      <c r="A77" s="115">
        <v>8</v>
      </c>
      <c r="B77" s="116" t="s">
        <v>120</v>
      </c>
      <c r="C77" s="113">
        <v>1261172</v>
      </c>
      <c r="D77" s="113">
        <v>834876</v>
      </c>
      <c r="E77" s="113">
        <f t="shared" si="9"/>
        <v>-426296</v>
      </c>
      <c r="F77" s="114">
        <f t="shared" si="10"/>
        <v>-0.33801575042896609</v>
      </c>
    </row>
    <row r="78" spans="1:6" x14ac:dyDescent="0.2">
      <c r="A78" s="115">
        <v>9</v>
      </c>
      <c r="B78" s="116" t="s">
        <v>121</v>
      </c>
      <c r="C78" s="113">
        <v>85585</v>
      </c>
      <c r="D78" s="113">
        <v>86800</v>
      </c>
      <c r="E78" s="113">
        <f t="shared" si="9"/>
        <v>1215</v>
      </c>
      <c r="F78" s="114">
        <f t="shared" si="10"/>
        <v>1.4196412922825261E-2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54988</v>
      </c>
      <c r="D80" s="113">
        <v>41281</v>
      </c>
      <c r="E80" s="113">
        <f t="shared" si="9"/>
        <v>-13707</v>
      </c>
      <c r="F80" s="114">
        <f t="shared" si="10"/>
        <v>-0.24927256856041319</v>
      </c>
    </row>
    <row r="81" spans="1:6" ht="15.75" x14ac:dyDescent="0.25">
      <c r="A81" s="117"/>
      <c r="B81" s="118" t="s">
        <v>133</v>
      </c>
      <c r="C81" s="119">
        <f>SUM(C70:C80)</f>
        <v>48698449</v>
      </c>
      <c r="D81" s="119">
        <f>SUM(D70:D80)</f>
        <v>45524188</v>
      </c>
      <c r="E81" s="119">
        <f t="shared" si="9"/>
        <v>-3174261</v>
      </c>
      <c r="F81" s="120">
        <f t="shared" si="10"/>
        <v>-6.5181973249291786E-2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28051971</v>
      </c>
      <c r="D84" s="119">
        <f t="shared" si="11"/>
        <v>21443533</v>
      </c>
      <c r="E84" s="119">
        <f t="shared" ref="E84:E95" si="12">D84-C84</f>
        <v>-6608438</v>
      </c>
      <c r="F84" s="120">
        <f t="shared" ref="F84:F95" si="13">IF(C84=0,0,E84/C84)</f>
        <v>-0.23557838413564594</v>
      </c>
    </row>
    <row r="85" spans="1:6" ht="15.75" x14ac:dyDescent="0.25">
      <c r="A85" s="130">
        <v>2</v>
      </c>
      <c r="B85" s="122" t="s">
        <v>114</v>
      </c>
      <c r="C85" s="119">
        <f t="shared" si="11"/>
        <v>5512956</v>
      </c>
      <c r="D85" s="119">
        <f t="shared" si="11"/>
        <v>4700169</v>
      </c>
      <c r="E85" s="119">
        <f t="shared" si="12"/>
        <v>-812787</v>
      </c>
      <c r="F85" s="120">
        <f t="shared" si="13"/>
        <v>-0.14743215799291706</v>
      </c>
    </row>
    <row r="86" spans="1:6" ht="15.75" x14ac:dyDescent="0.25">
      <c r="A86" s="130">
        <v>3</v>
      </c>
      <c r="B86" s="122" t="s">
        <v>115</v>
      </c>
      <c r="C86" s="119">
        <f t="shared" si="11"/>
        <v>12185289</v>
      </c>
      <c r="D86" s="119">
        <f t="shared" si="11"/>
        <v>10237814</v>
      </c>
      <c r="E86" s="119">
        <f t="shared" si="12"/>
        <v>-1947475</v>
      </c>
      <c r="F86" s="120">
        <f t="shared" si="13"/>
        <v>-0.15982181464879494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203098</v>
      </c>
      <c r="D88" s="119">
        <f t="shared" si="11"/>
        <v>142847</v>
      </c>
      <c r="E88" s="119">
        <f t="shared" si="12"/>
        <v>-60251</v>
      </c>
      <c r="F88" s="120">
        <f t="shared" si="13"/>
        <v>-0.29665974061782979</v>
      </c>
    </row>
    <row r="89" spans="1:6" ht="15.75" x14ac:dyDescent="0.25">
      <c r="A89" s="130">
        <v>6</v>
      </c>
      <c r="B89" s="122" t="s">
        <v>118</v>
      </c>
      <c r="C89" s="119">
        <f t="shared" si="11"/>
        <v>31930038</v>
      </c>
      <c r="D89" s="119">
        <f t="shared" si="11"/>
        <v>30121618</v>
      </c>
      <c r="E89" s="119">
        <f t="shared" si="12"/>
        <v>-1808420</v>
      </c>
      <c r="F89" s="120">
        <f t="shared" si="13"/>
        <v>-5.6636951074095179E-2</v>
      </c>
    </row>
    <row r="90" spans="1:6" ht="15.75" x14ac:dyDescent="0.25">
      <c r="A90" s="130">
        <v>7</v>
      </c>
      <c r="B90" s="122" t="s">
        <v>119</v>
      </c>
      <c r="C90" s="119">
        <f t="shared" si="11"/>
        <v>0</v>
      </c>
      <c r="D90" s="119">
        <f t="shared" si="11"/>
        <v>0</v>
      </c>
      <c r="E90" s="119">
        <f t="shared" si="12"/>
        <v>0</v>
      </c>
      <c r="F90" s="120">
        <f t="shared" si="13"/>
        <v>0</v>
      </c>
    </row>
    <row r="91" spans="1:6" ht="15.75" x14ac:dyDescent="0.25">
      <c r="A91" s="130">
        <v>8</v>
      </c>
      <c r="B91" s="122" t="s">
        <v>120</v>
      </c>
      <c r="C91" s="119">
        <f t="shared" si="11"/>
        <v>1387535</v>
      </c>
      <c r="D91" s="119">
        <f t="shared" si="11"/>
        <v>861471</v>
      </c>
      <c r="E91" s="119">
        <f t="shared" si="12"/>
        <v>-526064</v>
      </c>
      <c r="F91" s="120">
        <f t="shared" si="13"/>
        <v>-0.37913566144277444</v>
      </c>
    </row>
    <row r="92" spans="1:6" ht="15.75" x14ac:dyDescent="0.25">
      <c r="A92" s="130">
        <v>9</v>
      </c>
      <c r="B92" s="122" t="s">
        <v>121</v>
      </c>
      <c r="C92" s="119">
        <f t="shared" si="11"/>
        <v>103360</v>
      </c>
      <c r="D92" s="119">
        <f t="shared" si="11"/>
        <v>109421</v>
      </c>
      <c r="E92" s="119">
        <f t="shared" si="12"/>
        <v>6061</v>
      </c>
      <c r="F92" s="120">
        <f t="shared" si="13"/>
        <v>5.8639705882352941E-2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214600</v>
      </c>
      <c r="D94" s="119">
        <f t="shared" si="11"/>
        <v>89761</v>
      </c>
      <c r="E94" s="119">
        <f t="shared" si="12"/>
        <v>-124839</v>
      </c>
      <c r="F94" s="120">
        <f t="shared" si="13"/>
        <v>-0.58172879776328057</v>
      </c>
    </row>
    <row r="95" spans="1:6" ht="18.75" customHeight="1" thickBot="1" x14ac:dyDescent="0.3">
      <c r="A95" s="131"/>
      <c r="B95" s="132" t="s">
        <v>134</v>
      </c>
      <c r="C95" s="128">
        <f>SUM(C84:C94)</f>
        <v>79588847</v>
      </c>
      <c r="D95" s="128">
        <f>SUM(D84:D94)</f>
        <v>67706634</v>
      </c>
      <c r="E95" s="128">
        <f t="shared" si="12"/>
        <v>-11882213</v>
      </c>
      <c r="F95" s="129">
        <f t="shared" si="13"/>
        <v>-0.14929495083651609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1384</v>
      </c>
      <c r="D100" s="133">
        <v>1069</v>
      </c>
      <c r="E100" s="133">
        <f t="shared" ref="E100:E111" si="14">D100-C100</f>
        <v>-315</v>
      </c>
      <c r="F100" s="114">
        <f t="shared" ref="F100:F111" si="15">IF(C100=0,0,E100/C100)</f>
        <v>-0.22760115606936415</v>
      </c>
    </row>
    <row r="101" spans="1:6" x14ac:dyDescent="0.2">
      <c r="A101" s="115">
        <v>2</v>
      </c>
      <c r="B101" s="116" t="s">
        <v>114</v>
      </c>
      <c r="C101" s="133">
        <v>288</v>
      </c>
      <c r="D101" s="133">
        <v>223</v>
      </c>
      <c r="E101" s="133">
        <f t="shared" si="14"/>
        <v>-65</v>
      </c>
      <c r="F101" s="114">
        <f t="shared" si="15"/>
        <v>-0.22569444444444445</v>
      </c>
    </row>
    <row r="102" spans="1:6" x14ac:dyDescent="0.2">
      <c r="A102" s="115">
        <v>3</v>
      </c>
      <c r="B102" s="116" t="s">
        <v>115</v>
      </c>
      <c r="C102" s="133">
        <v>637</v>
      </c>
      <c r="D102" s="133">
        <v>512</v>
      </c>
      <c r="E102" s="133">
        <f t="shared" si="14"/>
        <v>-125</v>
      </c>
      <c r="F102" s="114">
        <f t="shared" si="15"/>
        <v>-0.19623233908948196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16</v>
      </c>
      <c r="D104" s="133">
        <v>4</v>
      </c>
      <c r="E104" s="133">
        <f t="shared" si="14"/>
        <v>-12</v>
      </c>
      <c r="F104" s="114">
        <f t="shared" si="15"/>
        <v>-0.75</v>
      </c>
    </row>
    <row r="105" spans="1:6" x14ac:dyDescent="0.2">
      <c r="A105" s="115">
        <v>6</v>
      </c>
      <c r="B105" s="116" t="s">
        <v>118</v>
      </c>
      <c r="C105" s="133">
        <v>524</v>
      </c>
      <c r="D105" s="133">
        <v>371</v>
      </c>
      <c r="E105" s="133">
        <f t="shared" si="14"/>
        <v>-153</v>
      </c>
      <c r="F105" s="114">
        <f t="shared" si="15"/>
        <v>-0.2919847328244275</v>
      </c>
    </row>
    <row r="106" spans="1:6" x14ac:dyDescent="0.2">
      <c r="A106" s="115">
        <v>7</v>
      </c>
      <c r="B106" s="116" t="s">
        <v>119</v>
      </c>
      <c r="C106" s="133">
        <v>0</v>
      </c>
      <c r="D106" s="133">
        <v>0</v>
      </c>
      <c r="E106" s="133">
        <f t="shared" si="14"/>
        <v>0</v>
      </c>
      <c r="F106" s="114">
        <f t="shared" si="15"/>
        <v>0</v>
      </c>
    </row>
    <row r="107" spans="1:6" x14ac:dyDescent="0.2">
      <c r="A107" s="115">
        <v>8</v>
      </c>
      <c r="B107" s="116" t="s">
        <v>120</v>
      </c>
      <c r="C107" s="133">
        <v>9</v>
      </c>
      <c r="D107" s="133">
        <v>3</v>
      </c>
      <c r="E107" s="133">
        <f t="shared" si="14"/>
        <v>-6</v>
      </c>
      <c r="F107" s="114">
        <f t="shared" si="15"/>
        <v>-0.66666666666666663</v>
      </c>
    </row>
    <row r="108" spans="1:6" x14ac:dyDescent="0.2">
      <c r="A108" s="115">
        <v>9</v>
      </c>
      <c r="B108" s="116" t="s">
        <v>121</v>
      </c>
      <c r="C108" s="133">
        <v>26</v>
      </c>
      <c r="D108" s="133">
        <v>34</v>
      </c>
      <c r="E108" s="133">
        <f t="shared" si="14"/>
        <v>8</v>
      </c>
      <c r="F108" s="114">
        <f t="shared" si="15"/>
        <v>0.30769230769230771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17</v>
      </c>
      <c r="D110" s="133">
        <v>9</v>
      </c>
      <c r="E110" s="133">
        <f t="shared" si="14"/>
        <v>-8</v>
      </c>
      <c r="F110" s="114">
        <f t="shared" si="15"/>
        <v>-0.47058823529411764</v>
      </c>
    </row>
    <row r="111" spans="1:6" ht="15.75" x14ac:dyDescent="0.25">
      <c r="A111" s="117"/>
      <c r="B111" s="118" t="s">
        <v>138</v>
      </c>
      <c r="C111" s="134">
        <f>SUM(C100:C110)</f>
        <v>2901</v>
      </c>
      <c r="D111" s="134">
        <f>SUM(D100:D110)</f>
        <v>2225</v>
      </c>
      <c r="E111" s="134">
        <f t="shared" si="14"/>
        <v>-676</v>
      </c>
      <c r="F111" s="120">
        <f t="shared" si="15"/>
        <v>-0.23302309548431574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6562</v>
      </c>
      <c r="D113" s="133">
        <v>4633</v>
      </c>
      <c r="E113" s="133">
        <f t="shared" ref="E113:E124" si="16">D113-C113</f>
        <v>-1929</v>
      </c>
      <c r="F113" s="114">
        <f t="shared" ref="F113:F124" si="17">IF(C113=0,0,E113/C113)</f>
        <v>-0.29396525449558064</v>
      </c>
    </row>
    <row r="114" spans="1:6" x14ac:dyDescent="0.2">
      <c r="A114" s="115">
        <v>2</v>
      </c>
      <c r="B114" s="116" t="s">
        <v>114</v>
      </c>
      <c r="C114" s="133">
        <v>1247</v>
      </c>
      <c r="D114" s="133">
        <v>1112</v>
      </c>
      <c r="E114" s="133">
        <f t="shared" si="16"/>
        <v>-135</v>
      </c>
      <c r="F114" s="114">
        <f t="shared" si="17"/>
        <v>-0.1082598235765838</v>
      </c>
    </row>
    <row r="115" spans="1:6" x14ac:dyDescent="0.2">
      <c r="A115" s="115">
        <v>3</v>
      </c>
      <c r="B115" s="116" t="s">
        <v>115</v>
      </c>
      <c r="C115" s="133">
        <v>2324</v>
      </c>
      <c r="D115" s="133">
        <v>1476</v>
      </c>
      <c r="E115" s="133">
        <f t="shared" si="16"/>
        <v>-848</v>
      </c>
      <c r="F115" s="114">
        <f t="shared" si="17"/>
        <v>-0.3648881239242685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45</v>
      </c>
      <c r="D117" s="133">
        <v>8</v>
      </c>
      <c r="E117" s="133">
        <f t="shared" si="16"/>
        <v>-37</v>
      </c>
      <c r="F117" s="114">
        <f t="shared" si="17"/>
        <v>-0.82222222222222219</v>
      </c>
    </row>
    <row r="118" spans="1:6" x14ac:dyDescent="0.2">
      <c r="A118" s="115">
        <v>6</v>
      </c>
      <c r="B118" s="116" t="s">
        <v>118</v>
      </c>
      <c r="C118" s="133">
        <v>1625</v>
      </c>
      <c r="D118" s="133">
        <v>1242</v>
      </c>
      <c r="E118" s="133">
        <f t="shared" si="16"/>
        <v>-383</v>
      </c>
      <c r="F118" s="114">
        <f t="shared" si="17"/>
        <v>-0.2356923076923077</v>
      </c>
    </row>
    <row r="119" spans="1:6" x14ac:dyDescent="0.2">
      <c r="A119" s="115">
        <v>7</v>
      </c>
      <c r="B119" s="116" t="s">
        <v>119</v>
      </c>
      <c r="C119" s="133">
        <v>0</v>
      </c>
      <c r="D119" s="133">
        <v>0</v>
      </c>
      <c r="E119" s="133">
        <f t="shared" si="16"/>
        <v>0</v>
      </c>
      <c r="F119" s="114">
        <f t="shared" si="17"/>
        <v>0</v>
      </c>
    </row>
    <row r="120" spans="1:6" x14ac:dyDescent="0.2">
      <c r="A120" s="115">
        <v>8</v>
      </c>
      <c r="B120" s="116" t="s">
        <v>120</v>
      </c>
      <c r="C120" s="133">
        <v>27</v>
      </c>
      <c r="D120" s="133">
        <v>8</v>
      </c>
      <c r="E120" s="133">
        <f t="shared" si="16"/>
        <v>-19</v>
      </c>
      <c r="F120" s="114">
        <f t="shared" si="17"/>
        <v>-0.70370370370370372</v>
      </c>
    </row>
    <row r="121" spans="1:6" x14ac:dyDescent="0.2">
      <c r="A121" s="115">
        <v>9</v>
      </c>
      <c r="B121" s="116" t="s">
        <v>121</v>
      </c>
      <c r="C121" s="133">
        <v>328</v>
      </c>
      <c r="D121" s="133">
        <v>84</v>
      </c>
      <c r="E121" s="133">
        <f t="shared" si="16"/>
        <v>-244</v>
      </c>
      <c r="F121" s="114">
        <f t="shared" si="17"/>
        <v>-0.74390243902439024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56</v>
      </c>
      <c r="D123" s="133">
        <v>31</v>
      </c>
      <c r="E123" s="133">
        <f t="shared" si="16"/>
        <v>-25</v>
      </c>
      <c r="F123" s="114">
        <f t="shared" si="17"/>
        <v>-0.44642857142857145</v>
      </c>
    </row>
    <row r="124" spans="1:6" ht="15.75" x14ac:dyDescent="0.25">
      <c r="A124" s="117"/>
      <c r="B124" s="118" t="s">
        <v>140</v>
      </c>
      <c r="C124" s="134">
        <f>SUM(C113:C123)</f>
        <v>12214</v>
      </c>
      <c r="D124" s="134">
        <f>SUM(D113:D123)</f>
        <v>8594</v>
      </c>
      <c r="E124" s="134">
        <f t="shared" si="16"/>
        <v>-3620</v>
      </c>
      <c r="F124" s="120">
        <f t="shared" si="17"/>
        <v>-0.29638120189945966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23577</v>
      </c>
      <c r="D126" s="133">
        <v>20253</v>
      </c>
      <c r="E126" s="133">
        <f t="shared" ref="E126:E137" si="18">D126-C126</f>
        <v>-3324</v>
      </c>
      <c r="F126" s="114">
        <f t="shared" ref="F126:F137" si="19">IF(C126=0,0,E126/C126)</f>
        <v>-0.14098485812444331</v>
      </c>
    </row>
    <row r="127" spans="1:6" x14ac:dyDescent="0.2">
      <c r="A127" s="115">
        <v>2</v>
      </c>
      <c r="B127" s="116" t="s">
        <v>114</v>
      </c>
      <c r="C127" s="133">
        <v>6825</v>
      </c>
      <c r="D127" s="133">
        <v>5425</v>
      </c>
      <c r="E127" s="133">
        <f t="shared" si="18"/>
        <v>-1400</v>
      </c>
      <c r="F127" s="114">
        <f t="shared" si="19"/>
        <v>-0.20512820512820512</v>
      </c>
    </row>
    <row r="128" spans="1:6" x14ac:dyDescent="0.2">
      <c r="A128" s="115">
        <v>3</v>
      </c>
      <c r="B128" s="116" t="s">
        <v>115</v>
      </c>
      <c r="C128" s="133">
        <v>25392</v>
      </c>
      <c r="D128" s="133">
        <v>23636</v>
      </c>
      <c r="E128" s="133">
        <f t="shared" si="18"/>
        <v>-1756</v>
      </c>
      <c r="F128" s="114">
        <f t="shared" si="19"/>
        <v>-6.9155639571518587E-2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372</v>
      </c>
      <c r="D130" s="133">
        <v>284</v>
      </c>
      <c r="E130" s="133">
        <f t="shared" si="18"/>
        <v>-88</v>
      </c>
      <c r="F130" s="114">
        <f t="shared" si="19"/>
        <v>-0.23655913978494625</v>
      </c>
    </row>
    <row r="131" spans="1:6" x14ac:dyDescent="0.2">
      <c r="A131" s="115">
        <v>6</v>
      </c>
      <c r="B131" s="116" t="s">
        <v>118</v>
      </c>
      <c r="C131" s="133">
        <v>33296</v>
      </c>
      <c r="D131" s="133">
        <v>29150</v>
      </c>
      <c r="E131" s="133">
        <f t="shared" si="18"/>
        <v>-4146</v>
      </c>
      <c r="F131" s="114">
        <f t="shared" si="19"/>
        <v>-0.12451946179721288</v>
      </c>
    </row>
    <row r="132" spans="1:6" x14ac:dyDescent="0.2">
      <c r="A132" s="115">
        <v>7</v>
      </c>
      <c r="B132" s="116" t="s">
        <v>119</v>
      </c>
      <c r="C132" s="133">
        <v>0</v>
      </c>
      <c r="D132" s="133">
        <v>0</v>
      </c>
      <c r="E132" s="133">
        <f t="shared" si="18"/>
        <v>0</v>
      </c>
      <c r="F132" s="114">
        <f t="shared" si="19"/>
        <v>0</v>
      </c>
    </row>
    <row r="133" spans="1:6" x14ac:dyDescent="0.2">
      <c r="A133" s="115">
        <v>8</v>
      </c>
      <c r="B133" s="116" t="s">
        <v>120</v>
      </c>
      <c r="C133" s="133">
        <v>1816</v>
      </c>
      <c r="D133" s="133">
        <v>1202</v>
      </c>
      <c r="E133" s="133">
        <f t="shared" si="18"/>
        <v>-614</v>
      </c>
      <c r="F133" s="114">
        <f t="shared" si="19"/>
        <v>-0.33810572687224671</v>
      </c>
    </row>
    <row r="134" spans="1:6" x14ac:dyDescent="0.2">
      <c r="A134" s="115">
        <v>9</v>
      </c>
      <c r="B134" s="116" t="s">
        <v>121</v>
      </c>
      <c r="C134" s="133">
        <v>2498</v>
      </c>
      <c r="D134" s="133">
        <v>2416</v>
      </c>
      <c r="E134" s="133">
        <f t="shared" si="18"/>
        <v>-82</v>
      </c>
      <c r="F134" s="114">
        <f t="shared" si="19"/>
        <v>-3.2826261008807048E-2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234</v>
      </c>
      <c r="D136" s="133">
        <v>219</v>
      </c>
      <c r="E136" s="133">
        <f t="shared" si="18"/>
        <v>-15</v>
      </c>
      <c r="F136" s="114">
        <f t="shared" si="19"/>
        <v>-6.4102564102564097E-2</v>
      </c>
    </row>
    <row r="137" spans="1:6" ht="15.75" x14ac:dyDescent="0.25">
      <c r="A137" s="117"/>
      <c r="B137" s="118" t="s">
        <v>142</v>
      </c>
      <c r="C137" s="134">
        <f>SUM(C126:C136)</f>
        <v>94010</v>
      </c>
      <c r="D137" s="134">
        <f>SUM(D126:D136)</f>
        <v>82585</v>
      </c>
      <c r="E137" s="134">
        <f t="shared" si="18"/>
        <v>-11425</v>
      </c>
      <c r="F137" s="120">
        <f t="shared" si="19"/>
        <v>-0.12152962450803106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9348967</v>
      </c>
      <c r="D142" s="113">
        <v>10819732</v>
      </c>
      <c r="E142" s="113">
        <f t="shared" ref="E142:E153" si="20">D142-C142</f>
        <v>1470765</v>
      </c>
      <c r="F142" s="114">
        <f t="shared" ref="F142:F153" si="21">IF(C142=0,0,E142/C142)</f>
        <v>0.15731845026300767</v>
      </c>
    </row>
    <row r="143" spans="1:6" x14ac:dyDescent="0.2">
      <c r="A143" s="115">
        <v>2</v>
      </c>
      <c r="B143" s="116" t="s">
        <v>114</v>
      </c>
      <c r="C143" s="113">
        <v>2360763</v>
      </c>
      <c r="D143" s="113">
        <v>2711449</v>
      </c>
      <c r="E143" s="113">
        <f t="shared" si="20"/>
        <v>350686</v>
      </c>
      <c r="F143" s="114">
        <f t="shared" si="21"/>
        <v>0.14854773647333511</v>
      </c>
    </row>
    <row r="144" spans="1:6" x14ac:dyDescent="0.2">
      <c r="A144" s="115">
        <v>3</v>
      </c>
      <c r="B144" s="116" t="s">
        <v>115</v>
      </c>
      <c r="C144" s="113">
        <v>24223468</v>
      </c>
      <c r="D144" s="113">
        <v>23572013</v>
      </c>
      <c r="E144" s="113">
        <f t="shared" si="20"/>
        <v>-651455</v>
      </c>
      <c r="F144" s="114">
        <f t="shared" si="21"/>
        <v>-2.6893548025410729E-2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322301</v>
      </c>
      <c r="D146" s="113">
        <v>290506</v>
      </c>
      <c r="E146" s="113">
        <f t="shared" si="20"/>
        <v>-31795</v>
      </c>
      <c r="F146" s="114">
        <f t="shared" si="21"/>
        <v>-9.8650019702079733E-2</v>
      </c>
    </row>
    <row r="147" spans="1:6" x14ac:dyDescent="0.2">
      <c r="A147" s="115">
        <v>6</v>
      </c>
      <c r="B147" s="116" t="s">
        <v>118</v>
      </c>
      <c r="C147" s="113">
        <v>13548887</v>
      </c>
      <c r="D147" s="113">
        <v>14985756</v>
      </c>
      <c r="E147" s="113">
        <f t="shared" si="20"/>
        <v>1436869</v>
      </c>
      <c r="F147" s="114">
        <f t="shared" si="21"/>
        <v>0.10605070364820372</v>
      </c>
    </row>
    <row r="148" spans="1:6" x14ac:dyDescent="0.2">
      <c r="A148" s="115">
        <v>7</v>
      </c>
      <c r="B148" s="116" t="s">
        <v>119</v>
      </c>
      <c r="C148" s="113">
        <v>0</v>
      </c>
      <c r="D148" s="113">
        <v>0</v>
      </c>
      <c r="E148" s="113">
        <f t="shared" si="20"/>
        <v>0</v>
      </c>
      <c r="F148" s="114">
        <f t="shared" si="21"/>
        <v>0</v>
      </c>
    </row>
    <row r="149" spans="1:6" x14ac:dyDescent="0.2">
      <c r="A149" s="115">
        <v>8</v>
      </c>
      <c r="B149" s="116" t="s">
        <v>120</v>
      </c>
      <c r="C149" s="113">
        <v>737044</v>
      </c>
      <c r="D149" s="113">
        <v>618242</v>
      </c>
      <c r="E149" s="113">
        <f t="shared" si="20"/>
        <v>-118802</v>
      </c>
      <c r="F149" s="114">
        <f t="shared" si="21"/>
        <v>-0.16118712044328426</v>
      </c>
    </row>
    <row r="150" spans="1:6" x14ac:dyDescent="0.2">
      <c r="A150" s="115">
        <v>9</v>
      </c>
      <c r="B150" s="116" t="s">
        <v>121</v>
      </c>
      <c r="C150" s="113">
        <v>2246693</v>
      </c>
      <c r="D150" s="113">
        <v>2322271</v>
      </c>
      <c r="E150" s="113">
        <f t="shared" si="20"/>
        <v>75578</v>
      </c>
      <c r="F150" s="114">
        <f t="shared" si="21"/>
        <v>3.3639665054371028E-2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299315</v>
      </c>
      <c r="D152" s="113">
        <v>323387</v>
      </c>
      <c r="E152" s="113">
        <f t="shared" si="20"/>
        <v>24072</v>
      </c>
      <c r="F152" s="114">
        <f t="shared" si="21"/>
        <v>8.0423633964218297E-2</v>
      </c>
    </row>
    <row r="153" spans="1:6" ht="33.75" customHeight="1" x14ac:dyDescent="0.25">
      <c r="A153" s="117"/>
      <c r="B153" s="118" t="s">
        <v>146</v>
      </c>
      <c r="C153" s="119">
        <f>SUM(C142:C152)</f>
        <v>53087438</v>
      </c>
      <c r="D153" s="119">
        <f>SUM(D142:D152)</f>
        <v>55643356</v>
      </c>
      <c r="E153" s="119">
        <f t="shared" si="20"/>
        <v>2555918</v>
      </c>
      <c r="F153" s="120">
        <f t="shared" si="21"/>
        <v>4.8145438851277776E-2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2436961</v>
      </c>
      <c r="D155" s="113">
        <v>2581959</v>
      </c>
      <c r="E155" s="113">
        <f t="shared" ref="E155:E166" si="22">D155-C155</f>
        <v>144998</v>
      </c>
      <c r="F155" s="114">
        <f t="shared" ref="F155:F166" si="23">IF(C155=0,0,E155/C155)</f>
        <v>5.9499515995537065E-2</v>
      </c>
    </row>
    <row r="156" spans="1:6" x14ac:dyDescent="0.2">
      <c r="A156" s="115">
        <v>2</v>
      </c>
      <c r="B156" s="116" t="s">
        <v>114</v>
      </c>
      <c r="C156" s="113">
        <v>576992</v>
      </c>
      <c r="D156" s="113">
        <v>627106</v>
      </c>
      <c r="E156" s="113">
        <f t="shared" si="22"/>
        <v>50114</v>
      </c>
      <c r="F156" s="114">
        <f t="shared" si="23"/>
        <v>8.6853890521878988E-2</v>
      </c>
    </row>
    <row r="157" spans="1:6" x14ac:dyDescent="0.2">
      <c r="A157" s="115">
        <v>3</v>
      </c>
      <c r="B157" s="116" t="s">
        <v>115</v>
      </c>
      <c r="C157" s="113">
        <v>4011733</v>
      </c>
      <c r="D157" s="113">
        <v>4325383</v>
      </c>
      <c r="E157" s="113">
        <f t="shared" si="22"/>
        <v>313650</v>
      </c>
      <c r="F157" s="114">
        <f t="shared" si="23"/>
        <v>7.8183169218888696E-2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86947</v>
      </c>
      <c r="D159" s="113">
        <v>73874</v>
      </c>
      <c r="E159" s="113">
        <f t="shared" si="22"/>
        <v>-13073</v>
      </c>
      <c r="F159" s="114">
        <f t="shared" si="23"/>
        <v>-0.15035596397805559</v>
      </c>
    </row>
    <row r="160" spans="1:6" x14ac:dyDescent="0.2">
      <c r="A160" s="115">
        <v>6</v>
      </c>
      <c r="B160" s="116" t="s">
        <v>118</v>
      </c>
      <c r="C160" s="113">
        <v>7920741</v>
      </c>
      <c r="D160" s="113">
        <v>8850330</v>
      </c>
      <c r="E160" s="113">
        <f t="shared" si="22"/>
        <v>929589</v>
      </c>
      <c r="F160" s="114">
        <f t="shared" si="23"/>
        <v>0.11736136808412244</v>
      </c>
    </row>
    <row r="161" spans="1:6" x14ac:dyDescent="0.2">
      <c r="A161" s="115">
        <v>7</v>
      </c>
      <c r="B161" s="116" t="s">
        <v>119</v>
      </c>
      <c r="C161" s="113">
        <v>0</v>
      </c>
      <c r="D161" s="113">
        <v>0</v>
      </c>
      <c r="E161" s="113">
        <f t="shared" si="22"/>
        <v>0</v>
      </c>
      <c r="F161" s="114">
        <f t="shared" si="23"/>
        <v>0</v>
      </c>
    </row>
    <row r="162" spans="1:6" x14ac:dyDescent="0.2">
      <c r="A162" s="115">
        <v>8</v>
      </c>
      <c r="B162" s="116" t="s">
        <v>120</v>
      </c>
      <c r="C162" s="113">
        <v>512502</v>
      </c>
      <c r="D162" s="113">
        <v>367956</v>
      </c>
      <c r="E162" s="113">
        <f t="shared" si="22"/>
        <v>-144546</v>
      </c>
      <c r="F162" s="114">
        <f t="shared" si="23"/>
        <v>-0.28203987496634159</v>
      </c>
    </row>
    <row r="163" spans="1:6" x14ac:dyDescent="0.2">
      <c r="A163" s="115">
        <v>9</v>
      </c>
      <c r="B163" s="116" t="s">
        <v>121</v>
      </c>
      <c r="C163" s="113">
        <v>33382</v>
      </c>
      <c r="D163" s="113">
        <v>51161</v>
      </c>
      <c r="E163" s="113">
        <f t="shared" si="22"/>
        <v>17779</v>
      </c>
      <c r="F163" s="114">
        <f t="shared" si="23"/>
        <v>0.53259241507399202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31677</v>
      </c>
      <c r="D165" s="113">
        <v>29528</v>
      </c>
      <c r="E165" s="113">
        <f t="shared" si="22"/>
        <v>-2149</v>
      </c>
      <c r="F165" s="114">
        <f t="shared" si="23"/>
        <v>-6.7841020298639393E-2</v>
      </c>
    </row>
    <row r="166" spans="1:6" ht="33.75" customHeight="1" x14ac:dyDescent="0.25">
      <c r="A166" s="117"/>
      <c r="B166" s="118" t="s">
        <v>148</v>
      </c>
      <c r="C166" s="119">
        <f>SUM(C155:C165)</f>
        <v>15610935</v>
      </c>
      <c r="D166" s="119">
        <f>SUM(D155:D165)</f>
        <v>16907297</v>
      </c>
      <c r="E166" s="119">
        <f t="shared" si="22"/>
        <v>1296362</v>
      </c>
      <c r="F166" s="120">
        <f t="shared" si="23"/>
        <v>8.3041919013819479E-2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4306</v>
      </c>
      <c r="D168" s="133">
        <v>4691</v>
      </c>
      <c r="E168" s="133">
        <f t="shared" ref="E168:E179" si="24">D168-C168</f>
        <v>385</v>
      </c>
      <c r="F168" s="114">
        <f t="shared" ref="F168:F179" si="25">IF(C168=0,0,E168/C168)</f>
        <v>8.9410125406409663E-2</v>
      </c>
    </row>
    <row r="169" spans="1:6" x14ac:dyDescent="0.2">
      <c r="A169" s="115">
        <v>2</v>
      </c>
      <c r="B169" s="116" t="s">
        <v>114</v>
      </c>
      <c r="C169" s="133">
        <v>995</v>
      </c>
      <c r="D169" s="133">
        <v>1138</v>
      </c>
      <c r="E169" s="133">
        <f t="shared" si="24"/>
        <v>143</v>
      </c>
      <c r="F169" s="114">
        <f t="shared" si="25"/>
        <v>0.14371859296482412</v>
      </c>
    </row>
    <row r="170" spans="1:6" x14ac:dyDescent="0.2">
      <c r="A170" s="115">
        <v>3</v>
      </c>
      <c r="B170" s="116" t="s">
        <v>115</v>
      </c>
      <c r="C170" s="133">
        <v>14177</v>
      </c>
      <c r="D170" s="133">
        <v>14532</v>
      </c>
      <c r="E170" s="133">
        <f t="shared" si="24"/>
        <v>355</v>
      </c>
      <c r="F170" s="114">
        <f t="shared" si="25"/>
        <v>2.5040558651336673E-2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203</v>
      </c>
      <c r="D172" s="133">
        <v>190</v>
      </c>
      <c r="E172" s="133">
        <f t="shared" si="24"/>
        <v>-13</v>
      </c>
      <c r="F172" s="114">
        <f t="shared" si="25"/>
        <v>-6.4039408866995079E-2</v>
      </c>
    </row>
    <row r="173" spans="1:6" x14ac:dyDescent="0.2">
      <c r="A173" s="115">
        <v>6</v>
      </c>
      <c r="B173" s="116" t="s">
        <v>118</v>
      </c>
      <c r="C173" s="133">
        <v>8132</v>
      </c>
      <c r="D173" s="133">
        <v>8649</v>
      </c>
      <c r="E173" s="133">
        <f t="shared" si="24"/>
        <v>517</v>
      </c>
      <c r="F173" s="114">
        <f t="shared" si="25"/>
        <v>6.3575996064928683E-2</v>
      </c>
    </row>
    <row r="174" spans="1:6" x14ac:dyDescent="0.2">
      <c r="A174" s="115">
        <v>7</v>
      </c>
      <c r="B174" s="116" t="s">
        <v>119</v>
      </c>
      <c r="C174" s="133">
        <v>0</v>
      </c>
      <c r="D174" s="133">
        <v>0</v>
      </c>
      <c r="E174" s="133">
        <f t="shared" si="24"/>
        <v>0</v>
      </c>
      <c r="F174" s="114">
        <f t="shared" si="25"/>
        <v>0</v>
      </c>
    </row>
    <row r="175" spans="1:6" x14ac:dyDescent="0.2">
      <c r="A175" s="115">
        <v>8</v>
      </c>
      <c r="B175" s="116" t="s">
        <v>120</v>
      </c>
      <c r="C175" s="133">
        <v>640</v>
      </c>
      <c r="D175" s="133">
        <v>467</v>
      </c>
      <c r="E175" s="133">
        <f t="shared" si="24"/>
        <v>-173</v>
      </c>
      <c r="F175" s="114">
        <f t="shared" si="25"/>
        <v>-0.27031250000000001</v>
      </c>
    </row>
    <row r="176" spans="1:6" x14ac:dyDescent="0.2">
      <c r="A176" s="115">
        <v>9</v>
      </c>
      <c r="B176" s="116" t="s">
        <v>121</v>
      </c>
      <c r="C176" s="133">
        <v>1539</v>
      </c>
      <c r="D176" s="133">
        <v>1570</v>
      </c>
      <c r="E176" s="133">
        <f t="shared" si="24"/>
        <v>31</v>
      </c>
      <c r="F176" s="114">
        <f t="shared" si="25"/>
        <v>2.014294996751137E-2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169</v>
      </c>
      <c r="D178" s="133">
        <v>191</v>
      </c>
      <c r="E178" s="133">
        <f t="shared" si="24"/>
        <v>22</v>
      </c>
      <c r="F178" s="114">
        <f t="shared" si="25"/>
        <v>0.13017751479289941</v>
      </c>
    </row>
    <row r="179" spans="1:6" ht="33.75" customHeight="1" x14ac:dyDescent="0.25">
      <c r="A179" s="117"/>
      <c r="B179" s="118" t="s">
        <v>150</v>
      </c>
      <c r="C179" s="134">
        <f>SUM(C168:C178)</f>
        <v>30161</v>
      </c>
      <c r="D179" s="134">
        <f>SUM(D168:D178)</f>
        <v>31428</v>
      </c>
      <c r="E179" s="134">
        <f t="shared" si="24"/>
        <v>1267</v>
      </c>
      <c r="F179" s="120">
        <f t="shared" si="25"/>
        <v>4.2007890985046918E-2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FILING&amp;RWINDHAM COMMUNITY MEMORIAL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zoomScaleNormal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11636506</v>
      </c>
      <c r="D15" s="157">
        <v>10301279</v>
      </c>
      <c r="E15" s="157">
        <f>+D15-C15</f>
        <v>-1335227</v>
      </c>
      <c r="F15" s="161">
        <f>IF(C15=0,0,E15/C15)</f>
        <v>-0.114744666483221</v>
      </c>
    </row>
    <row r="16" spans="1:6" ht="15" customHeight="1" x14ac:dyDescent="0.2">
      <c r="A16" s="147">
        <v>2</v>
      </c>
      <c r="B16" s="160" t="s">
        <v>157</v>
      </c>
      <c r="C16" s="157">
        <v>1720183</v>
      </c>
      <c r="D16" s="157">
        <v>1572726</v>
      </c>
      <c r="E16" s="157">
        <f>+D16-C16</f>
        <v>-147457</v>
      </c>
      <c r="F16" s="161">
        <f>IF(C16=0,0,E16/C16)</f>
        <v>-8.572169356399871E-2</v>
      </c>
    </row>
    <row r="17" spans="1:6" ht="15" customHeight="1" x14ac:dyDescent="0.2">
      <c r="A17" s="147">
        <v>3</v>
      </c>
      <c r="B17" s="160" t="s">
        <v>158</v>
      </c>
      <c r="C17" s="157">
        <v>22636620</v>
      </c>
      <c r="D17" s="157">
        <v>19924833</v>
      </c>
      <c r="E17" s="157">
        <f>+D17-C17</f>
        <v>-2711787</v>
      </c>
      <c r="F17" s="161">
        <f>IF(C17=0,0,E17/C17)</f>
        <v>-0.11979646254608682</v>
      </c>
    </row>
    <row r="18" spans="1:6" ht="15.75" customHeight="1" x14ac:dyDescent="0.25">
      <c r="A18" s="147"/>
      <c r="B18" s="162" t="s">
        <v>159</v>
      </c>
      <c r="C18" s="158">
        <f>SUM(C15:C17)</f>
        <v>35993309</v>
      </c>
      <c r="D18" s="158">
        <f>SUM(D15:D17)</f>
        <v>31798838</v>
      </c>
      <c r="E18" s="158">
        <f>+D18-C18</f>
        <v>-4194471</v>
      </c>
      <c r="F18" s="159">
        <f>IF(C18=0,0,E18/C18)</f>
        <v>-0.11653474261007789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3502855</v>
      </c>
      <c r="D21" s="157">
        <v>3678381</v>
      </c>
      <c r="E21" s="157">
        <f>+D21-C21</f>
        <v>175526</v>
      </c>
      <c r="F21" s="161">
        <f>IF(C21=0,0,E21/C21)</f>
        <v>5.0109410752086511E-2</v>
      </c>
    </row>
    <row r="22" spans="1:6" ht="15" customHeight="1" x14ac:dyDescent="0.2">
      <c r="A22" s="147">
        <v>2</v>
      </c>
      <c r="B22" s="160" t="s">
        <v>162</v>
      </c>
      <c r="C22" s="157">
        <v>517814</v>
      </c>
      <c r="D22" s="157">
        <v>561589</v>
      </c>
      <c r="E22" s="157">
        <f>+D22-C22</f>
        <v>43775</v>
      </c>
      <c r="F22" s="161">
        <f>IF(C22=0,0,E22/C22)</f>
        <v>8.4538077379136142E-2</v>
      </c>
    </row>
    <row r="23" spans="1:6" ht="15" customHeight="1" x14ac:dyDescent="0.2">
      <c r="A23" s="147">
        <v>3</v>
      </c>
      <c r="B23" s="160" t="s">
        <v>163</v>
      </c>
      <c r="C23" s="157">
        <v>6814140</v>
      </c>
      <c r="D23" s="157">
        <v>7114765</v>
      </c>
      <c r="E23" s="157">
        <f>+D23-C23</f>
        <v>300625</v>
      </c>
      <c r="F23" s="161">
        <f>IF(C23=0,0,E23/C23)</f>
        <v>4.4117819710190867E-2</v>
      </c>
    </row>
    <row r="24" spans="1:6" ht="15.75" customHeight="1" x14ac:dyDescent="0.25">
      <c r="A24" s="147"/>
      <c r="B24" s="162" t="s">
        <v>164</v>
      </c>
      <c r="C24" s="158">
        <f>SUM(C21:C23)</f>
        <v>10834809</v>
      </c>
      <c r="D24" s="158">
        <f>SUM(D21:D23)</f>
        <v>11354735</v>
      </c>
      <c r="E24" s="158">
        <f>+D24-C24</f>
        <v>519926</v>
      </c>
      <c r="F24" s="159">
        <f>IF(C24=0,0,E24/C24)</f>
        <v>4.7986632713137814E-2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238191</v>
      </c>
      <c r="D27" s="157">
        <v>607248</v>
      </c>
      <c r="E27" s="157">
        <f>+D27-C27</f>
        <v>369057</v>
      </c>
      <c r="F27" s="161">
        <f>IF(C27=0,0,E27/C27)</f>
        <v>1.5494162247943877</v>
      </c>
    </row>
    <row r="28" spans="1:6" ht="15" customHeight="1" x14ac:dyDescent="0.2">
      <c r="A28" s="147">
        <v>2</v>
      </c>
      <c r="B28" s="160" t="s">
        <v>167</v>
      </c>
      <c r="C28" s="157">
        <v>2627350</v>
      </c>
      <c r="D28" s="157">
        <v>2785769</v>
      </c>
      <c r="E28" s="157">
        <f>+D28-C28</f>
        <v>158419</v>
      </c>
      <c r="F28" s="161">
        <f>IF(C28=0,0,E28/C28)</f>
        <v>6.0296115858184104E-2</v>
      </c>
    </row>
    <row r="29" spans="1:6" ht="15" customHeight="1" x14ac:dyDescent="0.2">
      <c r="A29" s="147">
        <v>3</v>
      </c>
      <c r="B29" s="160" t="s">
        <v>168</v>
      </c>
      <c r="C29" s="157">
        <v>11487419</v>
      </c>
      <c r="D29" s="157">
        <v>11075148</v>
      </c>
      <c r="E29" s="157">
        <f>+D29-C29</f>
        <v>-412271</v>
      </c>
      <c r="F29" s="161">
        <f>IF(C29=0,0,E29/C29)</f>
        <v>-3.5888914646536353E-2</v>
      </c>
    </row>
    <row r="30" spans="1:6" ht="15.75" customHeight="1" x14ac:dyDescent="0.25">
      <c r="A30" s="147"/>
      <c r="B30" s="162" t="s">
        <v>169</v>
      </c>
      <c r="C30" s="158">
        <f>SUM(C27:C29)</f>
        <v>14352960</v>
      </c>
      <c r="D30" s="158">
        <f>SUM(D27:D29)</f>
        <v>14468165</v>
      </c>
      <c r="E30" s="158">
        <f>+D30-C30</f>
        <v>115205</v>
      </c>
      <c r="F30" s="159">
        <f>IF(C30=0,0,E30/C30)</f>
        <v>8.0265673422067647E-3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5135699</v>
      </c>
      <c r="D33" s="157">
        <v>5031405</v>
      </c>
      <c r="E33" s="157">
        <f>+D33-C33</f>
        <v>-104294</v>
      </c>
      <c r="F33" s="161">
        <f>IF(C33=0,0,E33/C33)</f>
        <v>-2.0307654323199236E-2</v>
      </c>
    </row>
    <row r="34" spans="1:6" ht="15" customHeight="1" x14ac:dyDescent="0.2">
      <c r="A34" s="147">
        <v>2</v>
      </c>
      <c r="B34" s="160" t="s">
        <v>173</v>
      </c>
      <c r="C34" s="157">
        <v>2598781</v>
      </c>
      <c r="D34" s="157">
        <v>1361882</v>
      </c>
      <c r="E34" s="157">
        <f>+D34-C34</f>
        <v>-1236899</v>
      </c>
      <c r="F34" s="161">
        <f>IF(C34=0,0,E34/C34)</f>
        <v>-0.47595353359902198</v>
      </c>
    </row>
    <row r="35" spans="1:6" ht="15.75" customHeight="1" x14ac:dyDescent="0.25">
      <c r="A35" s="147"/>
      <c r="B35" s="162" t="s">
        <v>174</v>
      </c>
      <c r="C35" s="158">
        <f>SUM(C33:C34)</f>
        <v>7734480</v>
      </c>
      <c r="D35" s="158">
        <f>SUM(D33:D34)</f>
        <v>6393287</v>
      </c>
      <c r="E35" s="158">
        <f>+D35-C35</f>
        <v>-1341193</v>
      </c>
      <c r="F35" s="159">
        <f>IF(C35=0,0,E35/C35)</f>
        <v>-0.17340441762083553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2244743</v>
      </c>
      <c r="D38" s="157">
        <v>2217779</v>
      </c>
      <c r="E38" s="157">
        <f>+D38-C38</f>
        <v>-26964</v>
      </c>
      <c r="F38" s="161">
        <f>IF(C38=0,0,E38/C38)</f>
        <v>-1.201206552375929E-2</v>
      </c>
    </row>
    <row r="39" spans="1:6" ht="15" customHeight="1" x14ac:dyDescent="0.2">
      <c r="A39" s="147">
        <v>2</v>
      </c>
      <c r="B39" s="160" t="s">
        <v>178</v>
      </c>
      <c r="C39" s="157">
        <v>1982803</v>
      </c>
      <c r="D39" s="157">
        <v>1646400</v>
      </c>
      <c r="E39" s="157">
        <f>+D39-C39</f>
        <v>-336403</v>
      </c>
      <c r="F39" s="161">
        <f>IF(C39=0,0,E39/C39)</f>
        <v>-0.16966032429848049</v>
      </c>
    </row>
    <row r="40" spans="1:6" ht="15" customHeight="1" x14ac:dyDescent="0.2">
      <c r="A40" s="147">
        <v>3</v>
      </c>
      <c r="B40" s="160" t="s">
        <v>179</v>
      </c>
      <c r="C40" s="157">
        <v>15769</v>
      </c>
      <c r="D40" s="157">
        <v>15769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4243315</v>
      </c>
      <c r="D41" s="158">
        <f>SUM(D38:D40)</f>
        <v>3879948</v>
      </c>
      <c r="E41" s="158">
        <f>+D41-C41</f>
        <v>-363367</v>
      </c>
      <c r="F41" s="159">
        <f>IF(C41=0,0,E41/C41)</f>
        <v>-8.5632813024722421E-2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1698978</v>
      </c>
      <c r="D47" s="157">
        <v>1785086</v>
      </c>
      <c r="E47" s="157">
        <f>+D47-C47</f>
        <v>86108</v>
      </c>
      <c r="F47" s="161">
        <f>IF(C47=0,0,E47/C47)</f>
        <v>5.0682233672242963E-2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343860</v>
      </c>
      <c r="D50" s="157">
        <v>413222</v>
      </c>
      <c r="E50" s="157">
        <f>+D50-C50</f>
        <v>69362</v>
      </c>
      <c r="F50" s="161">
        <f>IF(C50=0,0,E50/C50)</f>
        <v>0.20171581457569943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104159</v>
      </c>
      <c r="D53" s="157">
        <v>88358</v>
      </c>
      <c r="E53" s="157">
        <f t="shared" ref="E53:E59" si="0">+D53-C53</f>
        <v>-15801</v>
      </c>
      <c r="F53" s="161">
        <f t="shared" ref="F53:F59" si="1">IF(C53=0,0,E53/C53)</f>
        <v>-0.15170076517631698</v>
      </c>
    </row>
    <row r="54" spans="1:6" ht="15" customHeight="1" x14ac:dyDescent="0.2">
      <c r="A54" s="147">
        <v>2</v>
      </c>
      <c r="B54" s="160" t="s">
        <v>189</v>
      </c>
      <c r="C54" s="157">
        <v>501739</v>
      </c>
      <c r="D54" s="157">
        <v>337060</v>
      </c>
      <c r="E54" s="157">
        <f t="shared" si="0"/>
        <v>-164679</v>
      </c>
      <c r="F54" s="161">
        <f t="shared" si="1"/>
        <v>-0.3282164631411949</v>
      </c>
    </row>
    <row r="55" spans="1:6" ht="15" customHeight="1" x14ac:dyDescent="0.2">
      <c r="A55" s="147">
        <v>3</v>
      </c>
      <c r="B55" s="160" t="s">
        <v>190</v>
      </c>
      <c r="C55" s="157">
        <v>3478</v>
      </c>
      <c r="D55" s="157">
        <v>8142</v>
      </c>
      <c r="E55" s="157">
        <f t="shared" si="0"/>
        <v>4664</v>
      </c>
      <c r="F55" s="161">
        <f t="shared" si="1"/>
        <v>1.3410005750431282</v>
      </c>
    </row>
    <row r="56" spans="1:6" ht="15" customHeight="1" x14ac:dyDescent="0.2">
      <c r="A56" s="147">
        <v>4</v>
      </c>
      <c r="B56" s="160" t="s">
        <v>191</v>
      </c>
      <c r="C56" s="157">
        <v>775759</v>
      </c>
      <c r="D56" s="157">
        <v>795662</v>
      </c>
      <c r="E56" s="157">
        <f t="shared" si="0"/>
        <v>19903</v>
      </c>
      <c r="F56" s="161">
        <f t="shared" si="1"/>
        <v>2.5656163834386712E-2</v>
      </c>
    </row>
    <row r="57" spans="1:6" ht="15" customHeight="1" x14ac:dyDescent="0.2">
      <c r="A57" s="147">
        <v>5</v>
      </c>
      <c r="B57" s="160" t="s">
        <v>192</v>
      </c>
      <c r="C57" s="157">
        <v>172844</v>
      </c>
      <c r="D57" s="157">
        <v>170376</v>
      </c>
      <c r="E57" s="157">
        <f t="shared" si="0"/>
        <v>-2468</v>
      </c>
      <c r="F57" s="161">
        <f t="shared" si="1"/>
        <v>-1.4278771609081021E-2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3963</v>
      </c>
      <c r="E58" s="157">
        <f t="shared" si="0"/>
        <v>3963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1557979</v>
      </c>
      <c r="D59" s="158">
        <f>SUM(D53:D58)</f>
        <v>1403561</v>
      </c>
      <c r="E59" s="158">
        <f t="shared" si="0"/>
        <v>-154418</v>
      </c>
      <c r="F59" s="159">
        <f t="shared" si="1"/>
        <v>-9.9114301283906914E-2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73200</v>
      </c>
      <c r="D62" s="157">
        <v>0</v>
      </c>
      <c r="E62" s="157">
        <f t="shared" ref="E62:E90" si="2">+D62-C62</f>
        <v>-73200</v>
      </c>
      <c r="F62" s="161">
        <f t="shared" ref="F62:F90" si="3">IF(C62=0,0,E62/C62)</f>
        <v>-1</v>
      </c>
    </row>
    <row r="63" spans="1:6" ht="15" customHeight="1" x14ac:dyDescent="0.2">
      <c r="A63" s="147">
        <v>2</v>
      </c>
      <c r="B63" s="160" t="s">
        <v>198</v>
      </c>
      <c r="C63" s="157">
        <v>177740</v>
      </c>
      <c r="D63" s="157">
        <v>31556</v>
      </c>
      <c r="E63" s="157">
        <f t="shared" si="2"/>
        <v>-146184</v>
      </c>
      <c r="F63" s="161">
        <f t="shared" si="3"/>
        <v>-0.82245977270169912</v>
      </c>
    </row>
    <row r="64" spans="1:6" ht="15" customHeight="1" x14ac:dyDescent="0.2">
      <c r="A64" s="147">
        <v>3</v>
      </c>
      <c r="B64" s="160" t="s">
        <v>199</v>
      </c>
      <c r="C64" s="157">
        <v>214878</v>
      </c>
      <c r="D64" s="157">
        <v>63596</v>
      </c>
      <c r="E64" s="157">
        <f t="shared" si="2"/>
        <v>-151282</v>
      </c>
      <c r="F64" s="161">
        <f t="shared" si="3"/>
        <v>-0.70403670920243111</v>
      </c>
    </row>
    <row r="65" spans="1:6" ht="15" customHeight="1" x14ac:dyDescent="0.2">
      <c r="A65" s="147">
        <v>4</v>
      </c>
      <c r="B65" s="160" t="s">
        <v>200</v>
      </c>
      <c r="C65" s="157">
        <v>0</v>
      </c>
      <c r="D65" s="157">
        <v>0</v>
      </c>
      <c r="E65" s="157">
        <f t="shared" si="2"/>
        <v>0</v>
      </c>
      <c r="F65" s="161">
        <f t="shared" si="3"/>
        <v>0</v>
      </c>
    </row>
    <row r="66" spans="1:6" ht="15" customHeight="1" x14ac:dyDescent="0.2">
      <c r="A66" s="147">
        <v>5</v>
      </c>
      <c r="B66" s="160" t="s">
        <v>201</v>
      </c>
      <c r="C66" s="157">
        <v>673481</v>
      </c>
      <c r="D66" s="157">
        <v>848705</v>
      </c>
      <c r="E66" s="157">
        <f t="shared" si="2"/>
        <v>175224</v>
      </c>
      <c r="F66" s="161">
        <f t="shared" si="3"/>
        <v>0.26017660483369243</v>
      </c>
    </row>
    <row r="67" spans="1:6" ht="15" customHeight="1" x14ac:dyDescent="0.2">
      <c r="A67" s="147">
        <v>6</v>
      </c>
      <c r="B67" s="160" t="s">
        <v>202</v>
      </c>
      <c r="C67" s="157">
        <v>494631</v>
      </c>
      <c r="D67" s="157">
        <v>331145</v>
      </c>
      <c r="E67" s="157">
        <f t="shared" si="2"/>
        <v>-163486</v>
      </c>
      <c r="F67" s="161">
        <f t="shared" si="3"/>
        <v>-0.3305211359579161</v>
      </c>
    </row>
    <row r="68" spans="1:6" ht="15" customHeight="1" x14ac:dyDescent="0.2">
      <c r="A68" s="147">
        <v>7</v>
      </c>
      <c r="B68" s="160" t="s">
        <v>203</v>
      </c>
      <c r="C68" s="157">
        <v>3341219</v>
      </c>
      <c r="D68" s="157">
        <v>2381920</v>
      </c>
      <c r="E68" s="157">
        <f t="shared" si="2"/>
        <v>-959299</v>
      </c>
      <c r="F68" s="161">
        <f t="shared" si="3"/>
        <v>-0.28711048273100326</v>
      </c>
    </row>
    <row r="69" spans="1:6" ht="15" customHeight="1" x14ac:dyDescent="0.2">
      <c r="A69" s="147">
        <v>8</v>
      </c>
      <c r="B69" s="160" t="s">
        <v>204</v>
      </c>
      <c r="C69" s="157">
        <v>211558</v>
      </c>
      <c r="D69" s="157">
        <v>281787</v>
      </c>
      <c r="E69" s="157">
        <f t="shared" si="2"/>
        <v>70229</v>
      </c>
      <c r="F69" s="161">
        <f t="shared" si="3"/>
        <v>0.33196097524083229</v>
      </c>
    </row>
    <row r="70" spans="1:6" ht="15" customHeight="1" x14ac:dyDescent="0.2">
      <c r="A70" s="147">
        <v>9</v>
      </c>
      <c r="B70" s="160" t="s">
        <v>205</v>
      </c>
      <c r="C70" s="157">
        <v>42443</v>
      </c>
      <c r="D70" s="157">
        <v>34796</v>
      </c>
      <c r="E70" s="157">
        <f t="shared" si="2"/>
        <v>-7647</v>
      </c>
      <c r="F70" s="161">
        <f t="shared" si="3"/>
        <v>-0.18017105294159225</v>
      </c>
    </row>
    <row r="71" spans="1:6" ht="15" customHeight="1" x14ac:dyDescent="0.2">
      <c r="A71" s="147">
        <v>10</v>
      </c>
      <c r="B71" s="160" t="s">
        <v>206</v>
      </c>
      <c r="C71" s="157">
        <v>86917</v>
      </c>
      <c r="D71" s="157">
        <v>78161</v>
      </c>
      <c r="E71" s="157">
        <f t="shared" si="2"/>
        <v>-8756</v>
      </c>
      <c r="F71" s="161">
        <f t="shared" si="3"/>
        <v>-0.10073978623284283</v>
      </c>
    </row>
    <row r="72" spans="1:6" ht="15" customHeight="1" x14ac:dyDescent="0.2">
      <c r="A72" s="147">
        <v>11</v>
      </c>
      <c r="B72" s="160" t="s">
        <v>207</v>
      </c>
      <c r="C72" s="157">
        <v>242521</v>
      </c>
      <c r="D72" s="157">
        <v>222140</v>
      </c>
      <c r="E72" s="157">
        <f t="shared" si="2"/>
        <v>-20381</v>
      </c>
      <c r="F72" s="161">
        <f t="shared" si="3"/>
        <v>-8.4038083300002883E-2</v>
      </c>
    </row>
    <row r="73" spans="1:6" ht="15" customHeight="1" x14ac:dyDescent="0.2">
      <c r="A73" s="147">
        <v>12</v>
      </c>
      <c r="B73" s="160" t="s">
        <v>208</v>
      </c>
      <c r="C73" s="157">
        <v>1326908</v>
      </c>
      <c r="D73" s="157">
        <v>598869</v>
      </c>
      <c r="E73" s="157">
        <f t="shared" si="2"/>
        <v>-728039</v>
      </c>
      <c r="F73" s="161">
        <f t="shared" si="3"/>
        <v>-0.54867330666481773</v>
      </c>
    </row>
    <row r="74" spans="1:6" ht="15" customHeight="1" x14ac:dyDescent="0.2">
      <c r="A74" s="147">
        <v>13</v>
      </c>
      <c r="B74" s="160" t="s">
        <v>209</v>
      </c>
      <c r="C74" s="157">
        <v>57942</v>
      </c>
      <c r="D74" s="157">
        <v>178803</v>
      </c>
      <c r="E74" s="157">
        <f t="shared" si="2"/>
        <v>120861</v>
      </c>
      <c r="F74" s="161">
        <f t="shared" si="3"/>
        <v>2.0858962410686548</v>
      </c>
    </row>
    <row r="75" spans="1:6" ht="15" customHeight="1" x14ac:dyDescent="0.2">
      <c r="A75" s="147">
        <v>14</v>
      </c>
      <c r="B75" s="160" t="s">
        <v>210</v>
      </c>
      <c r="C75" s="157">
        <v>30034</v>
      </c>
      <c r="D75" s="157">
        <v>50107</v>
      </c>
      <c r="E75" s="157">
        <f t="shared" si="2"/>
        <v>20073</v>
      </c>
      <c r="F75" s="161">
        <f t="shared" si="3"/>
        <v>0.6683425451155357</v>
      </c>
    </row>
    <row r="76" spans="1:6" ht="15" customHeight="1" x14ac:dyDescent="0.2">
      <c r="A76" s="147">
        <v>15</v>
      </c>
      <c r="B76" s="160" t="s">
        <v>211</v>
      </c>
      <c r="C76" s="157">
        <v>13989</v>
      </c>
      <c r="D76" s="157">
        <v>6789</v>
      </c>
      <c r="E76" s="157">
        <f t="shared" si="2"/>
        <v>-7200</v>
      </c>
      <c r="F76" s="161">
        <f t="shared" si="3"/>
        <v>-0.51469011366073347</v>
      </c>
    </row>
    <row r="77" spans="1:6" ht="15" customHeight="1" x14ac:dyDescent="0.2">
      <c r="A77" s="147">
        <v>16</v>
      </c>
      <c r="B77" s="160" t="s">
        <v>212</v>
      </c>
      <c r="C77" s="157">
        <v>1843243</v>
      </c>
      <c r="D77" s="157">
        <v>2836728</v>
      </c>
      <c r="E77" s="157">
        <f t="shared" si="2"/>
        <v>993485</v>
      </c>
      <c r="F77" s="161">
        <f t="shared" si="3"/>
        <v>0.53898753447049574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0</v>
      </c>
      <c r="D80" s="157">
        <v>0</v>
      </c>
      <c r="E80" s="157">
        <f t="shared" si="2"/>
        <v>0</v>
      </c>
      <c r="F80" s="161">
        <f t="shared" si="3"/>
        <v>0</v>
      </c>
    </row>
    <row r="81" spans="1:6" ht="15" customHeight="1" x14ac:dyDescent="0.2">
      <c r="A81" s="147">
        <v>20</v>
      </c>
      <c r="B81" s="160" t="s">
        <v>216</v>
      </c>
      <c r="C81" s="157">
        <v>0</v>
      </c>
      <c r="D81" s="157">
        <v>0</v>
      </c>
      <c r="E81" s="157">
        <f t="shared" si="2"/>
        <v>0</v>
      </c>
      <c r="F81" s="161">
        <f t="shared" si="3"/>
        <v>0</v>
      </c>
    </row>
    <row r="82" spans="1:6" ht="15" customHeight="1" x14ac:dyDescent="0.2">
      <c r="A82" s="147">
        <v>21</v>
      </c>
      <c r="B82" s="160" t="s">
        <v>217</v>
      </c>
      <c r="C82" s="157">
        <v>0</v>
      </c>
      <c r="D82" s="157">
        <v>0</v>
      </c>
      <c r="E82" s="157">
        <f t="shared" si="2"/>
        <v>0</v>
      </c>
      <c r="F82" s="161">
        <f t="shared" si="3"/>
        <v>0</v>
      </c>
    </row>
    <row r="83" spans="1:6" ht="15" customHeight="1" x14ac:dyDescent="0.2">
      <c r="A83" s="147">
        <v>22</v>
      </c>
      <c r="B83" s="160" t="s">
        <v>218</v>
      </c>
      <c r="C83" s="157">
        <v>0</v>
      </c>
      <c r="D83" s="157">
        <v>0</v>
      </c>
      <c r="E83" s="157">
        <f t="shared" si="2"/>
        <v>0</v>
      </c>
      <c r="F83" s="161">
        <f t="shared" si="3"/>
        <v>0</v>
      </c>
    </row>
    <row r="84" spans="1:6" ht="15" customHeight="1" x14ac:dyDescent="0.2">
      <c r="A84" s="147">
        <v>23</v>
      </c>
      <c r="B84" s="160" t="s">
        <v>219</v>
      </c>
      <c r="C84" s="157">
        <v>0</v>
      </c>
      <c r="D84" s="157">
        <v>0</v>
      </c>
      <c r="E84" s="157">
        <f t="shared" si="2"/>
        <v>0</v>
      </c>
      <c r="F84" s="161">
        <f t="shared" si="3"/>
        <v>0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0</v>
      </c>
      <c r="D86" s="157">
        <v>0</v>
      </c>
      <c r="E86" s="157">
        <f t="shared" si="2"/>
        <v>0</v>
      </c>
      <c r="F86" s="161">
        <f t="shared" si="3"/>
        <v>0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0</v>
      </c>
      <c r="E88" s="157">
        <f t="shared" si="2"/>
        <v>0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0</v>
      </c>
      <c r="D89" s="157">
        <v>0</v>
      </c>
      <c r="E89" s="157">
        <f t="shared" si="2"/>
        <v>0</v>
      </c>
      <c r="F89" s="161">
        <f t="shared" si="3"/>
        <v>0</v>
      </c>
    </row>
    <row r="90" spans="1:6" ht="15.75" customHeight="1" x14ac:dyDescent="0.25">
      <c r="A90" s="147"/>
      <c r="B90" s="162" t="s">
        <v>225</v>
      </c>
      <c r="C90" s="158">
        <f>SUM(C62:C89)</f>
        <v>8830704</v>
      </c>
      <c r="D90" s="158">
        <f>SUM(D62:D89)</f>
        <v>7945102</v>
      </c>
      <c r="E90" s="158">
        <f t="shared" si="2"/>
        <v>-885602</v>
      </c>
      <c r="F90" s="159">
        <f t="shared" si="3"/>
        <v>-0.10028668156015647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1171130</v>
      </c>
      <c r="D93" s="157">
        <v>2170719</v>
      </c>
      <c r="E93" s="157">
        <f>+D93-C93</f>
        <v>999589</v>
      </c>
      <c r="F93" s="161">
        <f>IF(C93=0,0,E93/C93)</f>
        <v>0.85352522777146855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86761524</v>
      </c>
      <c r="D95" s="158">
        <f>+D93+D90+D59+D50+D47+D44+D41+D35+D30+D24+D18</f>
        <v>81612663</v>
      </c>
      <c r="E95" s="158">
        <f>+D95-C95</f>
        <v>-5148861</v>
      </c>
      <c r="F95" s="159">
        <f>IF(C95=0,0,E95/C95)</f>
        <v>-5.9344981077095876E-2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7591854</v>
      </c>
      <c r="D103" s="157">
        <v>6831644</v>
      </c>
      <c r="E103" s="157">
        <f t="shared" ref="E103:E121" si="4">D103-C103</f>
        <v>-760210</v>
      </c>
      <c r="F103" s="161">
        <f t="shared" ref="F103:F121" si="5">IF(C103=0,0,E103/C103)</f>
        <v>-0.10013496044576199</v>
      </c>
    </row>
    <row r="104" spans="1:6" ht="15" customHeight="1" x14ac:dyDescent="0.2">
      <c r="A104" s="147">
        <v>2</v>
      </c>
      <c r="B104" s="169" t="s">
        <v>234</v>
      </c>
      <c r="C104" s="157">
        <v>624653</v>
      </c>
      <c r="D104" s="157">
        <v>225519</v>
      </c>
      <c r="E104" s="157">
        <f t="shared" si="4"/>
        <v>-399134</v>
      </c>
      <c r="F104" s="161">
        <f t="shared" si="5"/>
        <v>-0.63896915567523094</v>
      </c>
    </row>
    <row r="105" spans="1:6" ht="15" customHeight="1" x14ac:dyDescent="0.2">
      <c r="A105" s="147">
        <v>3</v>
      </c>
      <c r="B105" s="169" t="s">
        <v>235</v>
      </c>
      <c r="C105" s="157">
        <v>0</v>
      </c>
      <c r="D105" s="157">
        <v>0</v>
      </c>
      <c r="E105" s="157">
        <f t="shared" si="4"/>
        <v>0</v>
      </c>
      <c r="F105" s="161">
        <f t="shared" si="5"/>
        <v>0</v>
      </c>
    </row>
    <row r="106" spans="1:6" ht="15" customHeight="1" x14ac:dyDescent="0.2">
      <c r="A106" s="147">
        <v>4</v>
      </c>
      <c r="B106" s="169" t="s">
        <v>236</v>
      </c>
      <c r="C106" s="157">
        <v>1396060</v>
      </c>
      <c r="D106" s="157">
        <v>1301813</v>
      </c>
      <c r="E106" s="157">
        <f t="shared" si="4"/>
        <v>-94247</v>
      </c>
      <c r="F106" s="161">
        <f t="shared" si="5"/>
        <v>-6.7509276105611513E-2</v>
      </c>
    </row>
    <row r="107" spans="1:6" ht="15" customHeight="1" x14ac:dyDescent="0.2">
      <c r="A107" s="147">
        <v>5</v>
      </c>
      <c r="B107" s="169" t="s">
        <v>237</v>
      </c>
      <c r="C107" s="157">
        <v>5086052</v>
      </c>
      <c r="D107" s="157">
        <v>5072253</v>
      </c>
      <c r="E107" s="157">
        <f t="shared" si="4"/>
        <v>-13799</v>
      </c>
      <c r="F107" s="161">
        <f t="shared" si="5"/>
        <v>-2.7131063543982641E-3</v>
      </c>
    </row>
    <row r="108" spans="1:6" ht="15" customHeight="1" x14ac:dyDescent="0.2">
      <c r="A108" s="147">
        <v>6</v>
      </c>
      <c r="B108" s="169" t="s">
        <v>238</v>
      </c>
      <c r="C108" s="157">
        <v>168240</v>
      </c>
      <c r="D108" s="157">
        <v>209180</v>
      </c>
      <c r="E108" s="157">
        <f t="shared" si="4"/>
        <v>40940</v>
      </c>
      <c r="F108" s="161">
        <f t="shared" si="5"/>
        <v>0.24334284355682359</v>
      </c>
    </row>
    <row r="109" spans="1:6" ht="15" customHeight="1" x14ac:dyDescent="0.2">
      <c r="A109" s="147">
        <v>7</v>
      </c>
      <c r="B109" s="169" t="s">
        <v>239</v>
      </c>
      <c r="C109" s="157">
        <v>544756</v>
      </c>
      <c r="D109" s="157">
        <v>116821</v>
      </c>
      <c r="E109" s="157">
        <f t="shared" si="4"/>
        <v>-427935</v>
      </c>
      <c r="F109" s="161">
        <f t="shared" si="5"/>
        <v>-0.78555353222360103</v>
      </c>
    </row>
    <row r="110" spans="1:6" ht="15" customHeight="1" x14ac:dyDescent="0.2">
      <c r="A110" s="147">
        <v>8</v>
      </c>
      <c r="B110" s="169" t="s">
        <v>240</v>
      </c>
      <c r="C110" s="157">
        <v>15656</v>
      </c>
      <c r="D110" s="157">
        <v>1997</v>
      </c>
      <c r="E110" s="157">
        <f t="shared" si="4"/>
        <v>-13659</v>
      </c>
      <c r="F110" s="161">
        <f t="shared" si="5"/>
        <v>-0.87244506898313745</v>
      </c>
    </row>
    <row r="111" spans="1:6" ht="15" customHeight="1" x14ac:dyDescent="0.2">
      <c r="A111" s="147">
        <v>9</v>
      </c>
      <c r="B111" s="169" t="s">
        <v>241</v>
      </c>
      <c r="C111" s="157">
        <v>190778</v>
      </c>
      <c r="D111" s="157">
        <v>154646</v>
      </c>
      <c r="E111" s="157">
        <f t="shared" si="4"/>
        <v>-36132</v>
      </c>
      <c r="F111" s="161">
        <f t="shared" si="5"/>
        <v>-0.18939290693895522</v>
      </c>
    </row>
    <row r="112" spans="1:6" ht="15" customHeight="1" x14ac:dyDescent="0.2">
      <c r="A112" s="147">
        <v>10</v>
      </c>
      <c r="B112" s="169" t="s">
        <v>242</v>
      </c>
      <c r="C112" s="157">
        <v>1788726</v>
      </c>
      <c r="D112" s="157">
        <v>1445725</v>
      </c>
      <c r="E112" s="157">
        <f t="shared" si="4"/>
        <v>-343001</v>
      </c>
      <c r="F112" s="161">
        <f t="shared" si="5"/>
        <v>-0.19175715006099314</v>
      </c>
    </row>
    <row r="113" spans="1:6" ht="15" customHeight="1" x14ac:dyDescent="0.2">
      <c r="A113" s="147">
        <v>11</v>
      </c>
      <c r="B113" s="169" t="s">
        <v>243</v>
      </c>
      <c r="C113" s="157">
        <v>1116433</v>
      </c>
      <c r="D113" s="157">
        <v>1036938</v>
      </c>
      <c r="E113" s="157">
        <f t="shared" si="4"/>
        <v>-79495</v>
      </c>
      <c r="F113" s="161">
        <f t="shared" si="5"/>
        <v>-7.1204452036082777E-2</v>
      </c>
    </row>
    <row r="114" spans="1:6" ht="15" customHeight="1" x14ac:dyDescent="0.2">
      <c r="A114" s="147">
        <v>12</v>
      </c>
      <c r="B114" s="169" t="s">
        <v>244</v>
      </c>
      <c r="C114" s="157">
        <v>403987</v>
      </c>
      <c r="D114" s="157">
        <v>414068</v>
      </c>
      <c r="E114" s="157">
        <f t="shared" si="4"/>
        <v>10081</v>
      </c>
      <c r="F114" s="161">
        <f t="shared" si="5"/>
        <v>2.4953773264981299E-2</v>
      </c>
    </row>
    <row r="115" spans="1:6" ht="15" customHeight="1" x14ac:dyDescent="0.2">
      <c r="A115" s="147">
        <v>13</v>
      </c>
      <c r="B115" s="169" t="s">
        <v>245</v>
      </c>
      <c r="C115" s="157">
        <v>1040531</v>
      </c>
      <c r="D115" s="157">
        <v>1571112</v>
      </c>
      <c r="E115" s="157">
        <f t="shared" si="4"/>
        <v>530581</v>
      </c>
      <c r="F115" s="161">
        <f t="shared" si="5"/>
        <v>0.50991368829953165</v>
      </c>
    </row>
    <row r="116" spans="1:6" ht="15" customHeight="1" x14ac:dyDescent="0.2">
      <c r="A116" s="147">
        <v>14</v>
      </c>
      <c r="B116" s="169" t="s">
        <v>246</v>
      </c>
      <c r="C116" s="157">
        <v>378795</v>
      </c>
      <c r="D116" s="157">
        <v>372229</v>
      </c>
      <c r="E116" s="157">
        <f t="shared" si="4"/>
        <v>-6566</v>
      </c>
      <c r="F116" s="161">
        <f t="shared" si="5"/>
        <v>-1.7333914122414498E-2</v>
      </c>
    </row>
    <row r="117" spans="1:6" ht="15" customHeight="1" x14ac:dyDescent="0.2">
      <c r="A117" s="147">
        <v>15</v>
      </c>
      <c r="B117" s="169" t="s">
        <v>203</v>
      </c>
      <c r="C117" s="157">
        <v>2070798</v>
      </c>
      <c r="D117" s="157">
        <v>1526870</v>
      </c>
      <c r="E117" s="157">
        <f t="shared" si="4"/>
        <v>-543928</v>
      </c>
      <c r="F117" s="161">
        <f t="shared" si="5"/>
        <v>-0.26266589015442354</v>
      </c>
    </row>
    <row r="118" spans="1:6" ht="15" customHeight="1" x14ac:dyDescent="0.2">
      <c r="A118" s="147">
        <v>16</v>
      </c>
      <c r="B118" s="169" t="s">
        <v>247</v>
      </c>
      <c r="C118" s="157">
        <v>0</v>
      </c>
      <c r="D118" s="157">
        <v>0</v>
      </c>
      <c r="E118" s="157">
        <f t="shared" si="4"/>
        <v>0</v>
      </c>
      <c r="F118" s="161">
        <f t="shared" si="5"/>
        <v>0</v>
      </c>
    </row>
    <row r="119" spans="1:6" ht="15" customHeight="1" x14ac:dyDescent="0.2">
      <c r="A119" s="147">
        <v>17</v>
      </c>
      <c r="B119" s="169" t="s">
        <v>248</v>
      </c>
      <c r="C119" s="157">
        <v>3812350</v>
      </c>
      <c r="D119" s="157">
        <v>2764840</v>
      </c>
      <c r="E119" s="157">
        <f t="shared" si="4"/>
        <v>-1047510</v>
      </c>
      <c r="F119" s="161">
        <f t="shared" si="5"/>
        <v>-0.27476753183731817</v>
      </c>
    </row>
    <row r="120" spans="1:6" ht="15" customHeight="1" x14ac:dyDescent="0.2">
      <c r="A120" s="147">
        <v>18</v>
      </c>
      <c r="B120" s="169" t="s">
        <v>249</v>
      </c>
      <c r="C120" s="157">
        <v>163671</v>
      </c>
      <c r="D120" s="157">
        <v>301759</v>
      </c>
      <c r="E120" s="157">
        <f t="shared" si="4"/>
        <v>138088</v>
      </c>
      <c r="F120" s="161">
        <f t="shared" si="5"/>
        <v>0.84369252952569485</v>
      </c>
    </row>
    <row r="121" spans="1:6" ht="15.75" customHeight="1" x14ac:dyDescent="0.25">
      <c r="A121" s="147"/>
      <c r="B121" s="165" t="s">
        <v>250</v>
      </c>
      <c r="C121" s="158">
        <f>SUM(C103:C120)</f>
        <v>26393340</v>
      </c>
      <c r="D121" s="158">
        <f>SUM(D103:D120)</f>
        <v>23347414</v>
      </c>
      <c r="E121" s="158">
        <f t="shared" si="4"/>
        <v>-3045926</v>
      </c>
      <c r="F121" s="159">
        <f t="shared" si="5"/>
        <v>-0.11540509840740126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95579</v>
      </c>
      <c r="D124" s="157">
        <v>61320</v>
      </c>
      <c r="E124" s="157">
        <f t="shared" ref="E124:E130" si="6">D124-C124</f>
        <v>-34259</v>
      </c>
      <c r="F124" s="161">
        <f t="shared" ref="F124:F130" si="7">IF(C124=0,0,E124/C124)</f>
        <v>-0.35843647663189615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1865235</v>
      </c>
      <c r="D126" s="157">
        <v>2110136</v>
      </c>
      <c r="E126" s="157">
        <f t="shared" si="6"/>
        <v>244901</v>
      </c>
      <c r="F126" s="161">
        <f t="shared" si="7"/>
        <v>0.13129766490549449</v>
      </c>
    </row>
    <row r="127" spans="1:6" ht="15" customHeight="1" x14ac:dyDescent="0.2">
      <c r="A127" s="147">
        <v>4</v>
      </c>
      <c r="B127" s="169" t="s">
        <v>255</v>
      </c>
      <c r="C127" s="157">
        <v>747533</v>
      </c>
      <c r="D127" s="157">
        <v>692707</v>
      </c>
      <c r="E127" s="157">
        <f t="shared" si="6"/>
        <v>-54826</v>
      </c>
      <c r="F127" s="161">
        <f t="shared" si="7"/>
        <v>-7.3342581531517667E-2</v>
      </c>
    </row>
    <row r="128" spans="1:6" ht="15" customHeight="1" x14ac:dyDescent="0.2">
      <c r="A128" s="147">
        <v>5</v>
      </c>
      <c r="B128" s="169" t="s">
        <v>256</v>
      </c>
      <c r="C128" s="157">
        <v>0</v>
      </c>
      <c r="D128" s="157">
        <v>0</v>
      </c>
      <c r="E128" s="157">
        <f t="shared" si="6"/>
        <v>0</v>
      </c>
      <c r="F128" s="161">
        <f t="shared" si="7"/>
        <v>0</v>
      </c>
    </row>
    <row r="129" spans="1:6" ht="15" customHeight="1" x14ac:dyDescent="0.2">
      <c r="A129" s="147">
        <v>6</v>
      </c>
      <c r="B129" s="169" t="s">
        <v>257</v>
      </c>
      <c r="C129" s="157">
        <v>729430</v>
      </c>
      <c r="D129" s="157">
        <v>524011</v>
      </c>
      <c r="E129" s="157">
        <f t="shared" si="6"/>
        <v>-205419</v>
      </c>
      <c r="F129" s="161">
        <f t="shared" si="7"/>
        <v>-0.28161578218609051</v>
      </c>
    </row>
    <row r="130" spans="1:6" ht="15.75" customHeight="1" x14ac:dyDescent="0.25">
      <c r="A130" s="147"/>
      <c r="B130" s="165" t="s">
        <v>258</v>
      </c>
      <c r="C130" s="158">
        <f>SUM(C124:C129)</f>
        <v>3437777</v>
      </c>
      <c r="D130" s="158">
        <f>SUM(D124:D129)</f>
        <v>3388174</v>
      </c>
      <c r="E130" s="158">
        <f t="shared" si="6"/>
        <v>-49603</v>
      </c>
      <c r="F130" s="159">
        <f t="shared" si="7"/>
        <v>-1.4428800937349922E-2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4898870</v>
      </c>
      <c r="D133" s="157">
        <v>4660360</v>
      </c>
      <c r="E133" s="157">
        <f t="shared" ref="E133:E167" si="8">D133-C133</f>
        <v>-238510</v>
      </c>
      <c r="F133" s="161">
        <f t="shared" ref="F133:F167" si="9">IF(C133=0,0,E133/C133)</f>
        <v>-4.8686737962019812E-2</v>
      </c>
    </row>
    <row r="134" spans="1:6" ht="15" customHeight="1" x14ac:dyDescent="0.2">
      <c r="A134" s="147">
        <v>2</v>
      </c>
      <c r="B134" s="169" t="s">
        <v>261</v>
      </c>
      <c r="C134" s="157">
        <v>251703</v>
      </c>
      <c r="D134" s="157">
        <v>254549</v>
      </c>
      <c r="E134" s="157">
        <f t="shared" si="8"/>
        <v>2846</v>
      </c>
      <c r="F134" s="161">
        <f t="shared" si="9"/>
        <v>1.1306976873537463E-2</v>
      </c>
    </row>
    <row r="135" spans="1:6" ht="15" customHeight="1" x14ac:dyDescent="0.2">
      <c r="A135" s="147">
        <v>3</v>
      </c>
      <c r="B135" s="169" t="s">
        <v>262</v>
      </c>
      <c r="C135" s="157">
        <v>0</v>
      </c>
      <c r="D135" s="157">
        <v>0</v>
      </c>
      <c r="E135" s="157">
        <f t="shared" si="8"/>
        <v>0</v>
      </c>
      <c r="F135" s="161">
        <f t="shared" si="9"/>
        <v>0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2772030</v>
      </c>
      <c r="D137" s="157">
        <v>2735971</v>
      </c>
      <c r="E137" s="157">
        <f t="shared" si="8"/>
        <v>-36059</v>
      </c>
      <c r="F137" s="161">
        <f t="shared" si="9"/>
        <v>-1.3008156477383001E-2</v>
      </c>
    </row>
    <row r="138" spans="1:6" ht="15" customHeight="1" x14ac:dyDescent="0.2">
      <c r="A138" s="147">
        <v>6</v>
      </c>
      <c r="B138" s="169" t="s">
        <v>265</v>
      </c>
      <c r="C138" s="157">
        <v>588745</v>
      </c>
      <c r="D138" s="157">
        <v>566706</v>
      </c>
      <c r="E138" s="157">
        <f t="shared" si="8"/>
        <v>-22039</v>
      </c>
      <c r="F138" s="161">
        <f t="shared" si="9"/>
        <v>-3.7433863557227665E-2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538971</v>
      </c>
      <c r="D140" s="157">
        <v>489792</v>
      </c>
      <c r="E140" s="157">
        <f t="shared" si="8"/>
        <v>-49179</v>
      </c>
      <c r="F140" s="161">
        <f t="shared" si="9"/>
        <v>-9.1246096728766476E-2</v>
      </c>
    </row>
    <row r="141" spans="1:6" ht="15" customHeight="1" x14ac:dyDescent="0.2">
      <c r="A141" s="147">
        <v>9</v>
      </c>
      <c r="B141" s="169" t="s">
        <v>268</v>
      </c>
      <c r="C141" s="157">
        <v>376574</v>
      </c>
      <c r="D141" s="157">
        <v>452906</v>
      </c>
      <c r="E141" s="157">
        <f t="shared" si="8"/>
        <v>76332</v>
      </c>
      <c r="F141" s="161">
        <f t="shared" si="9"/>
        <v>0.20270119551535687</v>
      </c>
    </row>
    <row r="142" spans="1:6" ht="15" customHeight="1" x14ac:dyDescent="0.2">
      <c r="A142" s="147">
        <v>10</v>
      </c>
      <c r="B142" s="169" t="s">
        <v>269</v>
      </c>
      <c r="C142" s="157">
        <v>3035914</v>
      </c>
      <c r="D142" s="157">
        <v>3173909</v>
      </c>
      <c r="E142" s="157">
        <f t="shared" si="8"/>
        <v>137995</v>
      </c>
      <c r="F142" s="161">
        <f t="shared" si="9"/>
        <v>4.5454186119896677E-2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562469</v>
      </c>
      <c r="D144" s="157">
        <v>594274</v>
      </c>
      <c r="E144" s="157">
        <f t="shared" si="8"/>
        <v>31805</v>
      </c>
      <c r="F144" s="161">
        <f t="shared" si="9"/>
        <v>5.6545338498655034E-2</v>
      </c>
    </row>
    <row r="145" spans="1:6" ht="15" customHeight="1" x14ac:dyDescent="0.2">
      <c r="A145" s="147">
        <v>13</v>
      </c>
      <c r="B145" s="169" t="s">
        <v>272</v>
      </c>
      <c r="C145" s="157">
        <v>139827</v>
      </c>
      <c r="D145" s="157">
        <v>123912</v>
      </c>
      <c r="E145" s="157">
        <f t="shared" si="8"/>
        <v>-15915</v>
      </c>
      <c r="F145" s="161">
        <f t="shared" si="9"/>
        <v>-0.113819219464052</v>
      </c>
    </row>
    <row r="146" spans="1:6" ht="15" customHeight="1" x14ac:dyDescent="0.2">
      <c r="A146" s="147">
        <v>14</v>
      </c>
      <c r="B146" s="169" t="s">
        <v>273</v>
      </c>
      <c r="C146" s="157">
        <v>387281</v>
      </c>
      <c r="D146" s="157">
        <v>89708</v>
      </c>
      <c r="E146" s="157">
        <f t="shared" si="8"/>
        <v>-297573</v>
      </c>
      <c r="F146" s="161">
        <f t="shared" si="9"/>
        <v>-0.76836457249387391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1072504</v>
      </c>
      <c r="D150" s="157">
        <v>1066727</v>
      </c>
      <c r="E150" s="157">
        <f t="shared" si="8"/>
        <v>-5777</v>
      </c>
      <c r="F150" s="161">
        <f t="shared" si="9"/>
        <v>-5.386460097118519E-3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6062208</v>
      </c>
      <c r="D156" s="157">
        <v>5452143</v>
      </c>
      <c r="E156" s="157">
        <f t="shared" si="8"/>
        <v>-610065</v>
      </c>
      <c r="F156" s="161">
        <f t="shared" si="9"/>
        <v>-0.10063412538797745</v>
      </c>
    </row>
    <row r="157" spans="1:6" ht="15" customHeight="1" x14ac:dyDescent="0.2">
      <c r="A157" s="147">
        <v>25</v>
      </c>
      <c r="B157" s="169" t="s">
        <v>284</v>
      </c>
      <c r="C157" s="157">
        <v>433001</v>
      </c>
      <c r="D157" s="157">
        <v>484030</v>
      </c>
      <c r="E157" s="157">
        <f t="shared" si="8"/>
        <v>51029</v>
      </c>
      <c r="F157" s="161">
        <f t="shared" si="9"/>
        <v>0.11784961235655345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0</v>
      </c>
      <c r="D160" s="157">
        <v>0</v>
      </c>
      <c r="E160" s="157">
        <f t="shared" si="8"/>
        <v>0</v>
      </c>
      <c r="F160" s="161">
        <f t="shared" si="9"/>
        <v>0</v>
      </c>
    </row>
    <row r="161" spans="1:6" ht="15" customHeight="1" x14ac:dyDescent="0.2">
      <c r="A161" s="147">
        <v>29</v>
      </c>
      <c r="B161" s="169" t="s">
        <v>288</v>
      </c>
      <c r="C161" s="157">
        <v>604951</v>
      </c>
      <c r="D161" s="157">
        <v>517841</v>
      </c>
      <c r="E161" s="157">
        <f t="shared" si="8"/>
        <v>-87110</v>
      </c>
      <c r="F161" s="161">
        <f t="shared" si="9"/>
        <v>-0.14399513349015045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2053707</v>
      </c>
      <c r="D164" s="157">
        <v>2015145</v>
      </c>
      <c r="E164" s="157">
        <f t="shared" si="8"/>
        <v>-38562</v>
      </c>
      <c r="F164" s="161">
        <f t="shared" si="9"/>
        <v>-1.8776777797417061E-2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3727494</v>
      </c>
      <c r="D166" s="157">
        <v>3053876</v>
      </c>
      <c r="E166" s="157">
        <f t="shared" si="8"/>
        <v>-673618</v>
      </c>
      <c r="F166" s="161">
        <f t="shared" si="9"/>
        <v>-0.18071605212510067</v>
      </c>
    </row>
    <row r="167" spans="1:6" ht="15.75" customHeight="1" x14ac:dyDescent="0.25">
      <c r="A167" s="147"/>
      <c r="B167" s="165" t="s">
        <v>294</v>
      </c>
      <c r="C167" s="158">
        <f>SUM(C133:C166)</f>
        <v>27506249</v>
      </c>
      <c r="D167" s="158">
        <f>SUM(D133:D166)</f>
        <v>25731849</v>
      </c>
      <c r="E167" s="158">
        <f t="shared" si="8"/>
        <v>-1774400</v>
      </c>
      <c r="F167" s="159">
        <f t="shared" si="9"/>
        <v>-6.4508977578149607E-2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4327283</v>
      </c>
      <c r="D170" s="157">
        <v>3863343</v>
      </c>
      <c r="E170" s="157">
        <f t="shared" ref="E170:E183" si="10">D170-C170</f>
        <v>-463940</v>
      </c>
      <c r="F170" s="161">
        <f t="shared" ref="F170:F183" si="11">IF(C170=0,0,E170/C170)</f>
        <v>-0.10721277069237209</v>
      </c>
    </row>
    <row r="171" spans="1:6" ht="15" customHeight="1" x14ac:dyDescent="0.2">
      <c r="A171" s="147">
        <v>2</v>
      </c>
      <c r="B171" s="169" t="s">
        <v>297</v>
      </c>
      <c r="C171" s="157">
        <v>2452866</v>
      </c>
      <c r="D171" s="157">
        <v>1470441</v>
      </c>
      <c r="E171" s="157">
        <f t="shared" si="10"/>
        <v>-982425</v>
      </c>
      <c r="F171" s="161">
        <f t="shared" si="11"/>
        <v>-0.4005212677741059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0</v>
      </c>
      <c r="D173" s="157">
        <v>0</v>
      </c>
      <c r="E173" s="157">
        <f t="shared" si="10"/>
        <v>0</v>
      </c>
      <c r="F173" s="161">
        <f t="shared" si="11"/>
        <v>0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3021423</v>
      </c>
      <c r="D175" s="157">
        <v>3511886</v>
      </c>
      <c r="E175" s="157">
        <f t="shared" si="10"/>
        <v>490463</v>
      </c>
      <c r="F175" s="161">
        <f t="shared" si="11"/>
        <v>0.16232847899814093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1122685</v>
      </c>
      <c r="D179" s="157">
        <v>1043623</v>
      </c>
      <c r="E179" s="157">
        <f t="shared" si="10"/>
        <v>-79062</v>
      </c>
      <c r="F179" s="161">
        <f t="shared" si="11"/>
        <v>-7.0422246667587077E-2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993502</v>
      </c>
      <c r="D181" s="157">
        <v>433806</v>
      </c>
      <c r="E181" s="157">
        <f t="shared" si="10"/>
        <v>-559696</v>
      </c>
      <c r="F181" s="161">
        <f t="shared" si="11"/>
        <v>-0.56335669178320724</v>
      </c>
    </row>
    <row r="182" spans="1:6" ht="15" customHeight="1" x14ac:dyDescent="0.2">
      <c r="A182" s="147">
        <v>13</v>
      </c>
      <c r="B182" s="169" t="s">
        <v>308</v>
      </c>
      <c r="C182" s="157">
        <v>509083</v>
      </c>
      <c r="D182" s="157">
        <v>616808</v>
      </c>
      <c r="E182" s="157">
        <f t="shared" si="10"/>
        <v>107725</v>
      </c>
      <c r="F182" s="161">
        <f t="shared" si="11"/>
        <v>0.21160596602125784</v>
      </c>
    </row>
    <row r="183" spans="1:6" ht="15.75" customHeight="1" x14ac:dyDescent="0.25">
      <c r="A183" s="147"/>
      <c r="B183" s="165" t="s">
        <v>309</v>
      </c>
      <c r="C183" s="158">
        <f>SUM(C170:C182)</f>
        <v>12426842</v>
      </c>
      <c r="D183" s="158">
        <f>SUM(D170:D182)</f>
        <v>10939907</v>
      </c>
      <c r="E183" s="158">
        <f t="shared" si="10"/>
        <v>-1486935</v>
      </c>
      <c r="F183" s="159">
        <f t="shared" si="11"/>
        <v>-0.11965509821401125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16997316</v>
      </c>
      <c r="D186" s="157">
        <v>18205319</v>
      </c>
      <c r="E186" s="157">
        <f>D186-C186</f>
        <v>1208003</v>
      </c>
      <c r="F186" s="161">
        <f>IF(C186=0,0,E186/C186)</f>
        <v>7.1070220733673486E-2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86761524</v>
      </c>
      <c r="D188" s="158">
        <f>+D186+D183+D167+D130+D121</f>
        <v>81612663</v>
      </c>
      <c r="E188" s="158">
        <f>D188-C188</f>
        <v>-5148861</v>
      </c>
      <c r="F188" s="159">
        <f>IF(C188=0,0,E188/C188)</f>
        <v>-5.9344981077095876E-2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FILING&amp;RWINDHAM COMMUNITY MEMORIAL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zoomScale="75" zoomScaleNormal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77506994</v>
      </c>
      <c r="D11" s="183">
        <v>77601420</v>
      </c>
      <c r="E11" s="76">
        <v>66924838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5491687</v>
      </c>
      <c r="D12" s="185">
        <v>4764423</v>
      </c>
      <c r="E12" s="185">
        <v>2823266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82998681</v>
      </c>
      <c r="D13" s="76">
        <f>+D11+D12</f>
        <v>82365843</v>
      </c>
      <c r="E13" s="76">
        <f>+E11+E12</f>
        <v>69748104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86792851</v>
      </c>
      <c r="D14" s="185">
        <v>86761524</v>
      </c>
      <c r="E14" s="185">
        <v>81612663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-3794170</v>
      </c>
      <c r="D15" s="76">
        <f>+D13-D14</f>
        <v>-4395681</v>
      </c>
      <c r="E15" s="76">
        <f>+E13-E14</f>
        <v>-11864559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-739009</v>
      </c>
      <c r="D16" s="185">
        <v>-1156978</v>
      </c>
      <c r="E16" s="185">
        <v>-1140890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-4533179</v>
      </c>
      <c r="D17" s="76">
        <f>D15+D16</f>
        <v>-5552659</v>
      </c>
      <c r="E17" s="76">
        <f>E15+E16</f>
        <v>-13005449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-4.6124302562256754E-2</v>
      </c>
      <c r="D20" s="189">
        <f>IF(+D27=0,0,+D24/+D27)</f>
        <v>-5.4128093035163097E-2</v>
      </c>
      <c r="E20" s="189">
        <f>IF(+E27=0,0,+E24/+E27)</f>
        <v>-0.17293456924223741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-8.983855418241881E-3</v>
      </c>
      <c r="D21" s="189">
        <f>IF(D27=0,0,+D26/D27)</f>
        <v>-1.4246942128793452E-2</v>
      </c>
      <c r="E21" s="189">
        <f>IF(E27=0,0,+E26/E27)</f>
        <v>-1.6629300819590197E-2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-5.5108157980498632E-2</v>
      </c>
      <c r="D22" s="189">
        <f>IF(D27=0,0,+D28/D27)</f>
        <v>-6.8375035163956543E-2</v>
      </c>
      <c r="E22" s="189">
        <f>IF(E27=0,0,+E28/E27)</f>
        <v>-0.18956387006182762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-3794170</v>
      </c>
      <c r="D24" s="76">
        <f>+D15</f>
        <v>-4395681</v>
      </c>
      <c r="E24" s="76">
        <f>+E15</f>
        <v>-11864559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82998681</v>
      </c>
      <c r="D25" s="76">
        <f>+D13</f>
        <v>82365843</v>
      </c>
      <c r="E25" s="76">
        <f>+E13</f>
        <v>69748104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-739009</v>
      </c>
      <c r="D26" s="76">
        <f>+D16</f>
        <v>-1156978</v>
      </c>
      <c r="E26" s="76">
        <f>+E16</f>
        <v>-1140890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82259672</v>
      </c>
      <c r="D27" s="76">
        <f>+D25+D26</f>
        <v>81208865</v>
      </c>
      <c r="E27" s="76">
        <f>+E25+E26</f>
        <v>68607214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-4533179</v>
      </c>
      <c r="D28" s="76">
        <f>+D17</f>
        <v>-5552659</v>
      </c>
      <c r="E28" s="76">
        <f>+E17</f>
        <v>-13005449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-39450280</v>
      </c>
      <c r="D31" s="76">
        <v>-55316980</v>
      </c>
      <c r="E31" s="76">
        <v>-69976704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-33207929</v>
      </c>
      <c r="D32" s="76">
        <v>-49243538</v>
      </c>
      <c r="E32" s="76">
        <v>-63416847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-25758472</v>
      </c>
      <c r="D33" s="76">
        <f>+D32-C32</f>
        <v>-16035609</v>
      </c>
      <c r="E33" s="76">
        <f>+E32-D32</f>
        <v>-14173309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4.4577</v>
      </c>
      <c r="D34" s="193">
        <f>IF(C32=0,0,+D33/C32)</f>
        <v>0.48288494594167558</v>
      </c>
      <c r="E34" s="193">
        <f>IF(D32=0,0,+E33/D32)</f>
        <v>0.28782068826979895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0.4255459371800589</v>
      </c>
      <c r="D38" s="195">
        <f>IF((D40+D41)=0,0,+D39/(D40+D41))</f>
        <v>0.43153983715944261</v>
      </c>
      <c r="E38" s="195">
        <f>IF((E40+E41)=0,0,+E39/(E40+E41))</f>
        <v>0.4586515772280409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86792851</v>
      </c>
      <c r="D39" s="76">
        <v>86761524</v>
      </c>
      <c r="E39" s="196">
        <v>81612663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198464792</v>
      </c>
      <c r="D40" s="76">
        <v>196286597</v>
      </c>
      <c r="E40" s="196">
        <v>175117173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5491687</v>
      </c>
      <c r="D41" s="76">
        <v>4764422</v>
      </c>
      <c r="E41" s="196">
        <v>2823266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1.2007378965500626</v>
      </c>
      <c r="D43" s="197">
        <f>IF(D38=0,0,IF((D46-D47)=0,0,((+D44-D45)/(D46-D47)/D38)))</f>
        <v>1.3249115883866815</v>
      </c>
      <c r="E43" s="197">
        <f>IF(E38=0,0,IF((E46-E47)=0,0,((+E44-E45)/(E46-E47)/E38)))</f>
        <v>1.2426679487858523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33275786</v>
      </c>
      <c r="D44" s="76">
        <v>33420933</v>
      </c>
      <c r="E44" s="196">
        <v>31092510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108661</v>
      </c>
      <c r="D45" s="76">
        <v>103360</v>
      </c>
      <c r="E45" s="196">
        <v>109421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69215560</v>
      </c>
      <c r="D46" s="76">
        <v>62169830</v>
      </c>
      <c r="E46" s="196">
        <v>58005923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4305328</v>
      </c>
      <c r="D47" s="76">
        <v>3897073</v>
      </c>
      <c r="E47" s="76">
        <v>3645012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0.93451345129030927</v>
      </c>
      <c r="D49" s="198">
        <f>IF(D38=0,0,IF(D51=0,0,(D50/D51)/D38))</f>
        <v>0.94516558114694371</v>
      </c>
      <c r="E49" s="198">
        <f>IF(E38=0,0,IF(E51=0,0,(E50/E51)/E38))</f>
        <v>0.78627828699029656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32361251</v>
      </c>
      <c r="D50" s="199">
        <v>33564927</v>
      </c>
      <c r="E50" s="199">
        <v>26143702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81375430</v>
      </c>
      <c r="D51" s="199">
        <v>82291867</v>
      </c>
      <c r="E51" s="199">
        <v>72494976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0.57764084637186641</v>
      </c>
      <c r="D53" s="198">
        <f>IF(D38=0,0,IF(D55=0,0,(D54/D55)/D38))</f>
        <v>0.56039252828414343</v>
      </c>
      <c r="E53" s="198">
        <f>IF(E38=0,0,IF(E55=0,0,(E54/E55)/E38))</f>
        <v>0.5131316432004509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11479868</v>
      </c>
      <c r="D54" s="199">
        <v>12185289</v>
      </c>
      <c r="E54" s="199">
        <v>10237814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46701685</v>
      </c>
      <c r="D55" s="199">
        <v>50387476</v>
      </c>
      <c r="E55" s="199">
        <v>43500630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3055134.7131749121</v>
      </c>
      <c r="D57" s="88">
        <f>+D60*D38</f>
        <v>2878057.8474715417</v>
      </c>
      <c r="E57" s="88">
        <f>+E60*E38</f>
        <v>2656450.7692513503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2523150</v>
      </c>
      <c r="D58" s="199">
        <v>1994173</v>
      </c>
      <c r="E58" s="199">
        <v>1466425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4656180</v>
      </c>
      <c r="D59" s="199">
        <v>4675102</v>
      </c>
      <c r="E59" s="199">
        <v>4325446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7179330</v>
      </c>
      <c r="D60" s="76">
        <v>6669275</v>
      </c>
      <c r="E60" s="201">
        <v>5791871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3.5200303688317738E-2</v>
      </c>
      <c r="D62" s="202">
        <f>IF(D63=0,0,+D57/D63)</f>
        <v>3.3172052711655249E-2</v>
      </c>
      <c r="E62" s="202">
        <f>IF(E63=0,0,+E57/E63)</f>
        <v>3.2549492586111915E-2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86792851</v>
      </c>
      <c r="D63" s="199">
        <v>86761524</v>
      </c>
      <c r="E63" s="199">
        <v>81612663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1.0651211317703848</v>
      </c>
      <c r="D67" s="203">
        <f>IF(D69=0,0,D68/D69)</f>
        <v>0.72279498899326433</v>
      </c>
      <c r="E67" s="203">
        <f>IF(E69=0,0,E68/E69)</f>
        <v>0.871045667853656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20046108</v>
      </c>
      <c r="D68" s="204">
        <v>17222201</v>
      </c>
      <c r="E68" s="204">
        <v>15281228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18820496</v>
      </c>
      <c r="D69" s="204">
        <v>23827228</v>
      </c>
      <c r="E69" s="204">
        <v>17543544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29.854985413523561</v>
      </c>
      <c r="D71" s="203">
        <f>IF((D77/365)=0,0,+D74/(D77/365))</f>
        <v>22.726776825706434</v>
      </c>
      <c r="E71" s="203">
        <f>IF((E77/365)=0,0,+E74/(E77/365))</f>
        <v>23.84137296632441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6754329</v>
      </c>
      <c r="D72" s="183">
        <v>5138008</v>
      </c>
      <c r="E72" s="183">
        <v>5077410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6754329</v>
      </c>
      <c r="D74" s="204">
        <f>+D72+D73</f>
        <v>5138008</v>
      </c>
      <c r="E74" s="204">
        <f>+E72+E73</f>
        <v>5077410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86792851</v>
      </c>
      <c r="D75" s="204">
        <f>+D14</f>
        <v>86761524</v>
      </c>
      <c r="E75" s="204">
        <f>+E14</f>
        <v>81612663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4216020</v>
      </c>
      <c r="D76" s="204">
        <v>4243315</v>
      </c>
      <c r="E76" s="204">
        <v>3879948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82576831</v>
      </c>
      <c r="D77" s="204">
        <f>+D75-D76</f>
        <v>82518209</v>
      </c>
      <c r="E77" s="204">
        <f>+E75-E76</f>
        <v>77732715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28.269957869866555</v>
      </c>
      <c r="D79" s="203">
        <f>IF((D84/365)=0,0,+D83/(D84/365))</f>
        <v>26.339037481530621</v>
      </c>
      <c r="E79" s="203">
        <f>IF((E84/365)=0,0,+E83/(E84/365))</f>
        <v>28.207284640718889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9382464</v>
      </c>
      <c r="D80" s="212">
        <v>8372415</v>
      </c>
      <c r="E80" s="212">
        <v>7065829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3379397</v>
      </c>
      <c r="D82" s="212">
        <v>2772561</v>
      </c>
      <c r="E82" s="212">
        <v>1893862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6003067</v>
      </c>
      <c r="D83" s="212">
        <f>+D80+D81-D82</f>
        <v>5599854</v>
      </c>
      <c r="E83" s="212">
        <f>+E80+E81-E82</f>
        <v>5171967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77506994</v>
      </c>
      <c r="D84" s="204">
        <f>+D11</f>
        <v>77601420</v>
      </c>
      <c r="E84" s="204">
        <f>+E11</f>
        <v>66924838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83.188964226539525</v>
      </c>
      <c r="D86" s="203">
        <f>IF((D90/365)=0,0,+D87/(D90/365))</f>
        <v>105.39417087930254</v>
      </c>
      <c r="E86" s="203">
        <f>IF((E90/365)=0,0,+E87/(E90/365))</f>
        <v>82.377073282465432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18820496</v>
      </c>
      <c r="D87" s="76">
        <f>+D69</f>
        <v>23827228</v>
      </c>
      <c r="E87" s="76">
        <f>+E69</f>
        <v>17543544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86792851</v>
      </c>
      <c r="D88" s="76">
        <f t="shared" si="0"/>
        <v>86761524</v>
      </c>
      <c r="E88" s="76">
        <f t="shared" si="0"/>
        <v>81612663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4216020</v>
      </c>
      <c r="D89" s="201">
        <f t="shared" si="0"/>
        <v>4243315</v>
      </c>
      <c r="E89" s="201">
        <f t="shared" si="0"/>
        <v>3879948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82576831</v>
      </c>
      <c r="D90" s="76">
        <f>+D88-D89</f>
        <v>82518209</v>
      </c>
      <c r="E90" s="76">
        <f>+E88-E89</f>
        <v>77732715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-45.969782942784761</v>
      </c>
      <c r="D94" s="214">
        <f>IF(D96=0,0,(D95/D96)*100)</f>
        <v>-74.108139363496548</v>
      </c>
      <c r="E94" s="214">
        <f>IF(E96=0,0,(E95/E96)*100)</f>
        <v>-103.16405507536102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-33207929</v>
      </c>
      <c r="D95" s="76">
        <f>+D32</f>
        <v>-49243538</v>
      </c>
      <c r="E95" s="76">
        <f>+E32</f>
        <v>-63416847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72238603</v>
      </c>
      <c r="D96" s="76">
        <v>66448218</v>
      </c>
      <c r="E96" s="76">
        <v>61471844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-0.62965187661706656</v>
      </c>
      <c r="D98" s="214">
        <f>IF(D104=0,0,(D101/D104)*100)</f>
        <v>-2.3809267932983302</v>
      </c>
      <c r="E98" s="214">
        <f>IF(E104=0,0,(E101/E104)*100)</f>
        <v>-18.861778061415787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-4533179</v>
      </c>
      <c r="D99" s="76">
        <f>+D28</f>
        <v>-5552659</v>
      </c>
      <c r="E99" s="76">
        <f>+E28</f>
        <v>-13005449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4216020</v>
      </c>
      <c r="D100" s="201">
        <f>+D76</f>
        <v>4243315</v>
      </c>
      <c r="E100" s="201">
        <f>+E76</f>
        <v>3879948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-317159</v>
      </c>
      <c r="D101" s="76">
        <f>+D99+D100</f>
        <v>-1309344</v>
      </c>
      <c r="E101" s="76">
        <f>+E99+E100</f>
        <v>-9125501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18820496</v>
      </c>
      <c r="D102" s="204">
        <f>+D69</f>
        <v>23827228</v>
      </c>
      <c r="E102" s="204">
        <f>+E69</f>
        <v>17543544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31550036</v>
      </c>
      <c r="D103" s="216">
        <v>31165811</v>
      </c>
      <c r="E103" s="216">
        <v>30837372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50370532</v>
      </c>
      <c r="D104" s="204">
        <f>+D102+D103</f>
        <v>54993039</v>
      </c>
      <c r="E104" s="204">
        <f>+E102+E103</f>
        <v>48380916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-1903.0200380844842</v>
      </c>
      <c r="D106" s="214">
        <f>IF(D109=0,0,(D107/D109)*100)</f>
        <v>-172.39894705789064</v>
      </c>
      <c r="E106" s="214">
        <f>IF(E109=0,0,(E107/E109)*100)</f>
        <v>-94.652759137463079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31550036</v>
      </c>
      <c r="D107" s="204">
        <f>+D103</f>
        <v>31165811</v>
      </c>
      <c r="E107" s="204">
        <f>+E103</f>
        <v>30837372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-33207929</v>
      </c>
      <c r="D108" s="204">
        <f>+D32</f>
        <v>-49243538</v>
      </c>
      <c r="E108" s="204">
        <f>+E32</f>
        <v>-63416847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-1657893</v>
      </c>
      <c r="D109" s="204">
        <f>+D107+D108</f>
        <v>-18077727</v>
      </c>
      <c r="E109" s="204">
        <f>+E107+E108</f>
        <v>-32579475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6.442384355880508E-2</v>
      </c>
      <c r="D111" s="214">
        <f>IF((+D113+D115)=0,0,((+D112+D113+D114)/(+D113+D115)))</f>
        <v>9.6239170024410903E-2</v>
      </c>
      <c r="E111" s="214">
        <f>IF((+E113+E115)=0,0,((+E112+E113+E114)/(+E113+E115)))</f>
        <v>-3.4225644282309231</v>
      </c>
    </row>
    <row r="112" spans="1:6" ht="24" customHeight="1" x14ac:dyDescent="0.2">
      <c r="A112" s="85">
        <v>16</v>
      </c>
      <c r="B112" s="75" t="s">
        <v>373</v>
      </c>
      <c r="C112" s="218">
        <f>+C17</f>
        <v>-4533179</v>
      </c>
      <c r="D112" s="76">
        <f>+D17</f>
        <v>-5552659</v>
      </c>
      <c r="E112" s="76">
        <f>+E17</f>
        <v>-13005449</v>
      </c>
    </row>
    <row r="113" spans="1:8" ht="24" customHeight="1" x14ac:dyDescent="0.2">
      <c r="A113" s="85">
        <v>17</v>
      </c>
      <c r="B113" s="75" t="s">
        <v>88</v>
      </c>
      <c r="C113" s="218">
        <v>1430212</v>
      </c>
      <c r="D113" s="76">
        <v>1698978</v>
      </c>
      <c r="E113" s="76">
        <v>1785086</v>
      </c>
    </row>
    <row r="114" spans="1:8" ht="24" customHeight="1" x14ac:dyDescent="0.2">
      <c r="A114" s="85">
        <v>18</v>
      </c>
      <c r="B114" s="75" t="s">
        <v>374</v>
      </c>
      <c r="C114" s="218">
        <v>4216020</v>
      </c>
      <c r="D114" s="76">
        <v>4243315</v>
      </c>
      <c r="E114" s="76">
        <v>3879948</v>
      </c>
    </row>
    <row r="115" spans="1:8" ht="24" customHeight="1" x14ac:dyDescent="0.2">
      <c r="A115" s="85">
        <v>19</v>
      </c>
      <c r="B115" s="75" t="s">
        <v>104</v>
      </c>
      <c r="C115" s="218">
        <v>15846823</v>
      </c>
      <c r="D115" s="76">
        <v>2349623</v>
      </c>
      <c r="E115" s="76">
        <v>359626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18.584796324495613</v>
      </c>
      <c r="D119" s="214">
        <f>IF(+D121=0,0,(+D120)/(+D121))</f>
        <v>19.429680332475908</v>
      </c>
      <c r="E119" s="214">
        <f>IF(+E121=0,0,(+E120)/(+E121))</f>
        <v>22.209025739520222</v>
      </c>
    </row>
    <row r="120" spans="1:8" ht="24" customHeight="1" x14ac:dyDescent="0.2">
      <c r="A120" s="85">
        <v>21</v>
      </c>
      <c r="B120" s="75" t="s">
        <v>378</v>
      </c>
      <c r="C120" s="218">
        <v>78353873</v>
      </c>
      <c r="D120" s="218">
        <v>82446254</v>
      </c>
      <c r="E120" s="218">
        <v>86169865</v>
      </c>
    </row>
    <row r="121" spans="1:8" ht="24" customHeight="1" x14ac:dyDescent="0.2">
      <c r="A121" s="85">
        <v>22</v>
      </c>
      <c r="B121" s="75" t="s">
        <v>374</v>
      </c>
      <c r="C121" s="218">
        <v>4216020</v>
      </c>
      <c r="D121" s="218">
        <v>4243315</v>
      </c>
      <c r="E121" s="218">
        <v>3879948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13225</v>
      </c>
      <c r="D124" s="218">
        <v>12214</v>
      </c>
      <c r="E124" s="218">
        <v>8594</v>
      </c>
    </row>
    <row r="125" spans="1:8" ht="24" customHeight="1" x14ac:dyDescent="0.2">
      <c r="A125" s="85">
        <v>2</v>
      </c>
      <c r="B125" s="75" t="s">
        <v>381</v>
      </c>
      <c r="C125" s="218">
        <v>3427</v>
      </c>
      <c r="D125" s="218">
        <v>2901</v>
      </c>
      <c r="E125" s="218">
        <v>2225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3.8590604026845639</v>
      </c>
      <c r="D126" s="219">
        <f>IF(D125=0,0,D124/D125)</f>
        <v>4.2102723198896932</v>
      </c>
      <c r="E126" s="219">
        <f>IF(E125=0,0,E124/E125)</f>
        <v>3.8624719101123595</v>
      </c>
    </row>
    <row r="127" spans="1:8" ht="24" customHeight="1" x14ac:dyDescent="0.2">
      <c r="A127" s="85">
        <v>4</v>
      </c>
      <c r="B127" s="75" t="s">
        <v>383</v>
      </c>
      <c r="C127" s="218">
        <v>87</v>
      </c>
      <c r="D127" s="218">
        <v>87</v>
      </c>
      <c r="E127" s="218">
        <v>87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144</v>
      </c>
      <c r="E128" s="218">
        <v>144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144</v>
      </c>
      <c r="D129" s="218">
        <v>144</v>
      </c>
      <c r="E129" s="218">
        <v>144</v>
      </c>
    </row>
    <row r="130" spans="1:7" ht="24" customHeight="1" x14ac:dyDescent="0.2">
      <c r="A130" s="85">
        <v>7</v>
      </c>
      <c r="B130" s="75" t="s">
        <v>386</v>
      </c>
      <c r="C130" s="193">
        <v>0.41639999999999999</v>
      </c>
      <c r="D130" s="193">
        <v>0.3846</v>
      </c>
      <c r="E130" s="193">
        <v>0.27060000000000001</v>
      </c>
    </row>
    <row r="131" spans="1:7" ht="24" customHeight="1" x14ac:dyDescent="0.2">
      <c r="A131" s="85">
        <v>8</v>
      </c>
      <c r="B131" s="75" t="s">
        <v>387</v>
      </c>
      <c r="C131" s="193">
        <v>0.25159999999999999</v>
      </c>
      <c r="D131" s="193">
        <v>0.23230000000000001</v>
      </c>
      <c r="E131" s="193">
        <v>0.16350000000000001</v>
      </c>
    </row>
    <row r="132" spans="1:7" ht="24" customHeight="1" x14ac:dyDescent="0.2">
      <c r="A132" s="85">
        <v>9</v>
      </c>
      <c r="B132" s="75" t="s">
        <v>388</v>
      </c>
      <c r="C132" s="219">
        <v>501</v>
      </c>
      <c r="D132" s="219">
        <v>477.7</v>
      </c>
      <c r="E132" s="219">
        <v>408.2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0.3270616986815475</v>
      </c>
      <c r="D135" s="227">
        <f>IF(D149=0,0,D143/D149)</f>
        <v>0.2968758839912029</v>
      </c>
      <c r="E135" s="227">
        <f>IF(E149=0,0,E143/E149)</f>
        <v>0.3104259283582656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0.41002451457485717</v>
      </c>
      <c r="D136" s="227">
        <f>IF(D149=0,0,D144/D149)</f>
        <v>0.41924343413014592</v>
      </c>
      <c r="E136" s="227">
        <f>IF(E149=0,0,E144/E149)</f>
        <v>0.41397982138507911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0.2353147101275273</v>
      </c>
      <c r="D137" s="227">
        <f>IF(D149=0,0,D145/D149)</f>
        <v>0.25670359958403072</v>
      </c>
      <c r="E137" s="227">
        <f>IF(E149=0,0,E145/E149)</f>
        <v>0.24840870403955184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2.8127104781386111E-3</v>
      </c>
      <c r="D138" s="227">
        <f>IF(D149=0,0,D146/D149)</f>
        <v>3.4456657272427011E-3</v>
      </c>
      <c r="E138" s="227">
        <f>IF(E149=0,0,E146/E149)</f>
        <v>3.3800625595983096E-3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2.1693157545042044E-2</v>
      </c>
      <c r="D139" s="227">
        <f>IF(D149=0,0,D147/D149)</f>
        <v>1.9853994412058609E-2</v>
      </c>
      <c r="E139" s="227">
        <f>IF(E149=0,0,E147/E149)</f>
        <v>2.0814703307253594E-2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3.0932085928873469E-3</v>
      </c>
      <c r="D140" s="227">
        <f>IF(D149=0,0,D148/D149)</f>
        <v>3.8774221553191427E-3</v>
      </c>
      <c r="E140" s="227">
        <f>IF(E149=0,0,E148/E149)</f>
        <v>2.9907803502515428E-3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64910232</v>
      </c>
      <c r="D143" s="229">
        <f>+D46-D147</f>
        <v>58272757</v>
      </c>
      <c r="E143" s="229">
        <f>+E46-E147</f>
        <v>54360911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81375430</v>
      </c>
      <c r="D144" s="229">
        <f>+D51</f>
        <v>82291867</v>
      </c>
      <c r="E144" s="229">
        <f>+E51</f>
        <v>72494976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46701685</v>
      </c>
      <c r="D145" s="229">
        <f>+D55</f>
        <v>50387476</v>
      </c>
      <c r="E145" s="229">
        <f>+E55</f>
        <v>43500630</v>
      </c>
    </row>
    <row r="146" spans="1:7" ht="20.100000000000001" customHeight="1" x14ac:dyDescent="0.2">
      <c r="A146" s="226">
        <v>11</v>
      </c>
      <c r="B146" s="224" t="s">
        <v>400</v>
      </c>
      <c r="C146" s="228">
        <v>558224</v>
      </c>
      <c r="D146" s="229">
        <v>676338</v>
      </c>
      <c r="E146" s="229">
        <v>591907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4305328</v>
      </c>
      <c r="D147" s="229">
        <f>+D47</f>
        <v>3897073</v>
      </c>
      <c r="E147" s="229">
        <f>+E47</f>
        <v>3645012</v>
      </c>
    </row>
    <row r="148" spans="1:7" ht="20.100000000000001" customHeight="1" x14ac:dyDescent="0.2">
      <c r="A148" s="226">
        <v>13</v>
      </c>
      <c r="B148" s="224" t="s">
        <v>402</v>
      </c>
      <c r="C148" s="230">
        <v>613893</v>
      </c>
      <c r="D148" s="229">
        <v>761086</v>
      </c>
      <c r="E148" s="229">
        <v>523737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198464792</v>
      </c>
      <c r="D149" s="229">
        <f>SUM(D143:D148)</f>
        <v>196286597</v>
      </c>
      <c r="E149" s="229">
        <f>SUM(E143:E148)</f>
        <v>175117173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0.4279242851296749</v>
      </c>
      <c r="D152" s="227">
        <f>IF(D166=0,0,D160/D166)</f>
        <v>0.4186211239041932</v>
      </c>
      <c r="E152" s="227">
        <f>IF(E166=0,0,E160/E166)</f>
        <v>0.45760787635669498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0.41752684925440409</v>
      </c>
      <c r="D153" s="227">
        <f>IF(D166=0,0,D161/D166)</f>
        <v>0.42172902163378467</v>
      </c>
      <c r="E153" s="227">
        <f>IF(E166=0,0,E161/E166)</f>
        <v>0.38613205908301396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0.14811396246382616</v>
      </c>
      <c r="D154" s="227">
        <f>IF(D166=0,0,D162/D166)</f>
        <v>0.15310296990352215</v>
      </c>
      <c r="E154" s="227">
        <f>IF(E166=0,0,E162/E166)</f>
        <v>0.15120843254443869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2.7465005287135766E-3</v>
      </c>
      <c r="D155" s="227">
        <f>IF(D166=0,0,D163/D166)</f>
        <v>2.696370225135059E-3</v>
      </c>
      <c r="E155" s="227">
        <f>IF(E166=0,0,E163/E166)</f>
        <v>1.3257341961498189E-3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1.4019509000697409E-3</v>
      </c>
      <c r="D156" s="227">
        <f>IF(D166=0,0,D164/D166)</f>
        <v>1.2986744072486136E-3</v>
      </c>
      <c r="E156" s="227">
        <f>IF(E166=0,0,E164/E166)</f>
        <v>1.616104560743634E-3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2.2864517233115761E-3</v>
      </c>
      <c r="D157" s="227">
        <f>IF(D166=0,0,D165/D166)</f>
        <v>2.5518399261162819E-3</v>
      </c>
      <c r="E157" s="227">
        <f>IF(E166=0,0,E165/E166)</f>
        <v>2.1097932589589376E-3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0.99999999999999989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33167125</v>
      </c>
      <c r="D160" s="229">
        <f>+D44-D164</f>
        <v>33317573</v>
      </c>
      <c r="E160" s="229">
        <f>+E44-E164</f>
        <v>30983089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32361251</v>
      </c>
      <c r="D161" s="229">
        <f>+D50</f>
        <v>33564927</v>
      </c>
      <c r="E161" s="229">
        <f>+E50</f>
        <v>26143702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11479868</v>
      </c>
      <c r="D162" s="229">
        <f>+D54</f>
        <v>12185289</v>
      </c>
      <c r="E162" s="229">
        <f>+E54</f>
        <v>10237814</v>
      </c>
    </row>
    <row r="163" spans="1:6" ht="20.100000000000001" customHeight="1" x14ac:dyDescent="0.2">
      <c r="A163" s="226">
        <v>11</v>
      </c>
      <c r="B163" s="224" t="s">
        <v>415</v>
      </c>
      <c r="C163" s="228">
        <v>212873</v>
      </c>
      <c r="D163" s="229">
        <v>214601</v>
      </c>
      <c r="E163" s="229">
        <v>89761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108661</v>
      </c>
      <c r="D164" s="229">
        <f>+D45</f>
        <v>103360</v>
      </c>
      <c r="E164" s="229">
        <f>+E45</f>
        <v>109421</v>
      </c>
    </row>
    <row r="165" spans="1:6" ht="20.100000000000001" customHeight="1" x14ac:dyDescent="0.2">
      <c r="A165" s="226">
        <v>13</v>
      </c>
      <c r="B165" s="224" t="s">
        <v>417</v>
      </c>
      <c r="C165" s="230">
        <v>177216</v>
      </c>
      <c r="D165" s="229">
        <v>203098</v>
      </c>
      <c r="E165" s="229">
        <v>142847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77506994</v>
      </c>
      <c r="D166" s="229">
        <f>SUM(D160:D165)</f>
        <v>79588848</v>
      </c>
      <c r="E166" s="229">
        <f>SUM(E160:E165)</f>
        <v>67706634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824</v>
      </c>
      <c r="D169" s="218">
        <v>559</v>
      </c>
      <c r="E169" s="218">
        <v>408</v>
      </c>
    </row>
    <row r="170" spans="1:6" ht="20.100000000000001" customHeight="1" x14ac:dyDescent="0.2">
      <c r="A170" s="226">
        <v>2</v>
      </c>
      <c r="B170" s="224" t="s">
        <v>420</v>
      </c>
      <c r="C170" s="218">
        <v>1754</v>
      </c>
      <c r="D170" s="218">
        <v>1672</v>
      </c>
      <c r="E170" s="218">
        <v>1292</v>
      </c>
    </row>
    <row r="171" spans="1:6" ht="20.100000000000001" customHeight="1" x14ac:dyDescent="0.2">
      <c r="A171" s="226">
        <v>3</v>
      </c>
      <c r="B171" s="224" t="s">
        <v>421</v>
      </c>
      <c r="C171" s="218">
        <v>836</v>
      </c>
      <c r="D171" s="218">
        <v>654</v>
      </c>
      <c r="E171" s="218">
        <v>521</v>
      </c>
    </row>
    <row r="172" spans="1:6" ht="20.100000000000001" customHeight="1" x14ac:dyDescent="0.2">
      <c r="A172" s="226">
        <v>4</v>
      </c>
      <c r="B172" s="224" t="s">
        <v>422</v>
      </c>
      <c r="C172" s="218">
        <v>826</v>
      </c>
      <c r="D172" s="218">
        <v>637</v>
      </c>
      <c r="E172" s="218">
        <v>512</v>
      </c>
    </row>
    <row r="173" spans="1:6" ht="20.100000000000001" customHeight="1" x14ac:dyDescent="0.2">
      <c r="A173" s="226">
        <v>5</v>
      </c>
      <c r="B173" s="224" t="s">
        <v>423</v>
      </c>
      <c r="C173" s="218">
        <v>10</v>
      </c>
      <c r="D173" s="218">
        <v>17</v>
      </c>
      <c r="E173" s="218">
        <v>9</v>
      </c>
    </row>
    <row r="174" spans="1:6" ht="20.100000000000001" customHeight="1" x14ac:dyDescent="0.2">
      <c r="A174" s="226">
        <v>6</v>
      </c>
      <c r="B174" s="224" t="s">
        <v>424</v>
      </c>
      <c r="C174" s="218">
        <v>13</v>
      </c>
      <c r="D174" s="218">
        <v>16</v>
      </c>
      <c r="E174" s="218">
        <v>4</v>
      </c>
    </row>
    <row r="175" spans="1:6" ht="20.100000000000001" customHeight="1" x14ac:dyDescent="0.2">
      <c r="A175" s="226">
        <v>7</v>
      </c>
      <c r="B175" s="224" t="s">
        <v>425</v>
      </c>
      <c r="C175" s="218">
        <v>37</v>
      </c>
      <c r="D175" s="218">
        <v>26</v>
      </c>
      <c r="E175" s="218">
        <v>34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3427</v>
      </c>
      <c r="D176" s="218">
        <f>+D169+D170+D171+D174</f>
        <v>2901</v>
      </c>
      <c r="E176" s="218">
        <f>+E169+E170+E171+E174</f>
        <v>2225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1.0101599999999999</v>
      </c>
      <c r="D179" s="231">
        <v>1.05813</v>
      </c>
      <c r="E179" s="231">
        <v>1.1956</v>
      </c>
    </row>
    <row r="180" spans="1:6" ht="20.100000000000001" customHeight="1" x14ac:dyDescent="0.2">
      <c r="A180" s="226">
        <v>2</v>
      </c>
      <c r="B180" s="224" t="s">
        <v>420</v>
      </c>
      <c r="C180" s="231">
        <v>1.4321200000000001</v>
      </c>
      <c r="D180" s="231">
        <v>1.4158299999999999</v>
      </c>
      <c r="E180" s="231">
        <v>1.4297800000000001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0.999807</v>
      </c>
      <c r="D181" s="231">
        <v>1.011312</v>
      </c>
      <c r="E181" s="231">
        <v>0.97645800000000005</v>
      </c>
    </row>
    <row r="182" spans="1:6" ht="20.100000000000001" customHeight="1" x14ac:dyDescent="0.2">
      <c r="A182" s="226">
        <v>4</v>
      </c>
      <c r="B182" s="224" t="s">
        <v>422</v>
      </c>
      <c r="C182" s="231">
        <v>0.99155000000000004</v>
      </c>
      <c r="D182" s="231">
        <v>1.00946</v>
      </c>
      <c r="E182" s="231">
        <v>0.97394999999999998</v>
      </c>
    </row>
    <row r="183" spans="1:6" ht="20.100000000000001" customHeight="1" x14ac:dyDescent="0.2">
      <c r="A183" s="226">
        <v>5</v>
      </c>
      <c r="B183" s="224" t="s">
        <v>423</v>
      </c>
      <c r="C183" s="231">
        <v>1.6818900000000001</v>
      </c>
      <c r="D183" s="231">
        <v>1.0807199999999999</v>
      </c>
      <c r="E183" s="231">
        <v>1.1191800000000001</v>
      </c>
    </row>
    <row r="184" spans="1:6" ht="20.100000000000001" customHeight="1" x14ac:dyDescent="0.2">
      <c r="A184" s="226">
        <v>6</v>
      </c>
      <c r="B184" s="224" t="s">
        <v>424</v>
      </c>
      <c r="C184" s="231">
        <v>0.87678999999999996</v>
      </c>
      <c r="D184" s="231">
        <v>0.93852999999999998</v>
      </c>
      <c r="E184" s="231">
        <v>0.98092999999999997</v>
      </c>
    </row>
    <row r="185" spans="1:6" ht="20.100000000000001" customHeight="1" x14ac:dyDescent="0.2">
      <c r="A185" s="226">
        <v>7</v>
      </c>
      <c r="B185" s="224" t="s">
        <v>425</v>
      </c>
      <c r="C185" s="231">
        <v>1.05609</v>
      </c>
      <c r="D185" s="231">
        <v>1.06321</v>
      </c>
      <c r="E185" s="231">
        <v>0.98675000000000002</v>
      </c>
    </row>
    <row r="186" spans="1:6" ht="20.100000000000001" customHeight="1" x14ac:dyDescent="0.2">
      <c r="A186" s="226">
        <v>8</v>
      </c>
      <c r="B186" s="224" t="s">
        <v>429</v>
      </c>
      <c r="C186" s="231">
        <v>1.223095</v>
      </c>
      <c r="D186" s="231">
        <v>1.253077</v>
      </c>
      <c r="E186" s="231">
        <v>1.279882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2489</v>
      </c>
      <c r="D189" s="218">
        <v>2359</v>
      </c>
      <c r="E189" s="218">
        <v>1769</v>
      </c>
    </row>
    <row r="190" spans="1:6" ht="20.100000000000001" customHeight="1" x14ac:dyDescent="0.2">
      <c r="A190" s="226">
        <v>2</v>
      </c>
      <c r="B190" s="224" t="s">
        <v>433</v>
      </c>
      <c r="C190" s="218">
        <v>30527</v>
      </c>
      <c r="D190" s="218">
        <v>30161</v>
      </c>
      <c r="E190" s="218">
        <v>31428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33016</v>
      </c>
      <c r="D191" s="218">
        <f>+D190+D189</f>
        <v>32520</v>
      </c>
      <c r="E191" s="218">
        <f>+E190+E189</f>
        <v>33197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69" orientation="portrait" horizontalDpi="1200" verticalDpi="1200" r:id="rId1"/>
  <headerFooter>
    <oddHeader>&amp;LOFFICE OF HEALTH CARE ACCESS&amp;CTWELVE MONTHS ACTUAL FILING&amp;RWINDHAM COMMUNITY MEMORIAL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zoomScaleNormal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6" t="s">
        <v>0</v>
      </c>
      <c r="B2" s="786"/>
      <c r="C2" s="786"/>
      <c r="D2" s="786"/>
      <c r="E2" s="786"/>
      <c r="F2" s="786"/>
    </row>
    <row r="3" spans="1:7" ht="20.25" customHeight="1" x14ac:dyDescent="0.3">
      <c r="A3" s="786" t="s">
        <v>1</v>
      </c>
      <c r="B3" s="786"/>
      <c r="C3" s="786"/>
      <c r="D3" s="786"/>
      <c r="E3" s="786"/>
      <c r="F3" s="786"/>
    </row>
    <row r="4" spans="1:7" ht="20.25" customHeight="1" x14ac:dyDescent="0.3">
      <c r="A4" s="786" t="s">
        <v>2</v>
      </c>
      <c r="B4" s="786"/>
      <c r="C4" s="786"/>
      <c r="D4" s="786"/>
      <c r="E4" s="786"/>
      <c r="F4" s="786"/>
    </row>
    <row r="5" spans="1:7" ht="20.25" customHeight="1" x14ac:dyDescent="0.3">
      <c r="A5" s="786" t="s">
        <v>435</v>
      </c>
      <c r="B5" s="786"/>
      <c r="C5" s="786"/>
      <c r="D5" s="786"/>
      <c r="E5" s="786"/>
      <c r="F5" s="786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7"/>
      <c r="D9" s="788"/>
      <c r="E9" s="788"/>
      <c r="F9" s="789"/>
      <c r="G9" s="245"/>
    </row>
    <row r="10" spans="1:7" ht="20.25" customHeight="1" x14ac:dyDescent="0.3">
      <c r="A10" s="790" t="s">
        <v>12</v>
      </c>
      <c r="B10" s="792" t="s">
        <v>114</v>
      </c>
      <c r="C10" s="794"/>
      <c r="D10" s="795"/>
      <c r="E10" s="795"/>
      <c r="F10" s="796"/>
    </row>
    <row r="11" spans="1:7" ht="20.25" customHeight="1" x14ac:dyDescent="0.3">
      <c r="A11" s="791"/>
      <c r="B11" s="793"/>
      <c r="C11" s="797"/>
      <c r="D11" s="798"/>
      <c r="E11" s="798"/>
      <c r="F11" s="799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275723</v>
      </c>
      <c r="E14" s="258">
        <f t="shared" ref="E14:E24" si="0">D14-C14</f>
        <v>275723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163026</v>
      </c>
      <c r="E15" s="258">
        <f t="shared" si="0"/>
        <v>163026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49065</v>
      </c>
      <c r="D16" s="258">
        <v>695421</v>
      </c>
      <c r="E16" s="258">
        <f t="shared" si="0"/>
        <v>646356</v>
      </c>
      <c r="F16" s="259">
        <f t="shared" si="1"/>
        <v>13.173463772546622</v>
      </c>
    </row>
    <row r="17" spans="1:6" ht="20.25" customHeight="1" x14ac:dyDescent="0.3">
      <c r="A17" s="256">
        <v>4</v>
      </c>
      <c r="B17" s="257" t="s">
        <v>444</v>
      </c>
      <c r="C17" s="258">
        <v>8075</v>
      </c>
      <c r="D17" s="258">
        <v>150239</v>
      </c>
      <c r="E17" s="258">
        <f t="shared" si="0"/>
        <v>142164</v>
      </c>
      <c r="F17" s="259">
        <f t="shared" si="1"/>
        <v>17.605448916408669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12</v>
      </c>
      <c r="E18" s="260">
        <f t="shared" si="0"/>
        <v>12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77</v>
      </c>
      <c r="E19" s="260">
        <f t="shared" si="0"/>
        <v>77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18</v>
      </c>
      <c r="D20" s="260">
        <v>217</v>
      </c>
      <c r="E20" s="260">
        <f t="shared" si="0"/>
        <v>199</v>
      </c>
      <c r="F20" s="259">
        <f t="shared" si="1"/>
        <v>11.055555555555555</v>
      </c>
    </row>
    <row r="21" spans="1:6" ht="20.25" customHeight="1" x14ac:dyDescent="0.3">
      <c r="A21" s="256">
        <v>8</v>
      </c>
      <c r="B21" s="257" t="s">
        <v>446</v>
      </c>
      <c r="C21" s="260">
        <v>11</v>
      </c>
      <c r="D21" s="260">
        <v>140</v>
      </c>
      <c r="E21" s="260">
        <f t="shared" si="0"/>
        <v>129</v>
      </c>
      <c r="F21" s="259">
        <f t="shared" si="1"/>
        <v>11.727272727272727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11</v>
      </c>
      <c r="E22" s="260">
        <f t="shared" si="0"/>
        <v>11</v>
      </c>
      <c r="F22" s="259">
        <f t="shared" si="1"/>
        <v>0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49065</v>
      </c>
      <c r="D23" s="263">
        <f>+D14+D16</f>
        <v>971144</v>
      </c>
      <c r="E23" s="263">
        <f t="shared" si="0"/>
        <v>922079</v>
      </c>
      <c r="F23" s="264">
        <f t="shared" si="1"/>
        <v>18.793009273412821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8075</v>
      </c>
      <c r="D24" s="263">
        <f>+D15+D17</f>
        <v>313265</v>
      </c>
      <c r="E24" s="263">
        <f t="shared" si="0"/>
        <v>305190</v>
      </c>
      <c r="F24" s="264">
        <f t="shared" si="1"/>
        <v>37.794427244582046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2747349</v>
      </c>
      <c r="D40" s="258">
        <v>1883127</v>
      </c>
      <c r="E40" s="258">
        <f t="shared" ref="E40:E50" si="4">D40-C40</f>
        <v>-864222</v>
      </c>
      <c r="F40" s="259">
        <f t="shared" ref="F40:F50" si="5">IF(C40=0,0,E40/C40)</f>
        <v>-0.31456578687309111</v>
      </c>
    </row>
    <row r="41" spans="1:6" ht="20.25" customHeight="1" x14ac:dyDescent="0.3">
      <c r="A41" s="256">
        <v>2</v>
      </c>
      <c r="B41" s="257" t="s">
        <v>442</v>
      </c>
      <c r="C41" s="258">
        <v>1676745</v>
      </c>
      <c r="D41" s="258">
        <v>1127280</v>
      </c>
      <c r="E41" s="258">
        <f t="shared" si="4"/>
        <v>-549465</v>
      </c>
      <c r="F41" s="259">
        <f t="shared" si="5"/>
        <v>-0.32769741373911954</v>
      </c>
    </row>
    <row r="42" spans="1:6" ht="20.25" customHeight="1" x14ac:dyDescent="0.3">
      <c r="A42" s="256">
        <v>3</v>
      </c>
      <c r="B42" s="257" t="s">
        <v>443</v>
      </c>
      <c r="C42" s="258">
        <v>4637434</v>
      </c>
      <c r="D42" s="258">
        <v>4387173</v>
      </c>
      <c r="E42" s="258">
        <f t="shared" si="4"/>
        <v>-250261</v>
      </c>
      <c r="F42" s="259">
        <f t="shared" si="5"/>
        <v>-5.3965404143757084E-2</v>
      </c>
    </row>
    <row r="43" spans="1:6" ht="20.25" customHeight="1" x14ac:dyDescent="0.3">
      <c r="A43" s="256">
        <v>4</v>
      </c>
      <c r="B43" s="257" t="s">
        <v>444</v>
      </c>
      <c r="C43" s="258">
        <v>1132985</v>
      </c>
      <c r="D43" s="258">
        <v>941808</v>
      </c>
      <c r="E43" s="258">
        <f t="shared" si="4"/>
        <v>-191177</v>
      </c>
      <c r="F43" s="259">
        <f t="shared" si="5"/>
        <v>-0.16873745018689568</v>
      </c>
    </row>
    <row r="44" spans="1:6" ht="20.25" customHeight="1" x14ac:dyDescent="0.3">
      <c r="A44" s="256">
        <v>5</v>
      </c>
      <c r="B44" s="257" t="s">
        <v>381</v>
      </c>
      <c r="C44" s="260">
        <v>141</v>
      </c>
      <c r="D44" s="260">
        <v>89</v>
      </c>
      <c r="E44" s="260">
        <f t="shared" si="4"/>
        <v>-52</v>
      </c>
      <c r="F44" s="259">
        <f t="shared" si="5"/>
        <v>-0.36879432624113473</v>
      </c>
    </row>
    <row r="45" spans="1:6" ht="20.25" customHeight="1" x14ac:dyDescent="0.3">
      <c r="A45" s="256">
        <v>6</v>
      </c>
      <c r="B45" s="257" t="s">
        <v>380</v>
      </c>
      <c r="C45" s="260">
        <v>650</v>
      </c>
      <c r="D45" s="260">
        <v>432</v>
      </c>
      <c r="E45" s="260">
        <f t="shared" si="4"/>
        <v>-218</v>
      </c>
      <c r="F45" s="259">
        <f t="shared" si="5"/>
        <v>-0.33538461538461539</v>
      </c>
    </row>
    <row r="46" spans="1:6" ht="20.25" customHeight="1" x14ac:dyDescent="0.3">
      <c r="A46" s="256">
        <v>7</v>
      </c>
      <c r="B46" s="257" t="s">
        <v>445</v>
      </c>
      <c r="C46" s="260">
        <v>2250</v>
      </c>
      <c r="D46" s="260">
        <v>1832</v>
      </c>
      <c r="E46" s="260">
        <f t="shared" si="4"/>
        <v>-418</v>
      </c>
      <c r="F46" s="259">
        <f t="shared" si="5"/>
        <v>-0.18577777777777776</v>
      </c>
    </row>
    <row r="47" spans="1:6" ht="20.25" customHeight="1" x14ac:dyDescent="0.3">
      <c r="A47" s="256">
        <v>8</v>
      </c>
      <c r="B47" s="257" t="s">
        <v>446</v>
      </c>
      <c r="C47" s="260">
        <v>377</v>
      </c>
      <c r="D47" s="260">
        <v>421</v>
      </c>
      <c r="E47" s="260">
        <f t="shared" si="4"/>
        <v>44</v>
      </c>
      <c r="F47" s="259">
        <f t="shared" si="5"/>
        <v>0.11671087533156499</v>
      </c>
    </row>
    <row r="48" spans="1:6" ht="20.25" customHeight="1" x14ac:dyDescent="0.3">
      <c r="A48" s="256">
        <v>9</v>
      </c>
      <c r="B48" s="257" t="s">
        <v>447</v>
      </c>
      <c r="C48" s="260">
        <v>136</v>
      </c>
      <c r="D48" s="260">
        <v>81</v>
      </c>
      <c r="E48" s="260">
        <f t="shared" si="4"/>
        <v>-55</v>
      </c>
      <c r="F48" s="259">
        <f t="shared" si="5"/>
        <v>-0.40441176470588236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7384783</v>
      </c>
      <c r="D49" s="263">
        <f>+D40+D42</f>
        <v>6270300</v>
      </c>
      <c r="E49" s="263">
        <f t="shared" si="4"/>
        <v>-1114483</v>
      </c>
      <c r="F49" s="264">
        <f t="shared" si="5"/>
        <v>-0.15091614743452855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2809730</v>
      </c>
      <c r="D50" s="263">
        <f>+D41+D43</f>
        <v>2069088</v>
      </c>
      <c r="E50" s="263">
        <f t="shared" si="4"/>
        <v>-740642</v>
      </c>
      <c r="F50" s="264">
        <f t="shared" si="5"/>
        <v>-0.26359899349759586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435294</v>
      </c>
      <c r="D66" s="258">
        <v>237482</v>
      </c>
      <c r="E66" s="258">
        <f t="shared" ref="E66:E76" si="8">D66-C66</f>
        <v>-197812</v>
      </c>
      <c r="F66" s="259">
        <f t="shared" ref="F66:F76" si="9">IF(C66=0,0,E66/C66)</f>
        <v>-0.45443309579272861</v>
      </c>
    </row>
    <row r="67" spans="1:6" ht="20.25" customHeight="1" x14ac:dyDescent="0.3">
      <c r="A67" s="256">
        <v>2</v>
      </c>
      <c r="B67" s="257" t="s">
        <v>442</v>
      </c>
      <c r="C67" s="258">
        <v>253377</v>
      </c>
      <c r="D67" s="258">
        <v>171174</v>
      </c>
      <c r="E67" s="258">
        <f t="shared" si="8"/>
        <v>-82203</v>
      </c>
      <c r="F67" s="259">
        <f t="shared" si="9"/>
        <v>-0.32442960489705064</v>
      </c>
    </row>
    <row r="68" spans="1:6" ht="20.25" customHeight="1" x14ac:dyDescent="0.3">
      <c r="A68" s="256">
        <v>3</v>
      </c>
      <c r="B68" s="257" t="s">
        <v>443</v>
      </c>
      <c r="C68" s="258">
        <v>623544</v>
      </c>
      <c r="D68" s="258">
        <v>373880</v>
      </c>
      <c r="E68" s="258">
        <f t="shared" si="8"/>
        <v>-249664</v>
      </c>
      <c r="F68" s="259">
        <f t="shared" si="9"/>
        <v>-0.40039516056605468</v>
      </c>
    </row>
    <row r="69" spans="1:6" ht="20.25" customHeight="1" x14ac:dyDescent="0.3">
      <c r="A69" s="256">
        <v>4</v>
      </c>
      <c r="B69" s="257" t="s">
        <v>444</v>
      </c>
      <c r="C69" s="258">
        <v>127677</v>
      </c>
      <c r="D69" s="258">
        <v>65122</v>
      </c>
      <c r="E69" s="258">
        <f t="shared" si="8"/>
        <v>-62555</v>
      </c>
      <c r="F69" s="259">
        <f t="shared" si="9"/>
        <v>-0.48994728886173705</v>
      </c>
    </row>
    <row r="70" spans="1:6" ht="20.25" customHeight="1" x14ac:dyDescent="0.3">
      <c r="A70" s="256">
        <v>5</v>
      </c>
      <c r="B70" s="257" t="s">
        <v>381</v>
      </c>
      <c r="C70" s="260">
        <v>22</v>
      </c>
      <c r="D70" s="260">
        <v>11</v>
      </c>
      <c r="E70" s="260">
        <f t="shared" si="8"/>
        <v>-11</v>
      </c>
      <c r="F70" s="259">
        <f t="shared" si="9"/>
        <v>-0.5</v>
      </c>
    </row>
    <row r="71" spans="1:6" ht="20.25" customHeight="1" x14ac:dyDescent="0.3">
      <c r="A71" s="256">
        <v>6</v>
      </c>
      <c r="B71" s="257" t="s">
        <v>380</v>
      </c>
      <c r="C71" s="260">
        <v>108</v>
      </c>
      <c r="D71" s="260">
        <v>48</v>
      </c>
      <c r="E71" s="260">
        <f t="shared" si="8"/>
        <v>-60</v>
      </c>
      <c r="F71" s="259">
        <f t="shared" si="9"/>
        <v>-0.55555555555555558</v>
      </c>
    </row>
    <row r="72" spans="1:6" ht="20.25" customHeight="1" x14ac:dyDescent="0.3">
      <c r="A72" s="256">
        <v>7</v>
      </c>
      <c r="B72" s="257" t="s">
        <v>445</v>
      </c>
      <c r="C72" s="260">
        <v>274</v>
      </c>
      <c r="D72" s="260">
        <v>145</v>
      </c>
      <c r="E72" s="260">
        <f t="shared" si="8"/>
        <v>-129</v>
      </c>
      <c r="F72" s="259">
        <f t="shared" si="9"/>
        <v>-0.47080291970802918</v>
      </c>
    </row>
    <row r="73" spans="1:6" ht="20.25" customHeight="1" x14ac:dyDescent="0.3">
      <c r="A73" s="256">
        <v>8</v>
      </c>
      <c r="B73" s="257" t="s">
        <v>446</v>
      </c>
      <c r="C73" s="260">
        <v>103</v>
      </c>
      <c r="D73" s="260">
        <v>66</v>
      </c>
      <c r="E73" s="260">
        <f t="shared" si="8"/>
        <v>-37</v>
      </c>
      <c r="F73" s="259">
        <f t="shared" si="9"/>
        <v>-0.35922330097087379</v>
      </c>
    </row>
    <row r="74" spans="1:6" ht="20.25" customHeight="1" x14ac:dyDescent="0.3">
      <c r="A74" s="256">
        <v>9</v>
      </c>
      <c r="B74" s="257" t="s">
        <v>447</v>
      </c>
      <c r="C74" s="260">
        <v>22</v>
      </c>
      <c r="D74" s="260">
        <v>10</v>
      </c>
      <c r="E74" s="260">
        <f t="shared" si="8"/>
        <v>-12</v>
      </c>
      <c r="F74" s="259">
        <f t="shared" si="9"/>
        <v>-0.54545454545454541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1058838</v>
      </c>
      <c r="D75" s="263">
        <f>+D66+D68</f>
        <v>611362</v>
      </c>
      <c r="E75" s="263">
        <f t="shared" si="8"/>
        <v>-447476</v>
      </c>
      <c r="F75" s="264">
        <f t="shared" si="9"/>
        <v>-0.4226104465461194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381054</v>
      </c>
      <c r="D76" s="263">
        <f>+D67+D69</f>
        <v>236296</v>
      </c>
      <c r="E76" s="263">
        <f t="shared" si="8"/>
        <v>-144758</v>
      </c>
      <c r="F76" s="264">
        <f t="shared" si="9"/>
        <v>-0.37988841476536134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1048778</v>
      </c>
      <c r="E92" s="258">
        <f t="shared" ref="E92:E102" si="12">D92-C92</f>
        <v>1048778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441812</v>
      </c>
      <c r="E93" s="258">
        <f t="shared" si="12"/>
        <v>441812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1935290</v>
      </c>
      <c r="E94" s="258">
        <f t="shared" si="12"/>
        <v>1935290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430309</v>
      </c>
      <c r="E95" s="258">
        <f t="shared" si="12"/>
        <v>430309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46</v>
      </c>
      <c r="E96" s="260">
        <f t="shared" si="12"/>
        <v>46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262</v>
      </c>
      <c r="E97" s="260">
        <f t="shared" si="12"/>
        <v>262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602</v>
      </c>
      <c r="E98" s="260">
        <f t="shared" si="12"/>
        <v>602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218</v>
      </c>
      <c r="E99" s="260">
        <f t="shared" si="12"/>
        <v>218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42</v>
      </c>
      <c r="E100" s="260">
        <f t="shared" si="12"/>
        <v>42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2984068</v>
      </c>
      <c r="E101" s="263">
        <f t="shared" si="12"/>
        <v>2984068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872121</v>
      </c>
      <c r="E102" s="263">
        <f t="shared" si="12"/>
        <v>872121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75062</v>
      </c>
      <c r="D105" s="258">
        <v>32631</v>
      </c>
      <c r="E105" s="258">
        <f t="shared" ref="E105:E115" si="14">D105-C105</f>
        <v>-42431</v>
      </c>
      <c r="F105" s="259">
        <f t="shared" ref="F105:F115" si="15">IF(C105=0,0,E105/C105)</f>
        <v>-0.5652793690549146</v>
      </c>
    </row>
    <row r="106" spans="1:6" ht="20.25" customHeight="1" x14ac:dyDescent="0.3">
      <c r="A106" s="256">
        <v>2</v>
      </c>
      <c r="B106" s="257" t="s">
        <v>442</v>
      </c>
      <c r="C106" s="258">
        <v>22251</v>
      </c>
      <c r="D106" s="258">
        <v>13229</v>
      </c>
      <c r="E106" s="258">
        <f t="shared" si="14"/>
        <v>-9022</v>
      </c>
      <c r="F106" s="259">
        <f t="shared" si="15"/>
        <v>-0.40546492292481234</v>
      </c>
    </row>
    <row r="107" spans="1:6" ht="20.25" customHeight="1" x14ac:dyDescent="0.3">
      <c r="A107" s="256">
        <v>3</v>
      </c>
      <c r="B107" s="257" t="s">
        <v>443</v>
      </c>
      <c r="C107" s="258">
        <v>75187</v>
      </c>
      <c r="D107" s="258">
        <v>88316</v>
      </c>
      <c r="E107" s="258">
        <f t="shared" si="14"/>
        <v>13129</v>
      </c>
      <c r="F107" s="259">
        <f t="shared" si="15"/>
        <v>0.17461795257158819</v>
      </c>
    </row>
    <row r="108" spans="1:6" ht="20.25" customHeight="1" x14ac:dyDescent="0.3">
      <c r="A108" s="256">
        <v>4</v>
      </c>
      <c r="B108" s="257" t="s">
        <v>444</v>
      </c>
      <c r="C108" s="258">
        <v>10089</v>
      </c>
      <c r="D108" s="258">
        <v>13023</v>
      </c>
      <c r="E108" s="258">
        <f t="shared" si="14"/>
        <v>2934</v>
      </c>
      <c r="F108" s="259">
        <f t="shared" si="15"/>
        <v>0.29081177520071366</v>
      </c>
    </row>
    <row r="109" spans="1:6" ht="20.25" customHeight="1" x14ac:dyDescent="0.3">
      <c r="A109" s="256">
        <v>5</v>
      </c>
      <c r="B109" s="257" t="s">
        <v>381</v>
      </c>
      <c r="C109" s="260">
        <v>3</v>
      </c>
      <c r="D109" s="260">
        <v>2</v>
      </c>
      <c r="E109" s="260">
        <f t="shared" si="14"/>
        <v>-1</v>
      </c>
      <c r="F109" s="259">
        <f t="shared" si="15"/>
        <v>-0.33333333333333331</v>
      </c>
    </row>
    <row r="110" spans="1:6" ht="20.25" customHeight="1" x14ac:dyDescent="0.3">
      <c r="A110" s="256">
        <v>6</v>
      </c>
      <c r="B110" s="257" t="s">
        <v>380</v>
      </c>
      <c r="C110" s="260">
        <v>13</v>
      </c>
      <c r="D110" s="260">
        <v>6</v>
      </c>
      <c r="E110" s="260">
        <f t="shared" si="14"/>
        <v>-7</v>
      </c>
      <c r="F110" s="259">
        <f t="shared" si="15"/>
        <v>-0.53846153846153844</v>
      </c>
    </row>
    <row r="111" spans="1:6" ht="20.25" customHeight="1" x14ac:dyDescent="0.3">
      <c r="A111" s="256">
        <v>7</v>
      </c>
      <c r="B111" s="257" t="s">
        <v>445</v>
      </c>
      <c r="C111" s="260">
        <v>24</v>
      </c>
      <c r="D111" s="260">
        <v>16</v>
      </c>
      <c r="E111" s="260">
        <f t="shared" si="14"/>
        <v>-8</v>
      </c>
      <c r="F111" s="259">
        <f t="shared" si="15"/>
        <v>-0.33333333333333331</v>
      </c>
    </row>
    <row r="112" spans="1:6" ht="20.25" customHeight="1" x14ac:dyDescent="0.3">
      <c r="A112" s="256">
        <v>8</v>
      </c>
      <c r="B112" s="257" t="s">
        <v>446</v>
      </c>
      <c r="C112" s="260">
        <v>9</v>
      </c>
      <c r="D112" s="260">
        <v>12</v>
      </c>
      <c r="E112" s="260">
        <f t="shared" si="14"/>
        <v>3</v>
      </c>
      <c r="F112" s="259">
        <f t="shared" si="15"/>
        <v>0.33333333333333331</v>
      </c>
    </row>
    <row r="113" spans="1:6" ht="20.25" customHeight="1" x14ac:dyDescent="0.3">
      <c r="A113" s="256">
        <v>9</v>
      </c>
      <c r="B113" s="257" t="s">
        <v>447</v>
      </c>
      <c r="C113" s="260">
        <v>2</v>
      </c>
      <c r="D113" s="260">
        <v>2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150249</v>
      </c>
      <c r="D114" s="263">
        <f>+D105+D107</f>
        <v>120947</v>
      </c>
      <c r="E114" s="263">
        <f t="shared" si="14"/>
        <v>-29302</v>
      </c>
      <c r="F114" s="264">
        <f t="shared" si="15"/>
        <v>-0.19502292860518206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32340</v>
      </c>
      <c r="D115" s="263">
        <f>+D106+D108</f>
        <v>26252</v>
      </c>
      <c r="E115" s="263">
        <f t="shared" si="14"/>
        <v>-6088</v>
      </c>
      <c r="F115" s="264">
        <f t="shared" si="15"/>
        <v>-0.18824984539270254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363563</v>
      </c>
      <c r="D118" s="258">
        <v>268340</v>
      </c>
      <c r="E118" s="258">
        <f t="shared" ref="E118:E128" si="16">D118-C118</f>
        <v>-95223</v>
      </c>
      <c r="F118" s="259">
        <f t="shared" ref="F118:F128" si="17">IF(C118=0,0,E118/C118)</f>
        <v>-0.26191609157147455</v>
      </c>
    </row>
    <row r="119" spans="1:6" ht="20.25" customHeight="1" x14ac:dyDescent="0.3">
      <c r="A119" s="256">
        <v>2</v>
      </c>
      <c r="B119" s="257" t="s">
        <v>442</v>
      </c>
      <c r="C119" s="258">
        <v>201734</v>
      </c>
      <c r="D119" s="258">
        <v>154350</v>
      </c>
      <c r="E119" s="258">
        <f t="shared" si="16"/>
        <v>-47384</v>
      </c>
      <c r="F119" s="259">
        <f t="shared" si="17"/>
        <v>-0.23488355953879861</v>
      </c>
    </row>
    <row r="120" spans="1:6" ht="20.25" customHeight="1" x14ac:dyDescent="0.3">
      <c r="A120" s="256">
        <v>3</v>
      </c>
      <c r="B120" s="257" t="s">
        <v>443</v>
      </c>
      <c r="C120" s="258">
        <v>724516</v>
      </c>
      <c r="D120" s="258">
        <v>794020</v>
      </c>
      <c r="E120" s="258">
        <f t="shared" si="16"/>
        <v>69504</v>
      </c>
      <c r="F120" s="259">
        <f t="shared" si="17"/>
        <v>9.5931628839114658E-2</v>
      </c>
    </row>
    <row r="121" spans="1:6" ht="20.25" customHeight="1" x14ac:dyDescent="0.3">
      <c r="A121" s="256">
        <v>4</v>
      </c>
      <c r="B121" s="257" t="s">
        <v>444</v>
      </c>
      <c r="C121" s="258">
        <v>160368</v>
      </c>
      <c r="D121" s="258">
        <v>156596</v>
      </c>
      <c r="E121" s="258">
        <f t="shared" si="16"/>
        <v>-3772</v>
      </c>
      <c r="F121" s="259">
        <f t="shared" si="17"/>
        <v>-2.3520901925571186E-2</v>
      </c>
    </row>
    <row r="122" spans="1:6" ht="20.25" customHeight="1" x14ac:dyDescent="0.3">
      <c r="A122" s="256">
        <v>5</v>
      </c>
      <c r="B122" s="257" t="s">
        <v>381</v>
      </c>
      <c r="C122" s="260">
        <v>22</v>
      </c>
      <c r="D122" s="260">
        <v>14</v>
      </c>
      <c r="E122" s="260">
        <f t="shared" si="16"/>
        <v>-8</v>
      </c>
      <c r="F122" s="259">
        <f t="shared" si="17"/>
        <v>-0.36363636363636365</v>
      </c>
    </row>
    <row r="123" spans="1:6" ht="20.25" customHeight="1" x14ac:dyDescent="0.3">
      <c r="A123" s="256">
        <v>6</v>
      </c>
      <c r="B123" s="257" t="s">
        <v>380</v>
      </c>
      <c r="C123" s="260">
        <v>74</v>
      </c>
      <c r="D123" s="260">
        <v>69</v>
      </c>
      <c r="E123" s="260">
        <f t="shared" si="16"/>
        <v>-5</v>
      </c>
      <c r="F123" s="259">
        <f t="shared" si="17"/>
        <v>-6.7567567567567571E-2</v>
      </c>
    </row>
    <row r="124" spans="1:6" ht="20.25" customHeight="1" x14ac:dyDescent="0.3">
      <c r="A124" s="256">
        <v>7</v>
      </c>
      <c r="B124" s="257" t="s">
        <v>445</v>
      </c>
      <c r="C124" s="260">
        <v>428</v>
      </c>
      <c r="D124" s="260">
        <v>357</v>
      </c>
      <c r="E124" s="260">
        <f t="shared" si="16"/>
        <v>-71</v>
      </c>
      <c r="F124" s="259">
        <f t="shared" si="17"/>
        <v>-0.16588785046728971</v>
      </c>
    </row>
    <row r="125" spans="1:6" ht="20.25" customHeight="1" x14ac:dyDescent="0.3">
      <c r="A125" s="256">
        <v>8</v>
      </c>
      <c r="B125" s="257" t="s">
        <v>446</v>
      </c>
      <c r="C125" s="260">
        <v>55</v>
      </c>
      <c r="D125" s="260">
        <v>54</v>
      </c>
      <c r="E125" s="260">
        <f t="shared" si="16"/>
        <v>-1</v>
      </c>
      <c r="F125" s="259">
        <f t="shared" si="17"/>
        <v>-1.8181818181818181E-2</v>
      </c>
    </row>
    <row r="126" spans="1:6" ht="20.25" customHeight="1" x14ac:dyDescent="0.3">
      <c r="A126" s="256">
        <v>9</v>
      </c>
      <c r="B126" s="257" t="s">
        <v>447</v>
      </c>
      <c r="C126" s="260">
        <v>20</v>
      </c>
      <c r="D126" s="260">
        <v>12</v>
      </c>
      <c r="E126" s="260">
        <f t="shared" si="16"/>
        <v>-8</v>
      </c>
      <c r="F126" s="259">
        <f t="shared" si="17"/>
        <v>-0.4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1088079</v>
      </c>
      <c r="D127" s="263">
        <f>+D118+D120</f>
        <v>1062360</v>
      </c>
      <c r="E127" s="263">
        <f t="shared" si="16"/>
        <v>-25719</v>
      </c>
      <c r="F127" s="264">
        <f t="shared" si="17"/>
        <v>-2.3637070470066971E-2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362102</v>
      </c>
      <c r="D128" s="263">
        <f>+D119+D121</f>
        <v>310946</v>
      </c>
      <c r="E128" s="263">
        <f t="shared" si="16"/>
        <v>-51156</v>
      </c>
      <c r="F128" s="264">
        <f t="shared" si="17"/>
        <v>-0.14127511032802911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3885</v>
      </c>
      <c r="D133" s="258">
        <v>0</v>
      </c>
      <c r="E133" s="258">
        <f t="shared" si="18"/>
        <v>-3885</v>
      </c>
      <c r="F133" s="259">
        <f t="shared" si="19"/>
        <v>-1</v>
      </c>
    </row>
    <row r="134" spans="1:6" ht="20.25" customHeight="1" x14ac:dyDescent="0.3">
      <c r="A134" s="256">
        <v>4</v>
      </c>
      <c r="B134" s="257" t="s">
        <v>444</v>
      </c>
      <c r="C134" s="258">
        <v>427</v>
      </c>
      <c r="D134" s="258">
        <v>0</v>
      </c>
      <c r="E134" s="258">
        <f t="shared" si="18"/>
        <v>-427</v>
      </c>
      <c r="F134" s="259">
        <f t="shared" si="19"/>
        <v>-1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3</v>
      </c>
      <c r="D137" s="260">
        <v>0</v>
      </c>
      <c r="E137" s="260">
        <f t="shared" si="18"/>
        <v>-3</v>
      </c>
      <c r="F137" s="259">
        <f t="shared" si="19"/>
        <v>-1</v>
      </c>
    </row>
    <row r="138" spans="1:6" ht="20.25" customHeight="1" x14ac:dyDescent="0.3">
      <c r="A138" s="256">
        <v>8</v>
      </c>
      <c r="B138" s="257" t="s">
        <v>446</v>
      </c>
      <c r="C138" s="260">
        <v>1</v>
      </c>
      <c r="D138" s="260">
        <v>0</v>
      </c>
      <c r="E138" s="260">
        <f t="shared" si="18"/>
        <v>-1</v>
      </c>
      <c r="F138" s="259">
        <f t="shared" si="19"/>
        <v>-1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3885</v>
      </c>
      <c r="D140" s="263">
        <f>+D131+D133</f>
        <v>0</v>
      </c>
      <c r="E140" s="263">
        <f t="shared" si="18"/>
        <v>-3885</v>
      </c>
      <c r="F140" s="264">
        <f t="shared" si="19"/>
        <v>-1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427</v>
      </c>
      <c r="D141" s="263">
        <f>+D132+D134</f>
        <v>0</v>
      </c>
      <c r="E141" s="263">
        <f t="shared" si="18"/>
        <v>-427</v>
      </c>
      <c r="F141" s="264">
        <f t="shared" si="19"/>
        <v>-1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1334286</v>
      </c>
      <c r="D144" s="258">
        <v>656349</v>
      </c>
      <c r="E144" s="258">
        <f t="shared" ref="E144:E154" si="20">D144-C144</f>
        <v>-677937</v>
      </c>
      <c r="F144" s="259">
        <f t="shared" ref="F144:F154" si="21">IF(C144=0,0,E144/C144)</f>
        <v>-0.50808971989513496</v>
      </c>
    </row>
    <row r="145" spans="1:6" ht="20.25" customHeight="1" x14ac:dyDescent="0.3">
      <c r="A145" s="256">
        <v>2</v>
      </c>
      <c r="B145" s="257" t="s">
        <v>442</v>
      </c>
      <c r="C145" s="258">
        <v>778434</v>
      </c>
      <c r="D145" s="258">
        <v>367672</v>
      </c>
      <c r="E145" s="258">
        <f t="shared" si="20"/>
        <v>-410762</v>
      </c>
      <c r="F145" s="259">
        <f t="shared" si="21"/>
        <v>-0.52767736249958253</v>
      </c>
    </row>
    <row r="146" spans="1:6" ht="20.25" customHeight="1" x14ac:dyDescent="0.3">
      <c r="A146" s="256">
        <v>3</v>
      </c>
      <c r="B146" s="257" t="s">
        <v>443</v>
      </c>
      <c r="C146" s="258">
        <v>2547381</v>
      </c>
      <c r="D146" s="258">
        <v>1507969</v>
      </c>
      <c r="E146" s="258">
        <f t="shared" si="20"/>
        <v>-1039412</v>
      </c>
      <c r="F146" s="259">
        <f t="shared" si="21"/>
        <v>-0.4080316214967451</v>
      </c>
    </row>
    <row r="147" spans="1:6" ht="20.25" customHeight="1" x14ac:dyDescent="0.3">
      <c r="A147" s="256">
        <v>4</v>
      </c>
      <c r="B147" s="257" t="s">
        <v>444</v>
      </c>
      <c r="C147" s="258">
        <v>572916</v>
      </c>
      <c r="D147" s="258">
        <v>296747</v>
      </c>
      <c r="E147" s="258">
        <f t="shared" si="20"/>
        <v>-276169</v>
      </c>
      <c r="F147" s="259">
        <f t="shared" si="21"/>
        <v>-0.48204099728406957</v>
      </c>
    </row>
    <row r="148" spans="1:6" ht="20.25" customHeight="1" x14ac:dyDescent="0.3">
      <c r="A148" s="256">
        <v>5</v>
      </c>
      <c r="B148" s="257" t="s">
        <v>381</v>
      </c>
      <c r="C148" s="260">
        <v>69</v>
      </c>
      <c r="D148" s="260">
        <v>36</v>
      </c>
      <c r="E148" s="260">
        <f t="shared" si="20"/>
        <v>-33</v>
      </c>
      <c r="F148" s="259">
        <f t="shared" si="21"/>
        <v>-0.47826086956521741</v>
      </c>
    </row>
    <row r="149" spans="1:6" ht="20.25" customHeight="1" x14ac:dyDescent="0.3">
      <c r="A149" s="256">
        <v>6</v>
      </c>
      <c r="B149" s="257" t="s">
        <v>380</v>
      </c>
      <c r="C149" s="260">
        <v>289</v>
      </c>
      <c r="D149" s="260">
        <v>139</v>
      </c>
      <c r="E149" s="260">
        <f t="shared" si="20"/>
        <v>-150</v>
      </c>
      <c r="F149" s="259">
        <f t="shared" si="21"/>
        <v>-0.51903114186851207</v>
      </c>
    </row>
    <row r="150" spans="1:6" ht="20.25" customHeight="1" x14ac:dyDescent="0.3">
      <c r="A150" s="256">
        <v>7</v>
      </c>
      <c r="B150" s="257" t="s">
        <v>445</v>
      </c>
      <c r="C150" s="260">
        <v>1370</v>
      </c>
      <c r="D150" s="260">
        <v>654</v>
      </c>
      <c r="E150" s="260">
        <f t="shared" si="20"/>
        <v>-716</v>
      </c>
      <c r="F150" s="259">
        <f t="shared" si="21"/>
        <v>-0.52262773722627742</v>
      </c>
    </row>
    <row r="151" spans="1:6" ht="20.25" customHeight="1" x14ac:dyDescent="0.3">
      <c r="A151" s="256">
        <v>8</v>
      </c>
      <c r="B151" s="257" t="s">
        <v>446</v>
      </c>
      <c r="C151" s="260">
        <v>295</v>
      </c>
      <c r="D151" s="260">
        <v>164</v>
      </c>
      <c r="E151" s="260">
        <f t="shared" si="20"/>
        <v>-131</v>
      </c>
      <c r="F151" s="259">
        <f t="shared" si="21"/>
        <v>-0.44406779661016949</v>
      </c>
    </row>
    <row r="152" spans="1:6" ht="20.25" customHeight="1" x14ac:dyDescent="0.3">
      <c r="A152" s="256">
        <v>9</v>
      </c>
      <c r="B152" s="257" t="s">
        <v>447</v>
      </c>
      <c r="C152" s="260">
        <v>63</v>
      </c>
      <c r="D152" s="260">
        <v>36</v>
      </c>
      <c r="E152" s="260">
        <f t="shared" si="20"/>
        <v>-27</v>
      </c>
      <c r="F152" s="259">
        <f t="shared" si="21"/>
        <v>-0.42857142857142855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3881667</v>
      </c>
      <c r="D153" s="263">
        <f>+D144+D146</f>
        <v>2164318</v>
      </c>
      <c r="E153" s="263">
        <f t="shared" si="20"/>
        <v>-1717349</v>
      </c>
      <c r="F153" s="264">
        <f t="shared" si="21"/>
        <v>-0.44242563826314829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1351350</v>
      </c>
      <c r="D154" s="263">
        <f>+D145+D147</f>
        <v>664419</v>
      </c>
      <c r="E154" s="263">
        <f t="shared" si="20"/>
        <v>-686931</v>
      </c>
      <c r="F154" s="264">
        <f t="shared" si="21"/>
        <v>-0.50832944832944837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449381</v>
      </c>
      <c r="D183" s="258">
        <v>323491</v>
      </c>
      <c r="E183" s="258">
        <f t="shared" ref="E183:E193" si="26">D183-C183</f>
        <v>-125890</v>
      </c>
      <c r="F183" s="259">
        <f t="shared" ref="F183:F193" si="27">IF(C183=0,0,E183/C183)</f>
        <v>-0.28014090493367544</v>
      </c>
    </row>
    <row r="184" spans="1:6" ht="20.25" customHeight="1" x14ac:dyDescent="0.3">
      <c r="A184" s="256">
        <v>2</v>
      </c>
      <c r="B184" s="257" t="s">
        <v>442</v>
      </c>
      <c r="C184" s="258">
        <v>317971</v>
      </c>
      <c r="D184" s="258">
        <v>101573</v>
      </c>
      <c r="E184" s="258">
        <f t="shared" si="26"/>
        <v>-216398</v>
      </c>
      <c r="F184" s="259">
        <f t="shared" si="27"/>
        <v>-0.68055891889511932</v>
      </c>
    </row>
    <row r="185" spans="1:6" ht="20.25" customHeight="1" x14ac:dyDescent="0.3">
      <c r="A185" s="256">
        <v>3</v>
      </c>
      <c r="B185" s="257" t="s">
        <v>443</v>
      </c>
      <c r="C185" s="258">
        <v>1318791</v>
      </c>
      <c r="D185" s="258">
        <v>591164</v>
      </c>
      <c r="E185" s="258">
        <f t="shared" si="26"/>
        <v>-727627</v>
      </c>
      <c r="F185" s="259">
        <f t="shared" si="27"/>
        <v>-0.5517379175320426</v>
      </c>
    </row>
    <row r="186" spans="1:6" ht="20.25" customHeight="1" x14ac:dyDescent="0.3">
      <c r="A186" s="256">
        <v>4</v>
      </c>
      <c r="B186" s="257" t="s">
        <v>444</v>
      </c>
      <c r="C186" s="258">
        <v>249907</v>
      </c>
      <c r="D186" s="258">
        <v>106209</v>
      </c>
      <c r="E186" s="258">
        <f t="shared" si="26"/>
        <v>-143698</v>
      </c>
      <c r="F186" s="259">
        <f t="shared" si="27"/>
        <v>-0.57500590219561676</v>
      </c>
    </row>
    <row r="187" spans="1:6" ht="20.25" customHeight="1" x14ac:dyDescent="0.3">
      <c r="A187" s="256">
        <v>5</v>
      </c>
      <c r="B187" s="257" t="s">
        <v>381</v>
      </c>
      <c r="C187" s="260">
        <v>31</v>
      </c>
      <c r="D187" s="260">
        <v>13</v>
      </c>
      <c r="E187" s="260">
        <f t="shared" si="26"/>
        <v>-18</v>
      </c>
      <c r="F187" s="259">
        <f t="shared" si="27"/>
        <v>-0.58064516129032262</v>
      </c>
    </row>
    <row r="188" spans="1:6" ht="20.25" customHeight="1" x14ac:dyDescent="0.3">
      <c r="A188" s="256">
        <v>6</v>
      </c>
      <c r="B188" s="257" t="s">
        <v>380</v>
      </c>
      <c r="C188" s="260">
        <v>113</v>
      </c>
      <c r="D188" s="260">
        <v>79</v>
      </c>
      <c r="E188" s="260">
        <f t="shared" si="26"/>
        <v>-34</v>
      </c>
      <c r="F188" s="259">
        <f t="shared" si="27"/>
        <v>-0.30088495575221241</v>
      </c>
    </row>
    <row r="189" spans="1:6" ht="20.25" customHeight="1" x14ac:dyDescent="0.3">
      <c r="A189" s="256">
        <v>7</v>
      </c>
      <c r="B189" s="257" t="s">
        <v>445</v>
      </c>
      <c r="C189" s="260">
        <v>1463</v>
      </c>
      <c r="D189" s="260">
        <v>464</v>
      </c>
      <c r="E189" s="260">
        <f t="shared" si="26"/>
        <v>-999</v>
      </c>
      <c r="F189" s="259">
        <f t="shared" si="27"/>
        <v>-0.68284347231715647</v>
      </c>
    </row>
    <row r="190" spans="1:6" ht="20.25" customHeight="1" x14ac:dyDescent="0.3">
      <c r="A190" s="256">
        <v>8</v>
      </c>
      <c r="B190" s="257" t="s">
        <v>446</v>
      </c>
      <c r="C190" s="260">
        <v>144</v>
      </c>
      <c r="D190" s="260">
        <v>63</v>
      </c>
      <c r="E190" s="260">
        <f t="shared" si="26"/>
        <v>-81</v>
      </c>
      <c r="F190" s="259">
        <f t="shared" si="27"/>
        <v>-0.5625</v>
      </c>
    </row>
    <row r="191" spans="1:6" ht="20.25" customHeight="1" x14ac:dyDescent="0.3">
      <c r="A191" s="256">
        <v>9</v>
      </c>
      <c r="B191" s="257" t="s">
        <v>447</v>
      </c>
      <c r="C191" s="260">
        <v>30</v>
      </c>
      <c r="D191" s="260">
        <v>13</v>
      </c>
      <c r="E191" s="260">
        <f t="shared" si="26"/>
        <v>-17</v>
      </c>
      <c r="F191" s="259">
        <f t="shared" si="27"/>
        <v>-0.56666666666666665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1768172</v>
      </c>
      <c r="D192" s="263">
        <f>+D183+D185</f>
        <v>914655</v>
      </c>
      <c r="E192" s="263">
        <f t="shared" si="26"/>
        <v>-853517</v>
      </c>
      <c r="F192" s="264">
        <f t="shared" si="27"/>
        <v>-0.48271152353956515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567878</v>
      </c>
      <c r="D193" s="263">
        <f>+D184+D186</f>
        <v>207782</v>
      </c>
      <c r="E193" s="263">
        <f t="shared" si="26"/>
        <v>-360096</v>
      </c>
      <c r="F193" s="264">
        <f t="shared" si="27"/>
        <v>-0.6341080302459331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0" t="s">
        <v>44</v>
      </c>
      <c r="B195" s="801" t="s">
        <v>464</v>
      </c>
      <c r="C195" s="803"/>
      <c r="D195" s="804"/>
      <c r="E195" s="804"/>
      <c r="F195" s="805"/>
      <c r="G195" s="806"/>
      <c r="H195" s="806"/>
      <c r="I195" s="806"/>
    </row>
    <row r="196" spans="1:9" ht="20.25" customHeight="1" x14ac:dyDescent="0.3">
      <c r="A196" s="791"/>
      <c r="B196" s="802"/>
      <c r="C196" s="797"/>
      <c r="D196" s="798"/>
      <c r="E196" s="798"/>
      <c r="F196" s="799"/>
      <c r="G196" s="806"/>
      <c r="H196" s="806"/>
      <c r="I196" s="80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5404935</v>
      </c>
      <c r="D198" s="263">
        <f t="shared" si="28"/>
        <v>4725921</v>
      </c>
      <c r="E198" s="263">
        <f t="shared" ref="E198:E208" si="29">D198-C198</f>
        <v>-679014</v>
      </c>
      <c r="F198" s="273">
        <f t="shared" ref="F198:F208" si="30">IF(C198=0,0,E198/C198)</f>
        <v>-0.12562852282219861</v>
      </c>
    </row>
    <row r="199" spans="1:9" ht="20.25" customHeight="1" x14ac:dyDescent="0.3">
      <c r="A199" s="271"/>
      <c r="B199" s="272" t="s">
        <v>466</v>
      </c>
      <c r="C199" s="263">
        <f t="shared" si="28"/>
        <v>3250512</v>
      </c>
      <c r="D199" s="263">
        <f t="shared" si="28"/>
        <v>2540116</v>
      </c>
      <c r="E199" s="263">
        <f t="shared" si="29"/>
        <v>-710396</v>
      </c>
      <c r="F199" s="273">
        <f t="shared" si="30"/>
        <v>-0.21854895474928257</v>
      </c>
    </row>
    <row r="200" spans="1:9" ht="20.25" customHeight="1" x14ac:dyDescent="0.3">
      <c r="A200" s="271"/>
      <c r="B200" s="272" t="s">
        <v>467</v>
      </c>
      <c r="C200" s="263">
        <f t="shared" si="28"/>
        <v>9979803</v>
      </c>
      <c r="D200" s="263">
        <f t="shared" si="28"/>
        <v>10373233</v>
      </c>
      <c r="E200" s="263">
        <f t="shared" si="29"/>
        <v>393430</v>
      </c>
      <c r="F200" s="273">
        <f t="shared" si="30"/>
        <v>3.9422621869389607E-2</v>
      </c>
    </row>
    <row r="201" spans="1:9" ht="20.25" customHeight="1" x14ac:dyDescent="0.3">
      <c r="A201" s="271"/>
      <c r="B201" s="272" t="s">
        <v>468</v>
      </c>
      <c r="C201" s="263">
        <f t="shared" si="28"/>
        <v>2262444</v>
      </c>
      <c r="D201" s="263">
        <f t="shared" si="28"/>
        <v>2160053</v>
      </c>
      <c r="E201" s="263">
        <f t="shared" si="29"/>
        <v>-102391</v>
      </c>
      <c r="F201" s="273">
        <f t="shared" si="30"/>
        <v>-4.5256810776310927E-2</v>
      </c>
    </row>
    <row r="202" spans="1:9" ht="20.25" customHeight="1" x14ac:dyDescent="0.3">
      <c r="A202" s="271"/>
      <c r="B202" s="272" t="s">
        <v>138</v>
      </c>
      <c r="C202" s="274">
        <f t="shared" si="28"/>
        <v>288</v>
      </c>
      <c r="D202" s="274">
        <f t="shared" si="28"/>
        <v>223</v>
      </c>
      <c r="E202" s="274">
        <f t="shared" si="29"/>
        <v>-65</v>
      </c>
      <c r="F202" s="273">
        <f t="shared" si="30"/>
        <v>-0.22569444444444445</v>
      </c>
    </row>
    <row r="203" spans="1:9" ht="20.25" customHeight="1" x14ac:dyDescent="0.3">
      <c r="A203" s="271"/>
      <c r="B203" s="272" t="s">
        <v>140</v>
      </c>
      <c r="C203" s="274">
        <f t="shared" si="28"/>
        <v>1247</v>
      </c>
      <c r="D203" s="274">
        <f t="shared" si="28"/>
        <v>1112</v>
      </c>
      <c r="E203" s="274">
        <f t="shared" si="29"/>
        <v>-135</v>
      </c>
      <c r="F203" s="273">
        <f t="shared" si="30"/>
        <v>-0.1082598235765838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5830</v>
      </c>
      <c r="D204" s="274">
        <f t="shared" si="28"/>
        <v>4287</v>
      </c>
      <c r="E204" s="274">
        <f t="shared" si="29"/>
        <v>-1543</v>
      </c>
      <c r="F204" s="273">
        <f t="shared" si="30"/>
        <v>-0.26466552315608921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995</v>
      </c>
      <c r="D205" s="274">
        <f t="shared" si="28"/>
        <v>1138</v>
      </c>
      <c r="E205" s="274">
        <f t="shared" si="29"/>
        <v>143</v>
      </c>
      <c r="F205" s="273">
        <f t="shared" si="30"/>
        <v>0.14371859296482412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273</v>
      </c>
      <c r="D206" s="274">
        <f t="shared" si="28"/>
        <v>207</v>
      </c>
      <c r="E206" s="274">
        <f t="shared" si="29"/>
        <v>-66</v>
      </c>
      <c r="F206" s="273">
        <f t="shared" si="30"/>
        <v>-0.24175824175824176</v>
      </c>
    </row>
    <row r="207" spans="1:9" ht="20.25" customHeight="1" x14ac:dyDescent="0.3">
      <c r="A207" s="271"/>
      <c r="B207" s="262" t="s">
        <v>471</v>
      </c>
      <c r="C207" s="263">
        <f>+C198+C200</f>
        <v>15384738</v>
      </c>
      <c r="D207" s="263">
        <f>+D198+D200</f>
        <v>15099154</v>
      </c>
      <c r="E207" s="263">
        <f t="shared" si="29"/>
        <v>-285584</v>
      </c>
      <c r="F207" s="273">
        <f t="shared" si="30"/>
        <v>-1.8562812054387926E-2</v>
      </c>
    </row>
    <row r="208" spans="1:9" ht="20.25" customHeight="1" x14ac:dyDescent="0.3">
      <c r="A208" s="271"/>
      <c r="B208" s="262" t="s">
        <v>472</v>
      </c>
      <c r="C208" s="263">
        <f>+C199+C201</f>
        <v>5512956</v>
      </c>
      <c r="D208" s="263">
        <f>+D199+D201</f>
        <v>4700169</v>
      </c>
      <c r="E208" s="263">
        <f t="shared" si="29"/>
        <v>-812787</v>
      </c>
      <c r="F208" s="273">
        <f t="shared" si="30"/>
        <v>-0.14743215799291706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56" fitToHeight="2" orientation="portrait" horizontalDpi="1200" verticalDpi="1200" r:id="rId1"/>
  <headerFooter>
    <oddHeader>&amp;LOFFICE OF HEALTH CARE ACCESS&amp;CTWELVE MONTHS ACTUAL FILING&amp;RWINDHAM COMMUNITY MEMORIAL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6" t="s">
        <v>0</v>
      </c>
      <c r="B2" s="786"/>
      <c r="C2" s="786"/>
      <c r="D2" s="786"/>
      <c r="E2" s="786"/>
      <c r="F2" s="786"/>
    </row>
    <row r="3" spans="1:7" ht="20.25" customHeight="1" x14ac:dyDescent="0.3">
      <c r="A3" s="786" t="s">
        <v>1</v>
      </c>
      <c r="B3" s="786"/>
      <c r="C3" s="786"/>
      <c r="D3" s="786"/>
      <c r="E3" s="786"/>
      <c r="F3" s="786"/>
    </row>
    <row r="4" spans="1:7" ht="20.25" customHeight="1" x14ac:dyDescent="0.3">
      <c r="A4" s="786" t="s">
        <v>314</v>
      </c>
      <c r="B4" s="786"/>
      <c r="C4" s="786"/>
      <c r="D4" s="786"/>
      <c r="E4" s="786"/>
      <c r="F4" s="786"/>
    </row>
    <row r="5" spans="1:7" ht="20.25" customHeight="1" x14ac:dyDescent="0.3">
      <c r="A5" s="786" t="s">
        <v>473</v>
      </c>
      <c r="B5" s="786"/>
      <c r="C5" s="786"/>
      <c r="D5" s="786"/>
      <c r="E5" s="786"/>
      <c r="F5" s="786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0" t="s">
        <v>12</v>
      </c>
      <c r="B10" s="801" t="s">
        <v>116</v>
      </c>
      <c r="C10" s="803"/>
      <c r="D10" s="804"/>
      <c r="E10" s="804"/>
      <c r="F10" s="805"/>
    </row>
    <row r="11" spans="1:7" ht="20.25" customHeight="1" x14ac:dyDescent="0.3">
      <c r="A11" s="791"/>
      <c r="B11" s="802"/>
      <c r="C11" s="797"/>
      <c r="D11" s="798"/>
      <c r="E11" s="798"/>
      <c r="F11" s="799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0" t="s">
        <v>44</v>
      </c>
      <c r="B109" s="801" t="s">
        <v>490</v>
      </c>
      <c r="C109" s="803"/>
      <c r="D109" s="804"/>
      <c r="E109" s="804"/>
      <c r="F109" s="805"/>
      <c r="G109" s="245"/>
    </row>
    <row r="110" spans="1:7" ht="20.25" customHeight="1" x14ac:dyDescent="0.3">
      <c r="A110" s="791"/>
      <c r="B110" s="802"/>
      <c r="C110" s="797"/>
      <c r="D110" s="798"/>
      <c r="E110" s="798"/>
      <c r="F110" s="799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6" fitToHeight="2" orientation="portrait" horizontalDpi="1200" verticalDpi="1200" r:id="rId1"/>
  <headerFooter>
    <oddHeader>&amp;LOFFICE OF HEALTH CARE ACCESS&amp;CTWELVE MONTHS ACTUAL FILING&amp;RWINDHAM COMMUNITY MEMORIAL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500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5138008</v>
      </c>
      <c r="D13" s="22">
        <v>5077410</v>
      </c>
      <c r="E13" s="22">
        <f t="shared" ref="E13:E22" si="0">D13-C13</f>
        <v>-60598</v>
      </c>
      <c r="F13" s="306">
        <f t="shared" ref="F13:F22" si="1">IF(C13=0,0,E13/C13)</f>
        <v>-1.1794064937228592E-2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8372415</v>
      </c>
      <c r="D15" s="22">
        <v>7065829</v>
      </c>
      <c r="E15" s="22">
        <f t="shared" si="0"/>
        <v>-1306586</v>
      </c>
      <c r="F15" s="306">
        <f t="shared" si="1"/>
        <v>-0.15605843714149381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990707</v>
      </c>
      <c r="D19" s="22">
        <v>717629</v>
      </c>
      <c r="E19" s="22">
        <f t="shared" si="0"/>
        <v>-273078</v>
      </c>
      <c r="F19" s="306">
        <f t="shared" si="1"/>
        <v>-0.27563951804115644</v>
      </c>
    </row>
    <row r="20" spans="1:11" ht="24" customHeight="1" x14ac:dyDescent="0.2">
      <c r="A20" s="304">
        <v>8</v>
      </c>
      <c r="B20" s="305" t="s">
        <v>23</v>
      </c>
      <c r="C20" s="22">
        <v>962571</v>
      </c>
      <c r="D20" s="22">
        <v>303858</v>
      </c>
      <c r="E20" s="22">
        <f t="shared" si="0"/>
        <v>-658713</v>
      </c>
      <c r="F20" s="306">
        <f t="shared" si="1"/>
        <v>-0.68432666265657283</v>
      </c>
    </row>
    <row r="21" spans="1:11" ht="24" customHeight="1" x14ac:dyDescent="0.2">
      <c r="A21" s="304">
        <v>9</v>
      </c>
      <c r="B21" s="305" t="s">
        <v>24</v>
      </c>
      <c r="C21" s="22">
        <v>1758500</v>
      </c>
      <c r="D21" s="22">
        <v>2116502</v>
      </c>
      <c r="E21" s="22">
        <f t="shared" si="0"/>
        <v>358002</v>
      </c>
      <c r="F21" s="306">
        <f t="shared" si="1"/>
        <v>0.20358373613875463</v>
      </c>
    </row>
    <row r="22" spans="1:11" ht="24" customHeight="1" x14ac:dyDescent="0.25">
      <c r="A22" s="307"/>
      <c r="B22" s="308" t="s">
        <v>25</v>
      </c>
      <c r="C22" s="309">
        <f>SUM(C13:C21)</f>
        <v>17222201</v>
      </c>
      <c r="D22" s="309">
        <f>SUM(D13:D21)</f>
        <v>15281228</v>
      </c>
      <c r="E22" s="309">
        <f t="shared" si="0"/>
        <v>-1940973</v>
      </c>
      <c r="F22" s="310">
        <f t="shared" si="1"/>
        <v>-0.1127017969422143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2962495</v>
      </c>
      <c r="D25" s="22">
        <v>3086464</v>
      </c>
      <c r="E25" s="22">
        <f>D25-C25</f>
        <v>123969</v>
      </c>
      <c r="F25" s="306">
        <f>IF(C25=0,0,E25/C25)</f>
        <v>4.1846146575774811E-2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1439934</v>
      </c>
      <c r="D27" s="22">
        <v>1439934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2622949</v>
      </c>
      <c r="D28" s="22">
        <v>2843477</v>
      </c>
      <c r="E28" s="22">
        <f>D28-C28</f>
        <v>220528</v>
      </c>
      <c r="F28" s="306">
        <f>IF(C28=0,0,E28/C28)</f>
        <v>8.4076358327973597E-2</v>
      </c>
    </row>
    <row r="29" spans="1:11" ht="35.1" customHeight="1" x14ac:dyDescent="0.25">
      <c r="A29" s="307"/>
      <c r="B29" s="308" t="s">
        <v>32</v>
      </c>
      <c r="C29" s="309">
        <f>SUM(C25:C28)</f>
        <v>7025378</v>
      </c>
      <c r="D29" s="309">
        <f>SUM(D25:D28)</f>
        <v>7369875</v>
      </c>
      <c r="E29" s="309">
        <f>D29-C29</f>
        <v>344497</v>
      </c>
      <c r="F29" s="310">
        <f>IF(C29=0,0,E29/C29)</f>
        <v>4.9036080336175507E-2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461907</v>
      </c>
      <c r="D32" s="22">
        <v>456048</v>
      </c>
      <c r="E32" s="22">
        <f>D32-C32</f>
        <v>-5859</v>
      </c>
      <c r="F32" s="306">
        <f>IF(C32=0,0,E32/C32)</f>
        <v>-1.2684371529333827E-2</v>
      </c>
    </row>
    <row r="33" spans="1:8" ht="24" customHeight="1" x14ac:dyDescent="0.2">
      <c r="A33" s="304">
        <v>7</v>
      </c>
      <c r="B33" s="305" t="s">
        <v>35</v>
      </c>
      <c r="C33" s="22">
        <v>2867317</v>
      </c>
      <c r="D33" s="22">
        <v>2833766</v>
      </c>
      <c r="E33" s="22">
        <f>D33-C33</f>
        <v>-33551</v>
      </c>
      <c r="F33" s="306">
        <f>IF(C33=0,0,E33/C33)</f>
        <v>-1.1701182673558592E-2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121167275</v>
      </c>
      <c r="D36" s="22">
        <v>121581141</v>
      </c>
      <c r="E36" s="22">
        <f>D36-C36</f>
        <v>413866</v>
      </c>
      <c r="F36" s="306">
        <f>IF(C36=0,0,E36/C36)</f>
        <v>3.4156582295013236E-3</v>
      </c>
    </row>
    <row r="37" spans="1:8" ht="24" customHeight="1" x14ac:dyDescent="0.2">
      <c r="A37" s="304">
        <v>2</v>
      </c>
      <c r="B37" s="305" t="s">
        <v>39</v>
      </c>
      <c r="C37" s="22">
        <v>82446254</v>
      </c>
      <c r="D37" s="22">
        <v>86169865</v>
      </c>
      <c r="E37" s="22">
        <f>D37-C37</f>
        <v>3723611</v>
      </c>
      <c r="F37" s="22">
        <f>IF(C37=0,0,E37/C37)</f>
        <v>4.5164101694662805E-2</v>
      </c>
    </row>
    <row r="38" spans="1:8" ht="24" customHeight="1" x14ac:dyDescent="0.25">
      <c r="A38" s="307"/>
      <c r="B38" s="308" t="s">
        <v>40</v>
      </c>
      <c r="C38" s="309">
        <f>C36-C37</f>
        <v>38721021</v>
      </c>
      <c r="D38" s="309">
        <f>D36-D37</f>
        <v>35411276</v>
      </c>
      <c r="E38" s="309">
        <f>D38-C38</f>
        <v>-3309745</v>
      </c>
      <c r="F38" s="310">
        <f>IF(C38=0,0,E38/C38)</f>
        <v>-8.547669752819792E-2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150394</v>
      </c>
      <c r="D40" s="22">
        <v>119651</v>
      </c>
      <c r="E40" s="22">
        <f>D40-C40</f>
        <v>-30743</v>
      </c>
      <c r="F40" s="306">
        <f>IF(C40=0,0,E40/C40)</f>
        <v>-0.20441639959040919</v>
      </c>
    </row>
    <row r="41" spans="1:8" ht="24" customHeight="1" x14ac:dyDescent="0.25">
      <c r="A41" s="307"/>
      <c r="B41" s="308" t="s">
        <v>42</v>
      </c>
      <c r="C41" s="309">
        <f>+C38+C40</f>
        <v>38871415</v>
      </c>
      <c r="D41" s="309">
        <f>+D38+D40</f>
        <v>35530927</v>
      </c>
      <c r="E41" s="309">
        <f>D41-C41</f>
        <v>-3340488</v>
      </c>
      <c r="F41" s="310">
        <f>IF(C41=0,0,E41/C41)</f>
        <v>-8.5936876751206509E-2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66448218</v>
      </c>
      <c r="D43" s="309">
        <f>D22+D29+D31+D32+D33+D41</f>
        <v>61471844</v>
      </c>
      <c r="E43" s="309">
        <f>D43-C43</f>
        <v>-4976374</v>
      </c>
      <c r="F43" s="310">
        <f>IF(C43=0,0,E43/C43)</f>
        <v>-7.4891007611370408E-2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6424553</v>
      </c>
      <c r="D49" s="22">
        <v>2577453</v>
      </c>
      <c r="E49" s="22">
        <f t="shared" ref="E49:E56" si="2">D49-C49</f>
        <v>-3847100</v>
      </c>
      <c r="F49" s="306">
        <f t="shared" ref="F49:F56" si="3">IF(C49=0,0,E49/C49)</f>
        <v>-0.59881208856086954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2284567</v>
      </c>
      <c r="D50" s="22">
        <v>3060464</v>
      </c>
      <c r="E50" s="22">
        <f t="shared" si="2"/>
        <v>775897</v>
      </c>
      <c r="F50" s="306">
        <f t="shared" si="3"/>
        <v>0.33962540822834264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2772561</v>
      </c>
      <c r="D51" s="22">
        <v>1893862</v>
      </c>
      <c r="E51" s="22">
        <f t="shared" si="2"/>
        <v>-878699</v>
      </c>
      <c r="F51" s="306">
        <f t="shared" si="3"/>
        <v>-0.31692684128500692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6298540</v>
      </c>
      <c r="D52" s="22">
        <v>7835895</v>
      </c>
      <c r="E52" s="22">
        <f t="shared" si="2"/>
        <v>1537355</v>
      </c>
      <c r="F52" s="306">
        <f t="shared" si="3"/>
        <v>0.24408116801671498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4449224</v>
      </c>
      <c r="D53" s="22">
        <v>251504</v>
      </c>
      <c r="E53" s="22">
        <f t="shared" si="2"/>
        <v>-4197720</v>
      </c>
      <c r="F53" s="306">
        <f t="shared" si="3"/>
        <v>-0.94347238979201764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1597783</v>
      </c>
      <c r="D55" s="22">
        <v>1924366</v>
      </c>
      <c r="E55" s="22">
        <f t="shared" si="2"/>
        <v>326583</v>
      </c>
      <c r="F55" s="306">
        <f t="shared" si="3"/>
        <v>0.20439759341537619</v>
      </c>
    </row>
    <row r="56" spans="1:6" ht="24" customHeight="1" x14ac:dyDescent="0.25">
      <c r="A56" s="307"/>
      <c r="B56" s="308" t="s">
        <v>54</v>
      </c>
      <c r="C56" s="309">
        <f>SUM(C49:C55)</f>
        <v>23827228</v>
      </c>
      <c r="D56" s="309">
        <f>SUM(D49:D55)</f>
        <v>17543544</v>
      </c>
      <c r="E56" s="309">
        <f t="shared" si="2"/>
        <v>-6283684</v>
      </c>
      <c r="F56" s="310">
        <f t="shared" si="3"/>
        <v>-0.26371863315363414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31165811</v>
      </c>
      <c r="D59" s="22">
        <v>30837372</v>
      </c>
      <c r="E59" s="22">
        <f>D59-C59</f>
        <v>-328439</v>
      </c>
      <c r="F59" s="306">
        <f>IF(C59=0,0,E59/C59)</f>
        <v>-1.0538439060674532E-2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31165811</v>
      </c>
      <c r="D61" s="309">
        <f>SUM(D59:D60)</f>
        <v>30837372</v>
      </c>
      <c r="E61" s="309">
        <f>D61-C61</f>
        <v>-328439</v>
      </c>
      <c r="F61" s="310">
        <f>IF(C61=0,0,E61/C61)</f>
        <v>-1.0538439060674532E-2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47069447</v>
      </c>
      <c r="D63" s="22">
        <v>61961430</v>
      </c>
      <c r="E63" s="22">
        <f>D63-C63</f>
        <v>14891983</v>
      </c>
      <c r="F63" s="306">
        <f>IF(C63=0,0,E63/C63)</f>
        <v>0.31638321563454952</v>
      </c>
    </row>
    <row r="64" spans="1:6" ht="24" customHeight="1" x14ac:dyDescent="0.2">
      <c r="A64" s="304">
        <v>4</v>
      </c>
      <c r="B64" s="305" t="s">
        <v>60</v>
      </c>
      <c r="C64" s="22">
        <v>13629270</v>
      </c>
      <c r="D64" s="22">
        <v>14546345</v>
      </c>
      <c r="E64" s="22">
        <f>D64-C64</f>
        <v>917075</v>
      </c>
      <c r="F64" s="306">
        <f>IF(C64=0,0,E64/C64)</f>
        <v>6.7287169452215703E-2</v>
      </c>
    </row>
    <row r="65" spans="1:6" ht="24" customHeight="1" x14ac:dyDescent="0.25">
      <c r="A65" s="307"/>
      <c r="B65" s="308" t="s">
        <v>61</v>
      </c>
      <c r="C65" s="309">
        <f>SUM(C61:C64)</f>
        <v>91864528</v>
      </c>
      <c r="D65" s="309">
        <f>SUM(D61:D64)</f>
        <v>107345147</v>
      </c>
      <c r="E65" s="309">
        <f>D65-C65</f>
        <v>15480619</v>
      </c>
      <c r="F65" s="310">
        <f>IF(C65=0,0,E65/C65)</f>
        <v>0.16851574091797433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-55316980</v>
      </c>
      <c r="D70" s="22">
        <v>-69976704</v>
      </c>
      <c r="E70" s="22">
        <f>D70-C70</f>
        <v>-14659724</v>
      </c>
      <c r="F70" s="306">
        <f>IF(C70=0,0,E70/C70)</f>
        <v>0.26501309362875558</v>
      </c>
    </row>
    <row r="71" spans="1:6" ht="24" customHeight="1" x14ac:dyDescent="0.2">
      <c r="A71" s="304">
        <v>2</v>
      </c>
      <c r="B71" s="305" t="s">
        <v>65</v>
      </c>
      <c r="C71" s="22">
        <v>1935277</v>
      </c>
      <c r="D71" s="22">
        <v>2271021</v>
      </c>
      <c r="E71" s="22">
        <f>D71-C71</f>
        <v>335744</v>
      </c>
      <c r="F71" s="306">
        <f>IF(C71=0,0,E71/C71)</f>
        <v>0.17348627612481313</v>
      </c>
    </row>
    <row r="72" spans="1:6" ht="24" customHeight="1" x14ac:dyDescent="0.2">
      <c r="A72" s="304">
        <v>3</v>
      </c>
      <c r="B72" s="305" t="s">
        <v>66</v>
      </c>
      <c r="C72" s="22">
        <v>4138165</v>
      </c>
      <c r="D72" s="22">
        <v>4288836</v>
      </c>
      <c r="E72" s="22">
        <f>D72-C72</f>
        <v>150671</v>
      </c>
      <c r="F72" s="306">
        <f>IF(C72=0,0,E72/C72)</f>
        <v>3.6410099645615868E-2</v>
      </c>
    </row>
    <row r="73" spans="1:6" ht="24" customHeight="1" x14ac:dyDescent="0.25">
      <c r="A73" s="304"/>
      <c r="B73" s="308" t="s">
        <v>67</v>
      </c>
      <c r="C73" s="309">
        <f>SUM(C70:C72)</f>
        <v>-49243538</v>
      </c>
      <c r="D73" s="309">
        <f>SUM(D70:D72)</f>
        <v>-63416847</v>
      </c>
      <c r="E73" s="309">
        <f>D73-C73</f>
        <v>-14173309</v>
      </c>
      <c r="F73" s="310">
        <f>IF(C73=0,0,E73/C73)</f>
        <v>0.28782068826979895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66448218</v>
      </c>
      <c r="D75" s="309">
        <f>D56+D65+D67+D73</f>
        <v>61471844</v>
      </c>
      <c r="E75" s="309">
        <f>D75-C75</f>
        <v>-4976374</v>
      </c>
      <c r="F75" s="310">
        <f>IF(C75=0,0,E75/C75)</f>
        <v>-7.4891007611370408E-2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9" fitToHeight="2" orientation="portrait" horizontalDpi="1200" verticalDpi="1200" r:id="rId1"/>
  <headerFooter>
    <oddHeader>&amp;LOFFICE OF HEALTH CARE ACCESS&amp;CTWELVE MONTHS ACTUAL FILING&amp;RWINDHAM COMMUNITY MEMORIAL HOSPITAL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Normal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501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196286597</v>
      </c>
      <c r="D11" s="76">
        <v>175117173</v>
      </c>
      <c r="E11" s="76">
        <f t="shared" ref="E11:E20" si="0">D11-C11</f>
        <v>-21169424</v>
      </c>
      <c r="F11" s="77">
        <f t="shared" ref="F11:F20" si="1">IF(C11=0,0,E11/C11)</f>
        <v>-0.10784956448147094</v>
      </c>
    </row>
    <row r="12" spans="1:7" ht="23.1" customHeight="1" x14ac:dyDescent="0.2">
      <c r="A12" s="74">
        <v>2</v>
      </c>
      <c r="B12" s="75" t="s">
        <v>72</v>
      </c>
      <c r="C12" s="76">
        <v>112015902</v>
      </c>
      <c r="D12" s="76">
        <v>102400464</v>
      </c>
      <c r="E12" s="76">
        <f t="shared" si="0"/>
        <v>-9615438</v>
      </c>
      <c r="F12" s="77">
        <f t="shared" si="1"/>
        <v>-8.5839937261764851E-2</v>
      </c>
    </row>
    <row r="13" spans="1:7" ht="23.1" customHeight="1" x14ac:dyDescent="0.2">
      <c r="A13" s="74">
        <v>3</v>
      </c>
      <c r="B13" s="75" t="s">
        <v>73</v>
      </c>
      <c r="C13" s="76">
        <v>1994173</v>
      </c>
      <c r="D13" s="76">
        <v>1466425</v>
      </c>
      <c r="E13" s="76">
        <f t="shared" si="0"/>
        <v>-527748</v>
      </c>
      <c r="F13" s="77">
        <f t="shared" si="1"/>
        <v>-0.26464504333375288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82276522</v>
      </c>
      <c r="D15" s="79">
        <f>D11-D12-D13-D14</f>
        <v>71250284</v>
      </c>
      <c r="E15" s="79">
        <f t="shared" si="0"/>
        <v>-11026238</v>
      </c>
      <c r="F15" s="80">
        <f t="shared" si="1"/>
        <v>-0.13401439112849228</v>
      </c>
    </row>
    <row r="16" spans="1:7" ht="23.1" customHeight="1" x14ac:dyDescent="0.2">
      <c r="A16" s="74">
        <v>5</v>
      </c>
      <c r="B16" s="75" t="s">
        <v>76</v>
      </c>
      <c r="C16" s="76">
        <v>4675102</v>
      </c>
      <c r="D16" s="76">
        <v>4325446</v>
      </c>
      <c r="E16" s="76">
        <f t="shared" si="0"/>
        <v>-349656</v>
      </c>
      <c r="F16" s="77">
        <f t="shared" si="1"/>
        <v>-7.479109546700799E-2</v>
      </c>
      <c r="G16" s="65"/>
    </row>
    <row r="17" spans="1:7" ht="31.5" customHeight="1" x14ac:dyDescent="0.25">
      <c r="A17" s="71"/>
      <c r="B17" s="81" t="s">
        <v>77</v>
      </c>
      <c r="C17" s="79">
        <f>C15-C16</f>
        <v>77601420</v>
      </c>
      <c r="D17" s="79">
        <f>D15-D16</f>
        <v>66924838</v>
      </c>
      <c r="E17" s="79">
        <f t="shared" si="0"/>
        <v>-10676582</v>
      </c>
      <c r="F17" s="80">
        <f t="shared" si="1"/>
        <v>-0.13758230197334018</v>
      </c>
    </row>
    <row r="18" spans="1:7" ht="23.1" customHeight="1" x14ac:dyDescent="0.2">
      <c r="A18" s="74">
        <v>6</v>
      </c>
      <c r="B18" s="75" t="s">
        <v>78</v>
      </c>
      <c r="C18" s="76">
        <v>4764423</v>
      </c>
      <c r="D18" s="76">
        <v>2822409</v>
      </c>
      <c r="E18" s="76">
        <f t="shared" si="0"/>
        <v>-1942014</v>
      </c>
      <c r="F18" s="77">
        <f t="shared" si="1"/>
        <v>-0.40760738498659754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857</v>
      </c>
      <c r="E19" s="76">
        <f t="shared" si="0"/>
        <v>857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82365843</v>
      </c>
      <c r="D20" s="79">
        <f>SUM(D17:D19)</f>
        <v>69748104</v>
      </c>
      <c r="E20" s="79">
        <f t="shared" si="0"/>
        <v>-12617739</v>
      </c>
      <c r="F20" s="80">
        <f t="shared" si="1"/>
        <v>-0.15319140241179829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35993309</v>
      </c>
      <c r="D23" s="76">
        <v>31798838</v>
      </c>
      <c r="E23" s="76">
        <f t="shared" ref="E23:E32" si="2">D23-C23</f>
        <v>-4194471</v>
      </c>
      <c r="F23" s="77">
        <f t="shared" ref="F23:F32" si="3">IF(C23=0,0,E23/C23)</f>
        <v>-0.11653474261007789</v>
      </c>
    </row>
    <row r="24" spans="1:7" ht="23.1" customHeight="1" x14ac:dyDescent="0.2">
      <c r="A24" s="74">
        <v>2</v>
      </c>
      <c r="B24" s="75" t="s">
        <v>83</v>
      </c>
      <c r="C24" s="76">
        <v>10834809</v>
      </c>
      <c r="D24" s="76">
        <v>11354735</v>
      </c>
      <c r="E24" s="76">
        <f t="shared" si="2"/>
        <v>519926</v>
      </c>
      <c r="F24" s="77">
        <f t="shared" si="3"/>
        <v>4.7986632713137814E-2</v>
      </c>
    </row>
    <row r="25" spans="1:7" ht="23.1" customHeight="1" x14ac:dyDescent="0.2">
      <c r="A25" s="74">
        <v>3</v>
      </c>
      <c r="B25" s="75" t="s">
        <v>84</v>
      </c>
      <c r="C25" s="76">
        <v>2627350</v>
      </c>
      <c r="D25" s="76">
        <v>2785769</v>
      </c>
      <c r="E25" s="76">
        <f t="shared" si="2"/>
        <v>158419</v>
      </c>
      <c r="F25" s="77">
        <f t="shared" si="3"/>
        <v>6.0296115858184104E-2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7734480</v>
      </c>
      <c r="D26" s="76">
        <v>6393287</v>
      </c>
      <c r="E26" s="76">
        <f t="shared" si="2"/>
        <v>-1341193</v>
      </c>
      <c r="F26" s="77">
        <f t="shared" si="3"/>
        <v>-0.17340441762083553</v>
      </c>
    </row>
    <row r="27" spans="1:7" ht="23.1" customHeight="1" x14ac:dyDescent="0.2">
      <c r="A27" s="74">
        <v>5</v>
      </c>
      <c r="B27" s="75" t="s">
        <v>86</v>
      </c>
      <c r="C27" s="76">
        <v>4243315</v>
      </c>
      <c r="D27" s="76">
        <v>3879948</v>
      </c>
      <c r="E27" s="76">
        <f t="shared" si="2"/>
        <v>-363367</v>
      </c>
      <c r="F27" s="77">
        <f t="shared" si="3"/>
        <v>-8.5632813024722421E-2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1698978</v>
      </c>
      <c r="D29" s="76">
        <v>1785086</v>
      </c>
      <c r="E29" s="76">
        <f t="shared" si="2"/>
        <v>86108</v>
      </c>
      <c r="F29" s="77">
        <f t="shared" si="3"/>
        <v>5.0682233672242963E-2</v>
      </c>
    </row>
    <row r="30" spans="1:7" ht="23.1" customHeight="1" x14ac:dyDescent="0.2">
      <c r="A30" s="74">
        <v>8</v>
      </c>
      <c r="B30" s="75" t="s">
        <v>89</v>
      </c>
      <c r="C30" s="76">
        <v>343860</v>
      </c>
      <c r="D30" s="76">
        <v>413222</v>
      </c>
      <c r="E30" s="76">
        <f t="shared" si="2"/>
        <v>69362</v>
      </c>
      <c r="F30" s="77">
        <f t="shared" si="3"/>
        <v>0.20171581457569943</v>
      </c>
    </row>
    <row r="31" spans="1:7" ht="23.1" customHeight="1" x14ac:dyDescent="0.2">
      <c r="A31" s="74">
        <v>9</v>
      </c>
      <c r="B31" s="75" t="s">
        <v>90</v>
      </c>
      <c r="C31" s="76">
        <v>23285423</v>
      </c>
      <c r="D31" s="76">
        <v>23201776</v>
      </c>
      <c r="E31" s="76">
        <f t="shared" si="2"/>
        <v>-83647</v>
      </c>
      <c r="F31" s="77">
        <f t="shared" si="3"/>
        <v>-3.5922473901375982E-3</v>
      </c>
    </row>
    <row r="32" spans="1:7" ht="23.1" customHeight="1" x14ac:dyDescent="0.25">
      <c r="A32" s="71"/>
      <c r="B32" s="78" t="s">
        <v>91</v>
      </c>
      <c r="C32" s="79">
        <f>SUM(C23:C31)</f>
        <v>86761524</v>
      </c>
      <c r="D32" s="79">
        <f>SUM(D23:D31)</f>
        <v>81612661</v>
      </c>
      <c r="E32" s="79">
        <f t="shared" si="2"/>
        <v>-5148863</v>
      </c>
      <c r="F32" s="80">
        <f t="shared" si="3"/>
        <v>-5.9345004128788702E-2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-4395681</v>
      </c>
      <c r="D34" s="79">
        <f>+D20-D32</f>
        <v>-11864557</v>
      </c>
      <c r="E34" s="79">
        <f>D34-C34</f>
        <v>-7468876</v>
      </c>
      <c r="F34" s="80">
        <f>IF(C34=0,0,E34/C34)</f>
        <v>1.6991396782432575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116996</v>
      </c>
      <c r="D37" s="76">
        <v>120473</v>
      </c>
      <c r="E37" s="76">
        <f>D37-C37</f>
        <v>3477</v>
      </c>
      <c r="F37" s="77">
        <f>IF(C37=0,0,E37/C37)</f>
        <v>2.9718964750931654E-2</v>
      </c>
    </row>
    <row r="38" spans="1:6" ht="23.1" customHeight="1" x14ac:dyDescent="0.2">
      <c r="A38" s="85">
        <v>2</v>
      </c>
      <c r="B38" s="75" t="s">
        <v>95</v>
      </c>
      <c r="C38" s="76">
        <v>96770</v>
      </c>
      <c r="D38" s="76">
        <v>149246</v>
      </c>
      <c r="E38" s="76">
        <f>D38-C38</f>
        <v>52476</v>
      </c>
      <c r="F38" s="77">
        <f>IF(C38=0,0,E38/C38)</f>
        <v>0.54227549860493951</v>
      </c>
    </row>
    <row r="39" spans="1:6" ht="23.1" customHeight="1" x14ac:dyDescent="0.2">
      <c r="A39" s="85">
        <v>3</v>
      </c>
      <c r="B39" s="75" t="s">
        <v>96</v>
      </c>
      <c r="C39" s="76">
        <v>-1363155</v>
      </c>
      <c r="D39" s="76">
        <v>-1417392</v>
      </c>
      <c r="E39" s="76">
        <f>D39-C39</f>
        <v>-54237</v>
      </c>
      <c r="F39" s="77">
        <f>IF(C39=0,0,E39/C39)</f>
        <v>3.9787845109323594E-2</v>
      </c>
    </row>
    <row r="40" spans="1:6" ht="23.1" customHeight="1" x14ac:dyDescent="0.25">
      <c r="A40" s="83"/>
      <c r="B40" s="78" t="s">
        <v>97</v>
      </c>
      <c r="C40" s="79">
        <f>SUM(C37:C39)</f>
        <v>-1149389</v>
      </c>
      <c r="D40" s="79">
        <f>SUM(D37:D39)</f>
        <v>-1147673</v>
      </c>
      <c r="E40" s="79">
        <f>D40-C40</f>
        <v>1716</v>
      </c>
      <c r="F40" s="80">
        <f>IF(C40=0,0,E40/C40)</f>
        <v>-1.4929671329723879E-3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502</v>
      </c>
      <c r="C42" s="79">
        <f>C34+C40</f>
        <v>-5545070</v>
      </c>
      <c r="D42" s="79">
        <f>D34+D40</f>
        <v>-13012230</v>
      </c>
      <c r="E42" s="79">
        <f>D42-C42</f>
        <v>-7467160</v>
      </c>
      <c r="F42" s="80">
        <f>IF(C42=0,0,E42/C42)</f>
        <v>1.3466304302740992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-7589</v>
      </c>
      <c r="D45" s="76">
        <v>6783</v>
      </c>
      <c r="E45" s="76">
        <f>D45-C45</f>
        <v>14372</v>
      </c>
      <c r="F45" s="77">
        <f>IF(C45=0,0,E45/C45)</f>
        <v>-1.8937936487020688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-7589</v>
      </c>
      <c r="D47" s="79">
        <f>SUM(D45:D46)</f>
        <v>6783</v>
      </c>
      <c r="E47" s="79">
        <f>D47-C47</f>
        <v>14372</v>
      </c>
      <c r="F47" s="80">
        <f>IF(C47=0,0,E47/C47)</f>
        <v>-1.8937936487020688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-5552659</v>
      </c>
      <c r="D49" s="79">
        <f>D42+D47</f>
        <v>-13005447</v>
      </c>
      <c r="E49" s="79">
        <f>D49-C49</f>
        <v>-7452788</v>
      </c>
      <c r="F49" s="80">
        <f>IF(C49=0,0,E49/C49)</f>
        <v>1.3422016370895458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68" orientation="portrait" horizontalDpi="1200" verticalDpi="1200" r:id="rId1"/>
  <headerFooter>
    <oddHeader>&amp;L&amp;8OFFICE OF HEALTH CARE ACCESS&amp;C&amp;8TWELVE MONTHS ACTUAL FILING&amp;R&amp;8WINDHAM COMMUNITY MEMORIAL HOSPITAL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265</vt:i4>
      </vt:variant>
    </vt:vector>
  </HeadingPairs>
  <TitlesOfParts>
    <vt:vector size="284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Report500!Print_Area</vt:lpstr>
      <vt:lpstr>Report550!Print_Area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Cotto, Carmen</cp:lastModifiedBy>
  <dcterms:created xsi:type="dcterms:W3CDTF">2017-09-21T18:39:41Z</dcterms:created>
  <dcterms:modified xsi:type="dcterms:W3CDTF">2017-09-21T19:14:00Z</dcterms:modified>
</cp:coreProperties>
</file>