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osterti\Documents\"/>
    </mc:Choice>
  </mc:AlternateContent>
  <bookViews>
    <workbookView xWindow="0" yWindow="0" windowWidth="28800" windowHeight="13635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Report485!$A$11:$F$30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5251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/>
  <c r="C96" i="22"/>
  <c r="C98" i="22" s="1"/>
  <c r="E92" i="22"/>
  <c r="D92" i="22"/>
  <c r="C92" i="22"/>
  <c r="E91" i="22"/>
  <c r="E93" i="22"/>
  <c r="D91" i="22"/>
  <c r="D93" i="22" s="1"/>
  <c r="C91" i="22"/>
  <c r="E87" i="22"/>
  <c r="D87" i="22"/>
  <c r="C87" i="22"/>
  <c r="E86" i="22"/>
  <c r="E88" i="22"/>
  <c r="D86" i="22"/>
  <c r="D88" i="22" s="1"/>
  <c r="C86" i="22"/>
  <c r="E83" i="22"/>
  <c r="E102" i="22" s="1"/>
  <c r="D83" i="22"/>
  <c r="C83" i="22"/>
  <c r="E76" i="22"/>
  <c r="D76" i="22"/>
  <c r="C76" i="22"/>
  <c r="E75" i="22"/>
  <c r="E77" i="22"/>
  <c r="E110" i="22" s="1"/>
  <c r="D75" i="22"/>
  <c r="D77" i="22" s="1"/>
  <c r="C75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E33" i="22" s="1"/>
  <c r="D12" i="22"/>
  <c r="C12" i="22"/>
  <c r="C33" i="22" s="1"/>
  <c r="D21" i="21"/>
  <c r="C21" i="21"/>
  <c r="D19" i="21"/>
  <c r="E19" i="21"/>
  <c r="C19" i="21"/>
  <c r="F19" i="21" s="1"/>
  <c r="E17" i="21"/>
  <c r="F17" i="21" s="1"/>
  <c r="E15" i="21"/>
  <c r="F15" i="21" s="1"/>
  <c r="D45" i="20"/>
  <c r="C45" i="20"/>
  <c r="D44" i="20"/>
  <c r="C44" i="20"/>
  <c r="D43" i="20"/>
  <c r="D46" i="20" s="1"/>
  <c r="C43" i="20"/>
  <c r="D36" i="20"/>
  <c r="D40" i="20"/>
  <c r="C36" i="20"/>
  <c r="C40" i="20" s="1"/>
  <c r="E35" i="20"/>
  <c r="F35" i="20" s="1"/>
  <c r="E34" i="20"/>
  <c r="F34" i="20" s="1"/>
  <c r="E33" i="20"/>
  <c r="E36" i="20" s="1"/>
  <c r="F36" i="20" s="1"/>
  <c r="E30" i="20"/>
  <c r="F30" i="20" s="1"/>
  <c r="E29" i="20"/>
  <c r="F29" i="20" s="1"/>
  <c r="E28" i="20"/>
  <c r="F28" i="20" s="1"/>
  <c r="E27" i="20"/>
  <c r="F27" i="20" s="1"/>
  <c r="D25" i="20"/>
  <c r="D39" i="20" s="1"/>
  <c r="C25" i="20"/>
  <c r="C39" i="20" s="1"/>
  <c r="C41" i="20" s="1"/>
  <c r="E24" i="20"/>
  <c r="F24" i="20" s="1"/>
  <c r="E23" i="20"/>
  <c r="F23" i="20" s="1"/>
  <c r="F22" i="20"/>
  <c r="E22" i="20"/>
  <c r="D19" i="20"/>
  <c r="D20" i="20"/>
  <c r="C19" i="20"/>
  <c r="E18" i="20"/>
  <c r="F18" i="20" s="1"/>
  <c r="D16" i="20"/>
  <c r="E16" i="20" s="1"/>
  <c r="C16" i="20"/>
  <c r="E15" i="20"/>
  <c r="F15" i="20" s="1"/>
  <c r="E13" i="20"/>
  <c r="F13" i="20" s="1"/>
  <c r="E12" i="20"/>
  <c r="F12" i="20" s="1"/>
  <c r="C115" i="19"/>
  <c r="C105" i="19"/>
  <c r="C137" i="19" s="1"/>
  <c r="C139" i="19" s="1"/>
  <c r="C143" i="19" s="1"/>
  <c r="C96" i="19"/>
  <c r="C95" i="19"/>
  <c r="C89" i="19"/>
  <c r="C88" i="19"/>
  <c r="C83" i="19"/>
  <c r="C77" i="19"/>
  <c r="C78" i="19" s="1"/>
  <c r="C63" i="19"/>
  <c r="C59" i="19"/>
  <c r="C60" i="19" s="1"/>
  <c r="C48" i="19"/>
  <c r="C36" i="19"/>
  <c r="C32" i="19"/>
  <c r="C33" i="19" s="1"/>
  <c r="C21" i="19"/>
  <c r="E328" i="18"/>
  <c r="E325" i="18"/>
  <c r="D324" i="18"/>
  <c r="E324" i="18"/>
  <c r="C324" i="18"/>
  <c r="C326" i="18"/>
  <c r="C330" i="18" s="1"/>
  <c r="E318" i="18"/>
  <c r="E315" i="18"/>
  <c r="D314" i="18"/>
  <c r="E314" i="18" s="1"/>
  <c r="C314" i="18"/>
  <c r="C316" i="18" s="1"/>
  <c r="C320" i="18" s="1"/>
  <c r="E308" i="18"/>
  <c r="E305" i="18"/>
  <c r="D301" i="18"/>
  <c r="C301" i="18"/>
  <c r="E301" i="18" s="1"/>
  <c r="D293" i="18"/>
  <c r="E293" i="18" s="1"/>
  <c r="C293" i="18"/>
  <c r="D292" i="18"/>
  <c r="C292" i="18"/>
  <c r="D291" i="18"/>
  <c r="E291" i="18"/>
  <c r="C291" i="18"/>
  <c r="D290" i="18"/>
  <c r="C290" i="18"/>
  <c r="D288" i="18"/>
  <c r="C288" i="18"/>
  <c r="D287" i="18"/>
  <c r="C287" i="18"/>
  <c r="D282" i="18"/>
  <c r="E282" i="18" s="1"/>
  <c r="C282" i="18"/>
  <c r="D281" i="18"/>
  <c r="E281" i="18"/>
  <c r="C281" i="18"/>
  <c r="D280" i="18"/>
  <c r="C280" i="18"/>
  <c r="E280" i="18"/>
  <c r="D279" i="18"/>
  <c r="E279" i="18" s="1"/>
  <c r="C279" i="18"/>
  <c r="D278" i="18"/>
  <c r="C278" i="18"/>
  <c r="E278" i="18" s="1"/>
  <c r="D277" i="18"/>
  <c r="C277" i="18"/>
  <c r="D276" i="18"/>
  <c r="C276" i="18"/>
  <c r="E276" i="18"/>
  <c r="E270" i="18"/>
  <c r="D265" i="18"/>
  <c r="D302" i="18"/>
  <c r="C265" i="18"/>
  <c r="C302" i="18" s="1"/>
  <c r="E302" i="18" s="1"/>
  <c r="D262" i="18"/>
  <c r="C262" i="18"/>
  <c r="E262" i="18"/>
  <c r="D251" i="18"/>
  <c r="C251" i="18"/>
  <c r="D233" i="18"/>
  <c r="C233" i="18"/>
  <c r="D232" i="18"/>
  <c r="C232" i="18"/>
  <c r="D231" i="18"/>
  <c r="D252" i="18" s="1"/>
  <c r="C231" i="18"/>
  <c r="E231" i="18" s="1"/>
  <c r="D230" i="18"/>
  <c r="E230" i="18" s="1"/>
  <c r="C230" i="18"/>
  <c r="D228" i="18"/>
  <c r="E228" i="18" s="1"/>
  <c r="C228" i="18"/>
  <c r="D227" i="18"/>
  <c r="C227" i="18"/>
  <c r="D221" i="18"/>
  <c r="C221" i="18"/>
  <c r="C245" i="18"/>
  <c r="D220" i="18"/>
  <c r="C220" i="18"/>
  <c r="C244" i="18" s="1"/>
  <c r="D219" i="18"/>
  <c r="D243" i="18" s="1"/>
  <c r="C219" i="18"/>
  <c r="C243" i="18"/>
  <c r="E243" i="18" s="1"/>
  <c r="D218" i="18"/>
  <c r="D242" i="18"/>
  <c r="C218" i="18"/>
  <c r="D216" i="18"/>
  <c r="D240" i="18" s="1"/>
  <c r="C216" i="18"/>
  <c r="D215" i="18"/>
  <c r="D239" i="18" s="1"/>
  <c r="C215" i="18"/>
  <c r="C239" i="18" s="1"/>
  <c r="E239" i="18" s="1"/>
  <c r="D210" i="18"/>
  <c r="D180" i="18" s="1"/>
  <c r="E209" i="18"/>
  <c r="E208" i="18"/>
  <c r="E207" i="18"/>
  <c r="E206" i="18"/>
  <c r="D205" i="18"/>
  <c r="C205" i="18"/>
  <c r="C210" i="18" s="1"/>
  <c r="C229" i="18"/>
  <c r="E204" i="18"/>
  <c r="E203" i="18"/>
  <c r="E197" i="18"/>
  <c r="E196" i="18"/>
  <c r="D195" i="18"/>
  <c r="C195" i="18"/>
  <c r="C260" i="18"/>
  <c r="E194" i="18"/>
  <c r="E193" i="18"/>
  <c r="E192" i="18"/>
  <c r="E191" i="18"/>
  <c r="E190" i="18"/>
  <c r="D188" i="18"/>
  <c r="D189" i="18" s="1"/>
  <c r="D261" i="18"/>
  <c r="C188" i="18"/>
  <c r="C189" i="18" s="1"/>
  <c r="E189" i="18" s="1"/>
  <c r="E186" i="18"/>
  <c r="E185" i="18"/>
  <c r="D179" i="18"/>
  <c r="C179" i="18"/>
  <c r="D178" i="18"/>
  <c r="C178" i="18"/>
  <c r="E178" i="18"/>
  <c r="D177" i="18"/>
  <c r="C177" i="18"/>
  <c r="D176" i="18"/>
  <c r="E176" i="18" s="1"/>
  <c r="C176" i="18"/>
  <c r="D174" i="18"/>
  <c r="C174" i="18"/>
  <c r="E174" i="18"/>
  <c r="D173" i="18"/>
  <c r="C173" i="18"/>
  <c r="D167" i="18"/>
  <c r="E167" i="18" s="1"/>
  <c r="C167" i="18"/>
  <c r="D166" i="18"/>
  <c r="C166" i="18"/>
  <c r="E166" i="18" s="1"/>
  <c r="D165" i="18"/>
  <c r="C165" i="18"/>
  <c r="D164" i="18"/>
  <c r="E164" i="18"/>
  <c r="C164" i="18"/>
  <c r="D162" i="18"/>
  <c r="C162" i="18"/>
  <c r="E162" i="18" s="1"/>
  <c r="D161" i="18"/>
  <c r="C161" i="18"/>
  <c r="E155" i="18"/>
  <c r="E154" i="18"/>
  <c r="E153" i="18"/>
  <c r="E152" i="18"/>
  <c r="D151" i="18"/>
  <c r="D156" i="18" s="1"/>
  <c r="D157" i="18" s="1"/>
  <c r="C151" i="18"/>
  <c r="E150" i="18"/>
  <c r="E149" i="18"/>
  <c r="E143" i="18"/>
  <c r="E142" i="18"/>
  <c r="E141" i="18"/>
  <c r="E140" i="18"/>
  <c r="D139" i="18"/>
  <c r="D144" i="18" s="1"/>
  <c r="C139" i="18"/>
  <c r="E138" i="18"/>
  <c r="E137" i="18"/>
  <c r="D75" i="18"/>
  <c r="E75" i="18"/>
  <c r="C75" i="18"/>
  <c r="D74" i="18"/>
  <c r="C74" i="18"/>
  <c r="E74" i="18"/>
  <c r="D73" i="18"/>
  <c r="C73" i="18"/>
  <c r="D72" i="18"/>
  <c r="C72" i="18"/>
  <c r="D70" i="18"/>
  <c r="C70" i="18"/>
  <c r="D69" i="18"/>
  <c r="E69" i="18"/>
  <c r="C69" i="18"/>
  <c r="E64" i="18"/>
  <c r="E63" i="18"/>
  <c r="E62" i="18"/>
  <c r="E61" i="18"/>
  <c r="D60" i="18"/>
  <c r="C60" i="18"/>
  <c r="C289" i="18"/>
  <c r="E59" i="18"/>
  <c r="E58" i="18"/>
  <c r="D54" i="18"/>
  <c r="C54" i="18"/>
  <c r="C55" i="18" s="1"/>
  <c r="E53" i="18"/>
  <c r="E52" i="18"/>
  <c r="E51" i="18"/>
  <c r="E50" i="18"/>
  <c r="E49" i="18"/>
  <c r="E48" i="18"/>
  <c r="E47" i="18"/>
  <c r="D42" i="18"/>
  <c r="C42" i="18"/>
  <c r="D41" i="18"/>
  <c r="C41" i="18"/>
  <c r="C43" i="18" s="1"/>
  <c r="D40" i="18"/>
  <c r="E40" i="18" s="1"/>
  <c r="C40" i="18"/>
  <c r="D39" i="18"/>
  <c r="E39" i="18" s="1"/>
  <c r="C39" i="18"/>
  <c r="D38" i="18"/>
  <c r="C38" i="18"/>
  <c r="D37" i="18"/>
  <c r="E37" i="18" s="1"/>
  <c r="D43" i="18"/>
  <c r="C37" i="18"/>
  <c r="D36" i="18"/>
  <c r="C36" i="18"/>
  <c r="D32" i="18"/>
  <c r="D33" i="18" s="1"/>
  <c r="C32" i="18"/>
  <c r="C33" i="18"/>
  <c r="E31" i="18"/>
  <c r="E30" i="18"/>
  <c r="E29" i="18"/>
  <c r="E28" i="18"/>
  <c r="E27" i="18"/>
  <c r="E26" i="18"/>
  <c r="E25" i="18"/>
  <c r="C22" i="18"/>
  <c r="D21" i="18"/>
  <c r="D22" i="18" s="1"/>
  <c r="C21" i="18"/>
  <c r="E20" i="18"/>
  <c r="E19" i="18"/>
  <c r="E18" i="18"/>
  <c r="E17" i="18"/>
  <c r="E16" i="18"/>
  <c r="E15" i="18"/>
  <c r="E14" i="18"/>
  <c r="E335" i="17"/>
  <c r="F335" i="17" s="1"/>
  <c r="F334" i="17"/>
  <c r="E334" i="17"/>
  <c r="F333" i="17"/>
  <c r="E333" i="17"/>
  <c r="F332" i="17"/>
  <c r="E332" i="17"/>
  <c r="E331" i="17"/>
  <c r="F331" i="17" s="1"/>
  <c r="F330" i="17"/>
  <c r="E330" i="17"/>
  <c r="F329" i="17"/>
  <c r="E329" i="17"/>
  <c r="F316" i="17"/>
  <c r="E316" i="17"/>
  <c r="D311" i="17"/>
  <c r="C311" i="17"/>
  <c r="E308" i="17"/>
  <c r="F308" i="17" s="1"/>
  <c r="D307" i="17"/>
  <c r="E307" i="17" s="1"/>
  <c r="C307" i="17"/>
  <c r="D299" i="17"/>
  <c r="C299" i="17"/>
  <c r="E299" i="17" s="1"/>
  <c r="F299" i="17" s="1"/>
  <c r="D298" i="17"/>
  <c r="E298" i="17" s="1"/>
  <c r="C298" i="17"/>
  <c r="F298" i="17" s="1"/>
  <c r="D297" i="17"/>
  <c r="C297" i="17"/>
  <c r="D296" i="17"/>
  <c r="C296" i="17"/>
  <c r="D295" i="17"/>
  <c r="C295" i="17"/>
  <c r="E295" i="17" s="1"/>
  <c r="D294" i="17"/>
  <c r="C294" i="17"/>
  <c r="D250" i="17"/>
  <c r="D306" i="17" s="1"/>
  <c r="C250" i="17"/>
  <c r="C306" i="17" s="1"/>
  <c r="E249" i="17"/>
  <c r="F249" i="17" s="1"/>
  <c r="E248" i="17"/>
  <c r="F248" i="17" s="1"/>
  <c r="F245" i="17"/>
  <c r="E245" i="17"/>
  <c r="E244" i="17"/>
  <c r="F244" i="17" s="1"/>
  <c r="E243" i="17"/>
  <c r="F243" i="17" s="1"/>
  <c r="D238" i="17"/>
  <c r="C238" i="17"/>
  <c r="E238" i="17" s="1"/>
  <c r="D237" i="17"/>
  <c r="D239" i="17"/>
  <c r="C237" i="17"/>
  <c r="E234" i="17"/>
  <c r="F234" i="17" s="1"/>
  <c r="E233" i="17"/>
  <c r="F233" i="17" s="1"/>
  <c r="D230" i="17"/>
  <c r="C230" i="17"/>
  <c r="E230" i="17" s="1"/>
  <c r="D229" i="17"/>
  <c r="E229" i="17" s="1"/>
  <c r="C229" i="17"/>
  <c r="F229" i="17" s="1"/>
  <c r="E228" i="17"/>
  <c r="F228" i="17" s="1"/>
  <c r="D226" i="17"/>
  <c r="D227" i="17"/>
  <c r="C226" i="17"/>
  <c r="E225" i="17"/>
  <c r="F225" i="17" s="1"/>
  <c r="E224" i="17"/>
  <c r="F224" i="17"/>
  <c r="D223" i="17"/>
  <c r="E223" i="17" s="1"/>
  <c r="F223" i="17" s="1"/>
  <c r="C223" i="17"/>
  <c r="E222" i="17"/>
  <c r="F222" i="17" s="1"/>
  <c r="E221" i="17"/>
  <c r="F221" i="17" s="1"/>
  <c r="D204" i="17"/>
  <c r="C204" i="17"/>
  <c r="D203" i="17"/>
  <c r="C203" i="17"/>
  <c r="C283" i="17"/>
  <c r="D198" i="17"/>
  <c r="D200" i="17" s="1"/>
  <c r="C198" i="17"/>
  <c r="C290" i="17" s="1"/>
  <c r="D191" i="17"/>
  <c r="C191" i="17"/>
  <c r="C280" i="17" s="1"/>
  <c r="D189" i="17"/>
  <c r="C189" i="17"/>
  <c r="D188" i="17"/>
  <c r="C188" i="17"/>
  <c r="D180" i="17"/>
  <c r="E180" i="17" s="1"/>
  <c r="C180" i="17"/>
  <c r="D179" i="17"/>
  <c r="C179" i="17"/>
  <c r="F179" i="17" s="1"/>
  <c r="D171" i="17"/>
  <c r="D172" i="17"/>
  <c r="D173" i="17" s="1"/>
  <c r="C171" i="17"/>
  <c r="C172" i="17" s="1"/>
  <c r="D170" i="17"/>
  <c r="C170" i="17"/>
  <c r="F169" i="17"/>
  <c r="E169" i="17"/>
  <c r="F168" i="17"/>
  <c r="E168" i="17"/>
  <c r="D165" i="17"/>
  <c r="C165" i="17"/>
  <c r="D164" i="17"/>
  <c r="C164" i="17"/>
  <c r="F164" i="17" s="1"/>
  <c r="F163" i="17"/>
  <c r="E163" i="17"/>
  <c r="D158" i="17"/>
  <c r="D159" i="17" s="1"/>
  <c r="C158" i="17"/>
  <c r="F158" i="17" s="1"/>
  <c r="C159" i="17"/>
  <c r="F159" i="17" s="1"/>
  <c r="F157" i="17"/>
  <c r="E157" i="17"/>
  <c r="F156" i="17"/>
  <c r="E156" i="17"/>
  <c r="D155" i="17"/>
  <c r="C155" i="17"/>
  <c r="F154" i="17"/>
  <c r="E154" i="17"/>
  <c r="F153" i="17"/>
  <c r="E153" i="17"/>
  <c r="D145" i="17"/>
  <c r="E145" i="17" s="1"/>
  <c r="F145" i="17" s="1"/>
  <c r="C145" i="17"/>
  <c r="D144" i="17"/>
  <c r="C144" i="17"/>
  <c r="D136" i="17"/>
  <c r="E136" i="17" s="1"/>
  <c r="D137" i="17"/>
  <c r="C136" i="17"/>
  <c r="C137" i="17"/>
  <c r="C138" i="17" s="1"/>
  <c r="D135" i="17"/>
  <c r="C135" i="17"/>
  <c r="E134" i="17"/>
  <c r="F134" i="17"/>
  <c r="E133" i="17"/>
  <c r="F133" i="17" s="1"/>
  <c r="D130" i="17"/>
  <c r="C130" i="17"/>
  <c r="D129" i="17"/>
  <c r="E129" i="17" s="1"/>
  <c r="F129" i="17" s="1"/>
  <c r="C129" i="17"/>
  <c r="E128" i="17"/>
  <c r="F128" i="17"/>
  <c r="D123" i="17"/>
  <c r="D124" i="17" s="1"/>
  <c r="C123" i="17"/>
  <c r="E122" i="17"/>
  <c r="F122" i="17" s="1"/>
  <c r="E121" i="17"/>
  <c r="F121" i="17" s="1"/>
  <c r="D120" i="17"/>
  <c r="C120" i="17"/>
  <c r="E119" i="17"/>
  <c r="F119" i="17"/>
  <c r="E118" i="17"/>
  <c r="F118" i="17"/>
  <c r="D110" i="17"/>
  <c r="C110" i="17"/>
  <c r="D109" i="17"/>
  <c r="C109" i="17"/>
  <c r="D101" i="17"/>
  <c r="D102" i="17"/>
  <c r="C101" i="17"/>
  <c r="C102" i="17"/>
  <c r="D100" i="17"/>
  <c r="E100" i="17" s="1"/>
  <c r="F100" i="17" s="1"/>
  <c r="C100" i="17"/>
  <c r="E99" i="17"/>
  <c r="F99" i="17"/>
  <c r="E98" i="17"/>
  <c r="F98" i="17"/>
  <c r="D95" i="17"/>
  <c r="E95" i="17"/>
  <c r="F95" i="17" s="1"/>
  <c r="C95" i="17"/>
  <c r="D94" i="17"/>
  <c r="C94" i="17"/>
  <c r="E94" i="17" s="1"/>
  <c r="E93" i="17"/>
  <c r="F93" i="17"/>
  <c r="D88" i="17"/>
  <c r="C88" i="17"/>
  <c r="E87" i="17"/>
  <c r="F87" i="17" s="1"/>
  <c r="E86" i="17"/>
  <c r="F86" i="17" s="1"/>
  <c r="D85" i="17"/>
  <c r="C85" i="17"/>
  <c r="E84" i="17"/>
  <c r="F84" i="17"/>
  <c r="E83" i="17"/>
  <c r="F83" i="17" s="1"/>
  <c r="D76" i="17"/>
  <c r="D77" i="17"/>
  <c r="C76" i="17"/>
  <c r="E74" i="17"/>
  <c r="F74" i="17" s="1"/>
  <c r="E73" i="17"/>
  <c r="F73" i="17" s="1"/>
  <c r="D67" i="17"/>
  <c r="D68" i="17" s="1"/>
  <c r="C67" i="17"/>
  <c r="D66" i="17"/>
  <c r="C66" i="17"/>
  <c r="E66" i="17" s="1"/>
  <c r="D59" i="17"/>
  <c r="C59" i="17"/>
  <c r="D58" i="17"/>
  <c r="C58" i="17"/>
  <c r="E57" i="17"/>
  <c r="F57" i="17"/>
  <c r="E56" i="17"/>
  <c r="F56" i="17" s="1"/>
  <c r="D53" i="17"/>
  <c r="E53" i="17" s="1"/>
  <c r="F53" i="17" s="1"/>
  <c r="C53" i="17"/>
  <c r="D52" i="17"/>
  <c r="C52" i="17"/>
  <c r="E51" i="17"/>
  <c r="F51" i="17" s="1"/>
  <c r="D47" i="17"/>
  <c r="D48" i="17"/>
  <c r="C47" i="17"/>
  <c r="C48" i="17" s="1"/>
  <c r="E46" i="17"/>
  <c r="F46" i="17" s="1"/>
  <c r="E45" i="17"/>
  <c r="F45" i="17" s="1"/>
  <c r="D44" i="17"/>
  <c r="C44" i="17"/>
  <c r="E43" i="17"/>
  <c r="F43" i="17"/>
  <c r="E42" i="17"/>
  <c r="F42" i="17" s="1"/>
  <c r="D36" i="17"/>
  <c r="C36" i="17"/>
  <c r="D35" i="17"/>
  <c r="C35" i="17"/>
  <c r="D30" i="17"/>
  <c r="D31" i="17"/>
  <c r="C30" i="17"/>
  <c r="C31" i="17" s="1"/>
  <c r="C32" i="17" s="1"/>
  <c r="C62" i="17" s="1"/>
  <c r="D29" i="17"/>
  <c r="E29" i="17" s="1"/>
  <c r="F29" i="17" s="1"/>
  <c r="C29" i="17"/>
  <c r="E28" i="17"/>
  <c r="F28" i="17" s="1"/>
  <c r="E27" i="17"/>
  <c r="F27" i="17"/>
  <c r="D24" i="17"/>
  <c r="C24" i="17"/>
  <c r="D23" i="17"/>
  <c r="E23" i="17" s="1"/>
  <c r="F23" i="17" s="1"/>
  <c r="C23" i="17"/>
  <c r="E22" i="17"/>
  <c r="F22" i="17" s="1"/>
  <c r="D20" i="17"/>
  <c r="C20" i="17"/>
  <c r="C21" i="17"/>
  <c r="E19" i="17"/>
  <c r="F19" i="17" s="1"/>
  <c r="E18" i="17"/>
  <c r="F18" i="17"/>
  <c r="D17" i="17"/>
  <c r="E17" i="17" s="1"/>
  <c r="F17" i="17" s="1"/>
  <c r="C17" i="17"/>
  <c r="E16" i="17"/>
  <c r="F16" i="17" s="1"/>
  <c r="E15" i="17"/>
  <c r="F15" i="17" s="1"/>
  <c r="D23" i="16"/>
  <c r="C23" i="16"/>
  <c r="E23" i="16" s="1"/>
  <c r="F23" i="16" s="1"/>
  <c r="F22" i="16"/>
  <c r="E22" i="16"/>
  <c r="D19" i="16"/>
  <c r="C19" i="16"/>
  <c r="E18" i="16"/>
  <c r="F18" i="16" s="1"/>
  <c r="F17" i="16"/>
  <c r="E17" i="16"/>
  <c r="D14" i="16"/>
  <c r="E14" i="16" s="1"/>
  <c r="C14" i="16"/>
  <c r="E13" i="16"/>
  <c r="F13" i="16" s="1"/>
  <c r="E12" i="16"/>
  <c r="F12" i="16" s="1"/>
  <c r="D107" i="15"/>
  <c r="E107" i="15" s="1"/>
  <c r="C107" i="15"/>
  <c r="E106" i="15"/>
  <c r="F106" i="15" s="1"/>
  <c r="E105" i="15"/>
  <c r="F105" i="15" s="1"/>
  <c r="E104" i="15"/>
  <c r="F104" i="15" s="1"/>
  <c r="D100" i="15"/>
  <c r="C100" i="15"/>
  <c r="E99" i="15"/>
  <c r="F99" i="15" s="1"/>
  <c r="E98" i="15"/>
  <c r="F98" i="15" s="1"/>
  <c r="E97" i="15"/>
  <c r="F97" i="15" s="1"/>
  <c r="E96" i="15"/>
  <c r="F96" i="15" s="1"/>
  <c r="E95" i="15"/>
  <c r="F95" i="15" s="1"/>
  <c r="D92" i="15"/>
  <c r="C92" i="15"/>
  <c r="E92" i="15" s="1"/>
  <c r="F91" i="15"/>
  <c r="E91" i="15"/>
  <c r="F90" i="15"/>
  <c r="E90" i="15"/>
  <c r="F89" i="15"/>
  <c r="E89" i="15"/>
  <c r="F88" i="15"/>
  <c r="E88" i="15"/>
  <c r="F87" i="15"/>
  <c r="E87" i="15"/>
  <c r="E86" i="15"/>
  <c r="F86" i="15" s="1"/>
  <c r="F85" i="15"/>
  <c r="E85" i="15"/>
  <c r="F84" i="15"/>
  <c r="E84" i="15"/>
  <c r="F83" i="15"/>
  <c r="E83" i="15"/>
  <c r="F82" i="15"/>
  <c r="E82" i="15"/>
  <c r="E81" i="15"/>
  <c r="F81" i="15" s="1"/>
  <c r="E80" i="15"/>
  <c r="F80" i="15" s="1"/>
  <c r="E79" i="15"/>
  <c r="F79" i="15" s="1"/>
  <c r="D75" i="15"/>
  <c r="C75" i="15"/>
  <c r="E74" i="15"/>
  <c r="F74" i="15" s="1"/>
  <c r="E73" i="15"/>
  <c r="F73" i="15" s="1"/>
  <c r="E75" i="15"/>
  <c r="D70" i="15"/>
  <c r="C70" i="15"/>
  <c r="E69" i="15"/>
  <c r="F69" i="15" s="1"/>
  <c r="E68" i="15"/>
  <c r="F68" i="15" s="1"/>
  <c r="D65" i="15"/>
  <c r="C65" i="15"/>
  <c r="E64" i="15"/>
  <c r="F64" i="15" s="1"/>
  <c r="E63" i="15"/>
  <c r="F63" i="15" s="1"/>
  <c r="D60" i="15"/>
  <c r="C60" i="15"/>
  <c r="E59" i="15"/>
  <c r="F59" i="15" s="1"/>
  <c r="E58" i="15"/>
  <c r="F58" i="15" s="1"/>
  <c r="E60" i="15"/>
  <c r="F60" i="15" s="1"/>
  <c r="D55" i="15"/>
  <c r="C55" i="15"/>
  <c r="F54" i="15"/>
  <c r="E54" i="15"/>
  <c r="E53" i="15"/>
  <c r="F53" i="15" s="1"/>
  <c r="D50" i="15"/>
  <c r="C50" i="15"/>
  <c r="E49" i="15"/>
  <c r="F49" i="15" s="1"/>
  <c r="E48" i="15"/>
  <c r="F48" i="15" s="1"/>
  <c r="D45" i="15"/>
  <c r="C45" i="15"/>
  <c r="E44" i="15"/>
  <c r="F44" i="15" s="1"/>
  <c r="F43" i="15"/>
  <c r="E43" i="15"/>
  <c r="D37" i="15"/>
  <c r="C37" i="15"/>
  <c r="E36" i="15"/>
  <c r="F36" i="15" s="1"/>
  <c r="F35" i="15"/>
  <c r="E35" i="15"/>
  <c r="F34" i="15"/>
  <c r="E34" i="15"/>
  <c r="F33" i="15"/>
  <c r="E33" i="15"/>
  <c r="D30" i="15"/>
  <c r="C30" i="15"/>
  <c r="F30" i="15" s="1"/>
  <c r="F29" i="15"/>
  <c r="E29" i="15"/>
  <c r="F28" i="15"/>
  <c r="E28" i="15"/>
  <c r="F27" i="15"/>
  <c r="E27" i="15"/>
  <c r="F26" i="15"/>
  <c r="E26" i="15"/>
  <c r="D23" i="15"/>
  <c r="C23" i="15"/>
  <c r="E22" i="15"/>
  <c r="F22" i="15" s="1"/>
  <c r="E21" i="15"/>
  <c r="F21" i="15" s="1"/>
  <c r="E20" i="15"/>
  <c r="F20" i="15" s="1"/>
  <c r="E19" i="15"/>
  <c r="F19" i="15" s="1"/>
  <c r="D16" i="15"/>
  <c r="C16" i="15"/>
  <c r="E15" i="15"/>
  <c r="F15" i="15" s="1"/>
  <c r="E14" i="15"/>
  <c r="F14" i="15" s="1"/>
  <c r="E13" i="15"/>
  <c r="F13" i="15" s="1"/>
  <c r="E12" i="15"/>
  <c r="F12" i="15" s="1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 s="1"/>
  <c r="G33" i="14"/>
  <c r="F17" i="14"/>
  <c r="F33" i="14" s="1"/>
  <c r="F36" i="14" s="1"/>
  <c r="F38" i="14" s="1"/>
  <c r="F40" i="14" s="1"/>
  <c r="E17" i="14"/>
  <c r="E31" i="14" s="1"/>
  <c r="E33" i="14"/>
  <c r="E36" i="14" s="1"/>
  <c r="E38" i="14" s="1"/>
  <c r="E40" i="14" s="1"/>
  <c r="D17" i="14"/>
  <c r="D33" i="14" s="1"/>
  <c r="D36" i="14" s="1"/>
  <c r="D38" i="14" s="1"/>
  <c r="D40" i="14" s="1"/>
  <c r="C17" i="14"/>
  <c r="I16" i="14"/>
  <c r="H16" i="14"/>
  <c r="I15" i="14"/>
  <c r="H15" i="14"/>
  <c r="I13" i="14"/>
  <c r="H13" i="14"/>
  <c r="I11" i="14"/>
  <c r="H11" i="14"/>
  <c r="E79" i="13"/>
  <c r="E80" i="13" s="1"/>
  <c r="E77" i="13" s="1"/>
  <c r="D79" i="13"/>
  <c r="C79" i="13"/>
  <c r="E78" i="13"/>
  <c r="D78" i="13"/>
  <c r="C78" i="13"/>
  <c r="C80" i="13"/>
  <c r="C77" i="13" s="1"/>
  <c r="E73" i="13"/>
  <c r="E75" i="13" s="1"/>
  <c r="D73" i="13"/>
  <c r="D75" i="13" s="1"/>
  <c r="C73" i="13"/>
  <c r="C75" i="13" s="1"/>
  <c r="E71" i="13"/>
  <c r="D71" i="13"/>
  <c r="C71" i="13"/>
  <c r="E66" i="13"/>
  <c r="E65" i="13" s="1"/>
  <c r="D66" i="13"/>
  <c r="D65" i="13" s="1"/>
  <c r="C66" i="13"/>
  <c r="C65" i="13" s="1"/>
  <c r="E60" i="13"/>
  <c r="D60" i="13"/>
  <c r="C60" i="13"/>
  <c r="E58" i="13"/>
  <c r="D58" i="13"/>
  <c r="C58" i="13"/>
  <c r="E55" i="13"/>
  <c r="D55" i="13"/>
  <c r="C55" i="13"/>
  <c r="E54" i="13"/>
  <c r="D54" i="13"/>
  <c r="C54" i="13"/>
  <c r="C42" i="13"/>
  <c r="E46" i="13"/>
  <c r="D46" i="13"/>
  <c r="C46" i="13"/>
  <c r="C48" i="13" s="1"/>
  <c r="E45" i="13"/>
  <c r="D45" i="13"/>
  <c r="C45" i="13"/>
  <c r="E38" i="13"/>
  <c r="D38" i="13"/>
  <c r="C38" i="13"/>
  <c r="E33" i="13"/>
  <c r="E34" i="13"/>
  <c r="D33" i="13"/>
  <c r="D34" i="13" s="1"/>
  <c r="E26" i="13"/>
  <c r="D26" i="13"/>
  <c r="C26" i="13"/>
  <c r="C25" i="13"/>
  <c r="C27" i="13" s="1"/>
  <c r="E15" i="13"/>
  <c r="E13" i="13"/>
  <c r="E25" i="13" s="1"/>
  <c r="E27" i="13" s="1"/>
  <c r="D13" i="13"/>
  <c r="D25" i="13" s="1"/>
  <c r="C13" i="13"/>
  <c r="C15" i="13" s="1"/>
  <c r="C24" i="13" s="1"/>
  <c r="D47" i="12"/>
  <c r="C47" i="12"/>
  <c r="F47" i="12" s="1"/>
  <c r="F46" i="12"/>
  <c r="E46" i="12"/>
  <c r="F45" i="12"/>
  <c r="E45" i="12"/>
  <c r="D40" i="12"/>
  <c r="E40" i="12" s="1"/>
  <c r="F40" i="12" s="1"/>
  <c r="C40" i="12"/>
  <c r="E39" i="12"/>
  <c r="F39" i="12" s="1"/>
  <c r="F38" i="12"/>
  <c r="E38" i="12"/>
  <c r="F37" i="12"/>
  <c r="E37" i="12"/>
  <c r="D32" i="12"/>
  <c r="E32" i="12" s="1"/>
  <c r="C32" i="12"/>
  <c r="E31" i="12"/>
  <c r="F31" i="12" s="1"/>
  <c r="E30" i="12"/>
  <c r="F30" i="12" s="1"/>
  <c r="E29" i="12"/>
  <c r="F29" i="12" s="1"/>
  <c r="F28" i="12"/>
  <c r="E28" i="12"/>
  <c r="E27" i="12"/>
  <c r="F27" i="12" s="1"/>
  <c r="E26" i="12"/>
  <c r="F26" i="12" s="1"/>
  <c r="E25" i="12"/>
  <c r="F25" i="12" s="1"/>
  <c r="E24" i="12"/>
  <c r="F24" i="12" s="1"/>
  <c r="E23" i="12"/>
  <c r="F23" i="12" s="1"/>
  <c r="F19" i="12"/>
  <c r="E19" i="12"/>
  <c r="F18" i="12"/>
  <c r="E18" i="12"/>
  <c r="E16" i="12"/>
  <c r="F16" i="12" s="1"/>
  <c r="D15" i="12"/>
  <c r="D17" i="12" s="1"/>
  <c r="C15" i="12"/>
  <c r="C17" i="12" s="1"/>
  <c r="C20" i="12" s="1"/>
  <c r="F14" i="12"/>
  <c r="E14" i="12"/>
  <c r="E13" i="12"/>
  <c r="F13" i="12" s="1"/>
  <c r="E12" i="12"/>
  <c r="F12" i="12" s="1"/>
  <c r="E11" i="12"/>
  <c r="F11" i="12" s="1"/>
  <c r="D73" i="11"/>
  <c r="C73" i="11"/>
  <c r="E72" i="11"/>
  <c r="F72" i="11" s="1"/>
  <c r="F71" i="11"/>
  <c r="E71" i="11"/>
  <c r="E70" i="11"/>
  <c r="F70" i="11" s="1"/>
  <c r="E67" i="11"/>
  <c r="F67" i="11" s="1"/>
  <c r="E64" i="11"/>
  <c r="F64" i="11" s="1"/>
  <c r="E63" i="11"/>
  <c r="F63" i="11" s="1"/>
  <c r="D61" i="11"/>
  <c r="D65" i="11" s="1"/>
  <c r="C61" i="11"/>
  <c r="C65" i="11" s="1"/>
  <c r="E60" i="11"/>
  <c r="F60" i="11" s="1"/>
  <c r="F59" i="11"/>
  <c r="E59" i="11"/>
  <c r="D56" i="11"/>
  <c r="C56" i="11"/>
  <c r="E55" i="11"/>
  <c r="F55" i="11" s="1"/>
  <c r="F54" i="11"/>
  <c r="E54" i="11"/>
  <c r="E53" i="11"/>
  <c r="F53" i="11" s="1"/>
  <c r="F52" i="11"/>
  <c r="E52" i="11"/>
  <c r="E51" i="11"/>
  <c r="F51" i="11" s="1"/>
  <c r="E50" i="11"/>
  <c r="F50" i="11" s="1"/>
  <c r="A50" i="11"/>
  <c r="A51" i="11" s="1"/>
  <c r="A52" i="11" s="1"/>
  <c r="A53" i="11" s="1"/>
  <c r="A54" i="11" s="1"/>
  <c r="A55" i="11" s="1"/>
  <c r="E49" i="11"/>
  <c r="F49" i="11" s="1"/>
  <c r="F40" i="11"/>
  <c r="E40" i="11"/>
  <c r="D38" i="11"/>
  <c r="E38" i="11" s="1"/>
  <c r="C38" i="11"/>
  <c r="C41" i="11" s="1"/>
  <c r="E37" i="11"/>
  <c r="F37" i="11" s="1"/>
  <c r="E36" i="11"/>
  <c r="F36" i="11" s="1"/>
  <c r="E33" i="11"/>
  <c r="F33" i="11" s="1"/>
  <c r="F32" i="11"/>
  <c r="E32" i="11"/>
  <c r="F31" i="11"/>
  <c r="E31" i="11"/>
  <c r="D29" i="11"/>
  <c r="E29" i="11" s="1"/>
  <c r="F29" i="11" s="1"/>
  <c r="C29" i="11"/>
  <c r="E28" i="11"/>
  <c r="F28" i="11" s="1"/>
  <c r="F27" i="11"/>
  <c r="E27" i="11"/>
  <c r="F26" i="11"/>
  <c r="E26" i="11"/>
  <c r="F25" i="11"/>
  <c r="E25" i="11"/>
  <c r="D22" i="11"/>
  <c r="C22" i="11"/>
  <c r="C43" i="11"/>
  <c r="E21" i="11"/>
  <c r="F21" i="11" s="1"/>
  <c r="E20" i="11"/>
  <c r="F20" i="11" s="1"/>
  <c r="E19" i="11"/>
  <c r="F19" i="11" s="1"/>
  <c r="F18" i="11"/>
  <c r="E18" i="11"/>
  <c r="F17" i="11"/>
  <c r="E17" i="11"/>
  <c r="E16" i="11"/>
  <c r="F16" i="11" s="1"/>
  <c r="F15" i="11"/>
  <c r="E15" i="11"/>
  <c r="F14" i="11"/>
  <c r="E14" i="11"/>
  <c r="E13" i="11"/>
  <c r="F13" i="11" s="1"/>
  <c r="D120" i="10"/>
  <c r="E120" i="10" s="1"/>
  <c r="C120" i="10"/>
  <c r="F120" i="10" s="1"/>
  <c r="F119" i="10"/>
  <c r="D119" i="10"/>
  <c r="E119" i="10" s="1"/>
  <c r="C119" i="10"/>
  <c r="D118" i="10"/>
  <c r="C118" i="10"/>
  <c r="F118" i="10" s="1"/>
  <c r="D117" i="10"/>
  <c r="E117" i="10"/>
  <c r="C117" i="10"/>
  <c r="F117" i="10" s="1"/>
  <c r="F116" i="10"/>
  <c r="D116" i="10"/>
  <c r="E116" i="10" s="1"/>
  <c r="C116" i="10"/>
  <c r="D115" i="10"/>
  <c r="C115" i="10"/>
  <c r="E115" i="10" s="1"/>
  <c r="F114" i="10"/>
  <c r="D114" i="10"/>
  <c r="C114" i="10"/>
  <c r="D113" i="10"/>
  <c r="C113" i="10"/>
  <c r="F113" i="10" s="1"/>
  <c r="D112" i="10"/>
  <c r="C112" i="10"/>
  <c r="F112" i="10" s="1"/>
  <c r="C121" i="10"/>
  <c r="F121" i="10" s="1"/>
  <c r="D108" i="10"/>
  <c r="C108" i="10"/>
  <c r="D107" i="10"/>
  <c r="C107" i="10"/>
  <c r="F107" i="10" s="1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D96" i="10"/>
  <c r="E96" i="10" s="1"/>
  <c r="C96" i="10"/>
  <c r="F96" i="10" s="1"/>
  <c r="D95" i="10"/>
  <c r="C95" i="10"/>
  <c r="F95" i="10" s="1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D84" i="10"/>
  <c r="C84" i="10"/>
  <c r="F84" i="10" s="1"/>
  <c r="D83" i="10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C72" i="10"/>
  <c r="F72" i="10" s="1"/>
  <c r="D71" i="10"/>
  <c r="C71" i="10"/>
  <c r="F71" i="10" s="1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C60" i="10"/>
  <c r="F60" i="10"/>
  <c r="D59" i="10"/>
  <c r="E59" i="10" s="1"/>
  <c r="C59" i="10"/>
  <c r="F59" i="10" s="1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D48" i="10"/>
  <c r="E48" i="10" s="1"/>
  <c r="C48" i="10"/>
  <c r="F48" i="10" s="1"/>
  <c r="D47" i="10"/>
  <c r="C47" i="10"/>
  <c r="F47" i="10" s="1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E36" i="10" s="1"/>
  <c r="C36" i="10"/>
  <c r="F36" i="10"/>
  <c r="D35" i="10"/>
  <c r="C35" i="10"/>
  <c r="F35" i="10" s="1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D24" i="10"/>
  <c r="C24" i="10"/>
  <c r="F24" i="10" s="1"/>
  <c r="D23" i="10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C206" i="9"/>
  <c r="D205" i="9"/>
  <c r="C205" i="9"/>
  <c r="D204" i="9"/>
  <c r="C204" i="9"/>
  <c r="D203" i="9"/>
  <c r="C203" i="9"/>
  <c r="D202" i="9"/>
  <c r="E202" i="9"/>
  <c r="F202" i="9" s="1"/>
  <c r="C202" i="9"/>
  <c r="D201" i="9"/>
  <c r="E201" i="9" s="1"/>
  <c r="C201" i="9"/>
  <c r="D200" i="9"/>
  <c r="E200" i="9" s="1"/>
  <c r="F200" i="9" s="1"/>
  <c r="C200" i="9"/>
  <c r="D199" i="9"/>
  <c r="D208" i="9" s="1"/>
  <c r="C199" i="9"/>
  <c r="C208" i="9" s="1"/>
  <c r="D198" i="9"/>
  <c r="C198" i="9"/>
  <c r="D193" i="9"/>
  <c r="C193" i="9"/>
  <c r="F193" i="9" s="1"/>
  <c r="F192" i="9"/>
  <c r="D192" i="9"/>
  <c r="E192" i="9" s="1"/>
  <c r="C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F180" i="9"/>
  <c r="D180" i="9"/>
  <c r="E180" i="9"/>
  <c r="C180" i="9"/>
  <c r="F179" i="9"/>
  <c r="D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 s="1"/>
  <c r="C167" i="9"/>
  <c r="D166" i="9"/>
  <c r="C166" i="9"/>
  <c r="F166" i="9" s="1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C154" i="9"/>
  <c r="D153" i="9"/>
  <c r="E153" i="9" s="1"/>
  <c r="C153" i="9"/>
  <c r="F153" i="9" s="1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C141" i="9"/>
  <c r="F140" i="9"/>
  <c r="D140" i="9"/>
  <c r="E140" i="9" s="1"/>
  <c r="C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C128" i="9"/>
  <c r="D127" i="9"/>
  <c r="E127" i="9" s="1"/>
  <c r="C127" i="9"/>
  <c r="F126" i="9"/>
  <c r="E126" i="9"/>
  <c r="E125" i="9"/>
  <c r="F125" i="9" s="1"/>
  <c r="E124" i="9"/>
  <c r="F124" i="9" s="1"/>
  <c r="E123" i="9"/>
  <c r="F123" i="9" s="1"/>
  <c r="E122" i="9"/>
  <c r="F122" i="9" s="1"/>
  <c r="E121" i="9"/>
  <c r="F121" i="9" s="1"/>
  <c r="F120" i="9"/>
  <c r="E120" i="9"/>
  <c r="E119" i="9"/>
  <c r="F119" i="9" s="1"/>
  <c r="E118" i="9"/>
  <c r="F118" i="9" s="1"/>
  <c r="D115" i="9"/>
  <c r="C115" i="9"/>
  <c r="D114" i="9"/>
  <c r="E114" i="9"/>
  <c r="C114" i="9"/>
  <c r="E113" i="9"/>
  <c r="F113" i="9" s="1"/>
  <c r="E112" i="9"/>
  <c r="F112" i="9" s="1"/>
  <c r="E111" i="9"/>
  <c r="F111" i="9" s="1"/>
  <c r="E110" i="9"/>
  <c r="F110" i="9" s="1"/>
  <c r="E109" i="9"/>
  <c r="F109" i="9" s="1"/>
  <c r="F108" i="9"/>
  <c r="E108" i="9"/>
  <c r="E107" i="9"/>
  <c r="F107" i="9" s="1"/>
  <c r="E106" i="9"/>
  <c r="F106" i="9" s="1"/>
  <c r="E105" i="9"/>
  <c r="F105" i="9" s="1"/>
  <c r="D102" i="9"/>
  <c r="E102" i="9" s="1"/>
  <c r="C102" i="9"/>
  <c r="D101" i="9"/>
  <c r="E101" i="9" s="1"/>
  <c r="C101" i="9"/>
  <c r="E100" i="9"/>
  <c r="F100" i="9" s="1"/>
  <c r="E99" i="9"/>
  <c r="F99" i="9" s="1"/>
  <c r="E98" i="9"/>
  <c r="F98" i="9" s="1"/>
  <c r="E97" i="9"/>
  <c r="F97" i="9" s="1"/>
  <c r="E96" i="9"/>
  <c r="F96" i="9" s="1"/>
  <c r="E95" i="9"/>
  <c r="F95" i="9" s="1"/>
  <c r="F94" i="9"/>
  <c r="E94" i="9"/>
  <c r="E93" i="9"/>
  <c r="F93" i="9" s="1"/>
  <c r="E92" i="9"/>
  <c r="F92" i="9" s="1"/>
  <c r="D89" i="9"/>
  <c r="C89" i="9"/>
  <c r="D88" i="9"/>
  <c r="E88" i="9"/>
  <c r="C88" i="9"/>
  <c r="F88" i="9" s="1"/>
  <c r="E87" i="9"/>
  <c r="F87" i="9" s="1"/>
  <c r="E86" i="9"/>
  <c r="F86" i="9" s="1"/>
  <c r="E85" i="9"/>
  <c r="F85" i="9" s="1"/>
  <c r="E84" i="9"/>
  <c r="F84" i="9" s="1"/>
  <c r="E83" i="9"/>
  <c r="F83" i="9" s="1"/>
  <c r="E82" i="9"/>
  <c r="F82" i="9" s="1"/>
  <c r="E81" i="9"/>
  <c r="F81" i="9" s="1"/>
  <c r="E80" i="9"/>
  <c r="F80" i="9" s="1"/>
  <c r="E79" i="9"/>
  <c r="F79" i="9" s="1"/>
  <c r="D76" i="9"/>
  <c r="C76" i="9"/>
  <c r="E76" i="9" s="1"/>
  <c r="D75" i="9"/>
  <c r="C75" i="9"/>
  <c r="E74" i="9"/>
  <c r="F74" i="9" s="1"/>
  <c r="E73" i="9"/>
  <c r="F73" i="9" s="1"/>
  <c r="E72" i="9"/>
  <c r="F72" i="9" s="1"/>
  <c r="E71" i="9"/>
  <c r="F71" i="9" s="1"/>
  <c r="E70" i="9"/>
  <c r="F70" i="9" s="1"/>
  <c r="E69" i="9"/>
  <c r="F69" i="9" s="1"/>
  <c r="E68" i="9"/>
  <c r="F68" i="9" s="1"/>
  <c r="E67" i="9"/>
  <c r="F67" i="9" s="1"/>
  <c r="E66" i="9"/>
  <c r="F66" i="9" s="1"/>
  <c r="D63" i="9"/>
  <c r="C63" i="9"/>
  <c r="F63" i="9" s="1"/>
  <c r="D62" i="9"/>
  <c r="E62" i="9" s="1"/>
  <c r="C62" i="9"/>
  <c r="F62" i="9" s="1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C50" i="9"/>
  <c r="E50" i="9" s="1"/>
  <c r="D49" i="9"/>
  <c r="C49" i="9"/>
  <c r="E48" i="9"/>
  <c r="F48" i="9" s="1"/>
  <c r="E47" i="9"/>
  <c r="F47" i="9" s="1"/>
  <c r="E46" i="9"/>
  <c r="F46" i="9" s="1"/>
  <c r="E45" i="9"/>
  <c r="F45" i="9" s="1"/>
  <c r="E44" i="9"/>
  <c r="F44" i="9" s="1"/>
  <c r="E43" i="9"/>
  <c r="F43" i="9" s="1"/>
  <c r="E42" i="9"/>
  <c r="F42" i="9" s="1"/>
  <c r="E41" i="9"/>
  <c r="F41" i="9" s="1"/>
  <c r="E40" i="9"/>
  <c r="F40" i="9" s="1"/>
  <c r="D37" i="9"/>
  <c r="C37" i="9"/>
  <c r="F37" i="9" s="1"/>
  <c r="F36" i="9"/>
  <c r="D36" i="9"/>
  <c r="E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C24" i="9"/>
  <c r="E24" i="9" s="1"/>
  <c r="F24" i="9" s="1"/>
  <c r="D23" i="9"/>
  <c r="C23" i="9"/>
  <c r="E22" i="9"/>
  <c r="F22" i="9" s="1"/>
  <c r="F21" i="9"/>
  <c r="E21" i="9"/>
  <c r="E20" i="9"/>
  <c r="F20" i="9" s="1"/>
  <c r="E19" i="9"/>
  <c r="F19" i="9" s="1"/>
  <c r="E18" i="9"/>
  <c r="F18" i="9" s="1"/>
  <c r="E17" i="9"/>
  <c r="F17" i="9" s="1"/>
  <c r="E16" i="9"/>
  <c r="F16" i="9" s="1"/>
  <c r="E15" i="9"/>
  <c r="F15" i="9" s="1"/>
  <c r="E14" i="9"/>
  <c r="F14" i="9" s="1"/>
  <c r="E191" i="8"/>
  <c r="D191" i="8"/>
  <c r="C191" i="8"/>
  <c r="E176" i="8"/>
  <c r="D176" i="8"/>
  <c r="C176" i="8"/>
  <c r="E164" i="8"/>
  <c r="E160" i="8" s="1"/>
  <c r="D164" i="8"/>
  <c r="D160" i="8" s="1"/>
  <c r="C164" i="8"/>
  <c r="E162" i="8"/>
  <c r="D162" i="8"/>
  <c r="C162" i="8"/>
  <c r="E161" i="8"/>
  <c r="D161" i="8"/>
  <c r="C161" i="8"/>
  <c r="C160" i="8"/>
  <c r="E147" i="8"/>
  <c r="D147" i="8"/>
  <c r="D143" i="8" s="1"/>
  <c r="C147" i="8"/>
  <c r="C143" i="8" s="1"/>
  <c r="E145" i="8"/>
  <c r="D145" i="8"/>
  <c r="C145" i="8"/>
  <c r="E144" i="8"/>
  <c r="D144" i="8"/>
  <c r="C144" i="8"/>
  <c r="E143" i="8"/>
  <c r="E126" i="8"/>
  <c r="D126" i="8"/>
  <c r="C126" i="8"/>
  <c r="E119" i="8"/>
  <c r="D119" i="8"/>
  <c r="C119" i="8"/>
  <c r="E108" i="8"/>
  <c r="D108" i="8"/>
  <c r="C108" i="8"/>
  <c r="E107" i="8"/>
  <c r="D107" i="8"/>
  <c r="D109" i="8"/>
  <c r="D106" i="8" s="1"/>
  <c r="C107" i="8"/>
  <c r="E102" i="8"/>
  <c r="E104" i="8" s="1"/>
  <c r="D102" i="8"/>
  <c r="D104" i="8" s="1"/>
  <c r="C102" i="8"/>
  <c r="C104" i="8" s="1"/>
  <c r="E100" i="8"/>
  <c r="D100" i="8"/>
  <c r="C100" i="8"/>
  <c r="E95" i="8"/>
  <c r="E94" i="8" s="1"/>
  <c r="D95" i="8"/>
  <c r="D94" i="8" s="1"/>
  <c r="C95" i="8"/>
  <c r="C94" i="8" s="1"/>
  <c r="E89" i="8"/>
  <c r="D89" i="8"/>
  <c r="C89" i="8"/>
  <c r="C90" i="8" s="1"/>
  <c r="C86" i="8" s="1"/>
  <c r="E87" i="8"/>
  <c r="D87" i="8"/>
  <c r="C87" i="8"/>
  <c r="E84" i="8"/>
  <c r="D84" i="8"/>
  <c r="C84" i="8"/>
  <c r="E83" i="8"/>
  <c r="D83" i="8"/>
  <c r="C83" i="8"/>
  <c r="C79" i="8"/>
  <c r="E75" i="8"/>
  <c r="D75" i="8"/>
  <c r="D88" i="8" s="1"/>
  <c r="C75" i="8"/>
  <c r="C77" i="8" s="1"/>
  <c r="C88" i="8"/>
  <c r="E74" i="8"/>
  <c r="D74" i="8"/>
  <c r="C74" i="8"/>
  <c r="E67" i="8"/>
  <c r="D67" i="8"/>
  <c r="C67" i="8"/>
  <c r="E38" i="8"/>
  <c r="E57" i="8" s="1"/>
  <c r="E62" i="8" s="1"/>
  <c r="D38" i="8"/>
  <c r="D53" i="8" s="1"/>
  <c r="C38" i="8"/>
  <c r="C57" i="8"/>
  <c r="C62" i="8" s="1"/>
  <c r="E33" i="8"/>
  <c r="E34" i="8" s="1"/>
  <c r="D33" i="8"/>
  <c r="D34" i="8"/>
  <c r="E26" i="8"/>
  <c r="D26" i="8"/>
  <c r="C26" i="8"/>
  <c r="E13" i="8"/>
  <c r="E15" i="8" s="1"/>
  <c r="D13" i="8"/>
  <c r="D25" i="8"/>
  <c r="C13" i="8"/>
  <c r="E186" i="7"/>
  <c r="F186" i="7" s="1"/>
  <c r="D183" i="7"/>
  <c r="C183" i="7"/>
  <c r="F182" i="7"/>
  <c r="E182" i="7"/>
  <c r="E181" i="7"/>
  <c r="F181" i="7" s="1"/>
  <c r="F180" i="7"/>
  <c r="E180" i="7"/>
  <c r="E179" i="7"/>
  <c r="F179" i="7" s="1"/>
  <c r="F178" i="7"/>
  <c r="E178" i="7"/>
  <c r="F177" i="7"/>
  <c r="E177" i="7"/>
  <c r="E176" i="7"/>
  <c r="F176" i="7" s="1"/>
  <c r="F175" i="7"/>
  <c r="E175" i="7"/>
  <c r="F174" i="7"/>
  <c r="E174" i="7"/>
  <c r="F173" i="7"/>
  <c r="E173" i="7"/>
  <c r="E172" i="7"/>
  <c r="F172" i="7" s="1"/>
  <c r="E171" i="7"/>
  <c r="F171" i="7" s="1"/>
  <c r="E170" i="7"/>
  <c r="F170" i="7" s="1"/>
  <c r="D167" i="7"/>
  <c r="C167" i="7"/>
  <c r="F166" i="7"/>
  <c r="E166" i="7"/>
  <c r="F165" i="7"/>
  <c r="E165" i="7"/>
  <c r="E164" i="7"/>
  <c r="F164" i="7" s="1"/>
  <c r="F163" i="7"/>
  <c r="E163" i="7"/>
  <c r="F162" i="7"/>
  <c r="E162" i="7"/>
  <c r="F161" i="7"/>
  <c r="E161" i="7"/>
  <c r="F160" i="7"/>
  <c r="E160" i="7"/>
  <c r="F159" i="7"/>
  <c r="E159" i="7"/>
  <c r="F158" i="7"/>
  <c r="E158" i="7"/>
  <c r="F157" i="7"/>
  <c r="E157" i="7"/>
  <c r="E156" i="7"/>
  <c r="F156" i="7" s="1"/>
  <c r="E155" i="7"/>
  <c r="F155" i="7" s="1"/>
  <c r="F154" i="7"/>
  <c r="E154" i="7"/>
  <c r="F153" i="7"/>
  <c r="E153" i="7"/>
  <c r="E152" i="7"/>
  <c r="F152" i="7" s="1"/>
  <c r="F151" i="7"/>
  <c r="E151" i="7"/>
  <c r="E150" i="7"/>
  <c r="F150" i="7" s="1"/>
  <c r="F149" i="7"/>
  <c r="E149" i="7"/>
  <c r="F148" i="7"/>
  <c r="E148" i="7"/>
  <c r="F147" i="7"/>
  <c r="E147" i="7"/>
  <c r="E146" i="7"/>
  <c r="F146" i="7" s="1"/>
  <c r="F145" i="7"/>
  <c r="E145" i="7"/>
  <c r="E144" i="7"/>
  <c r="F144" i="7" s="1"/>
  <c r="F143" i="7"/>
  <c r="E143" i="7"/>
  <c r="E142" i="7"/>
  <c r="F142" i="7" s="1"/>
  <c r="F141" i="7"/>
  <c r="E141" i="7"/>
  <c r="E140" i="7"/>
  <c r="F140" i="7" s="1"/>
  <c r="F139" i="7"/>
  <c r="E139" i="7"/>
  <c r="F138" i="7"/>
  <c r="E138" i="7"/>
  <c r="F137" i="7"/>
  <c r="E137" i="7"/>
  <c r="E136" i="7"/>
  <c r="F136" i="7" s="1"/>
  <c r="F135" i="7"/>
  <c r="E135" i="7"/>
  <c r="E134" i="7"/>
  <c r="F134" i="7" s="1"/>
  <c r="F133" i="7"/>
  <c r="E133" i="7"/>
  <c r="D130" i="7"/>
  <c r="C130" i="7"/>
  <c r="F129" i="7"/>
  <c r="E129" i="7"/>
  <c r="F128" i="7"/>
  <c r="E128" i="7"/>
  <c r="F127" i="7"/>
  <c r="E127" i="7"/>
  <c r="E126" i="7"/>
  <c r="F126" i="7" s="1"/>
  <c r="E125" i="7"/>
  <c r="F125" i="7" s="1"/>
  <c r="F124" i="7"/>
  <c r="E124" i="7"/>
  <c r="D121" i="7"/>
  <c r="C121" i="7"/>
  <c r="E120" i="7"/>
  <c r="F120" i="7" s="1"/>
  <c r="E119" i="7"/>
  <c r="F119" i="7" s="1"/>
  <c r="E118" i="7"/>
  <c r="F118" i="7" s="1"/>
  <c r="F117" i="7"/>
  <c r="E117" i="7"/>
  <c r="F116" i="7"/>
  <c r="E116" i="7"/>
  <c r="E115" i="7"/>
  <c r="F115" i="7" s="1"/>
  <c r="E114" i="7"/>
  <c r="F114" i="7" s="1"/>
  <c r="E113" i="7"/>
  <c r="F113" i="7" s="1"/>
  <c r="E112" i="7"/>
  <c r="F112" i="7" s="1"/>
  <c r="E111" i="7"/>
  <c r="F111" i="7" s="1"/>
  <c r="E110" i="7"/>
  <c r="F110" i="7" s="1"/>
  <c r="F109" i="7"/>
  <c r="E109" i="7"/>
  <c r="E108" i="7"/>
  <c r="F108" i="7" s="1"/>
  <c r="E107" i="7"/>
  <c r="F107" i="7" s="1"/>
  <c r="E106" i="7"/>
  <c r="F106" i="7" s="1"/>
  <c r="E105" i="7"/>
  <c r="F105" i="7" s="1"/>
  <c r="E104" i="7"/>
  <c r="F104" i="7" s="1"/>
  <c r="E103" i="7"/>
  <c r="F103" i="7" s="1"/>
  <c r="E93" i="7"/>
  <c r="F93" i="7" s="1"/>
  <c r="D90" i="7"/>
  <c r="C90" i="7"/>
  <c r="F89" i="7"/>
  <c r="E89" i="7"/>
  <c r="E88" i="7"/>
  <c r="F88" i="7" s="1"/>
  <c r="F87" i="7"/>
  <c r="E87" i="7"/>
  <c r="F86" i="7"/>
  <c r="E86" i="7"/>
  <c r="F85" i="7"/>
  <c r="E85" i="7"/>
  <c r="E84" i="7"/>
  <c r="F84" i="7" s="1"/>
  <c r="F83" i="7"/>
  <c r="E83" i="7"/>
  <c r="F82" i="7"/>
  <c r="E82" i="7"/>
  <c r="F81" i="7"/>
  <c r="E81" i="7"/>
  <c r="F80" i="7"/>
  <c r="E80" i="7"/>
  <c r="F79" i="7"/>
  <c r="E79" i="7"/>
  <c r="E78" i="7"/>
  <c r="F78" i="7" s="1"/>
  <c r="F77" i="7"/>
  <c r="E77" i="7"/>
  <c r="E76" i="7"/>
  <c r="F76" i="7" s="1"/>
  <c r="E75" i="7"/>
  <c r="F75" i="7" s="1"/>
  <c r="F74" i="7"/>
  <c r="E74" i="7"/>
  <c r="E73" i="7"/>
  <c r="F73" i="7" s="1"/>
  <c r="F72" i="7"/>
  <c r="E72" i="7"/>
  <c r="F71" i="7"/>
  <c r="E71" i="7"/>
  <c r="E70" i="7"/>
  <c r="F70" i="7" s="1"/>
  <c r="E69" i="7"/>
  <c r="F69" i="7" s="1"/>
  <c r="E68" i="7"/>
  <c r="F68" i="7" s="1"/>
  <c r="F67" i="7"/>
  <c r="E67" i="7"/>
  <c r="F66" i="7"/>
  <c r="E66" i="7"/>
  <c r="E65" i="7"/>
  <c r="F65" i="7" s="1"/>
  <c r="E64" i="7"/>
  <c r="F64" i="7" s="1"/>
  <c r="E63" i="7"/>
  <c r="F63" i="7" s="1"/>
  <c r="E62" i="7"/>
  <c r="F62" i="7" s="1"/>
  <c r="D59" i="7"/>
  <c r="E59" i="7"/>
  <c r="C59" i="7"/>
  <c r="E58" i="7"/>
  <c r="F58" i="7" s="1"/>
  <c r="E57" i="7"/>
  <c r="F57" i="7" s="1"/>
  <c r="E56" i="7"/>
  <c r="F56" i="7" s="1"/>
  <c r="F55" i="7"/>
  <c r="E55" i="7"/>
  <c r="E54" i="7"/>
  <c r="F54" i="7" s="1"/>
  <c r="E53" i="7"/>
  <c r="F53" i="7" s="1"/>
  <c r="E50" i="7"/>
  <c r="F50" i="7" s="1"/>
  <c r="E47" i="7"/>
  <c r="F47" i="7" s="1"/>
  <c r="F44" i="7"/>
  <c r="E44" i="7"/>
  <c r="D41" i="7"/>
  <c r="C41" i="7"/>
  <c r="E41" i="7" s="1"/>
  <c r="E40" i="7"/>
  <c r="F40" i="7" s="1"/>
  <c r="E39" i="7"/>
  <c r="F39" i="7" s="1"/>
  <c r="E38" i="7"/>
  <c r="F38" i="7" s="1"/>
  <c r="D35" i="7"/>
  <c r="C35" i="7"/>
  <c r="E34" i="7"/>
  <c r="F34" i="7" s="1"/>
  <c r="E33" i="7"/>
  <c r="F33" i="7" s="1"/>
  <c r="D30" i="7"/>
  <c r="C30" i="7"/>
  <c r="F29" i="7"/>
  <c r="E29" i="7"/>
  <c r="E28" i="7"/>
  <c r="F28" i="7" s="1"/>
  <c r="F27" i="7"/>
  <c r="E27" i="7"/>
  <c r="D24" i="7"/>
  <c r="C24" i="7"/>
  <c r="E24" i="7" s="1"/>
  <c r="E23" i="7"/>
  <c r="F23" i="7" s="1"/>
  <c r="E22" i="7"/>
  <c r="F22" i="7" s="1"/>
  <c r="E21" i="7"/>
  <c r="F21" i="7" s="1"/>
  <c r="D18" i="7"/>
  <c r="E18" i="7" s="1"/>
  <c r="C18" i="7"/>
  <c r="E17" i="7"/>
  <c r="F17" i="7" s="1"/>
  <c r="E16" i="7"/>
  <c r="F16" i="7" s="1"/>
  <c r="E15" i="7"/>
  <c r="F15" i="7" s="1"/>
  <c r="D179" i="6"/>
  <c r="C179" i="6"/>
  <c r="E179" i="6" s="1"/>
  <c r="F178" i="6"/>
  <c r="E178" i="6"/>
  <c r="F177" i="6"/>
  <c r="E177" i="6"/>
  <c r="E176" i="6"/>
  <c r="F176" i="6" s="1"/>
  <c r="E175" i="6"/>
  <c r="F175" i="6" s="1"/>
  <c r="E174" i="6"/>
  <c r="F174" i="6" s="1"/>
  <c r="E173" i="6"/>
  <c r="F173" i="6"/>
  <c r="E172" i="6"/>
  <c r="F172" i="6" s="1"/>
  <c r="F171" i="6"/>
  <c r="E171" i="6"/>
  <c r="E170" i="6"/>
  <c r="F170" i="6" s="1"/>
  <c r="E169" i="6"/>
  <c r="F169" i="6"/>
  <c r="E168" i="6"/>
  <c r="F168" i="6" s="1"/>
  <c r="D166" i="6"/>
  <c r="C166" i="6"/>
  <c r="F165" i="6"/>
  <c r="E165" i="6"/>
  <c r="F164" i="6"/>
  <c r="E164" i="6"/>
  <c r="E163" i="6"/>
  <c r="F163" i="6" s="1"/>
  <c r="E162" i="6"/>
  <c r="F162" i="6"/>
  <c r="E161" i="6"/>
  <c r="F161" i="6"/>
  <c r="E160" i="6"/>
  <c r="F160" i="6" s="1"/>
  <c r="E159" i="6"/>
  <c r="F159" i="6" s="1"/>
  <c r="F158" i="6"/>
  <c r="E158" i="6"/>
  <c r="E157" i="6"/>
  <c r="F157" i="6"/>
  <c r="E156" i="6"/>
  <c r="F156" i="6"/>
  <c r="E155" i="6"/>
  <c r="F155" i="6" s="1"/>
  <c r="D153" i="6"/>
  <c r="C153" i="6"/>
  <c r="F152" i="6"/>
  <c r="E152" i="6"/>
  <c r="F151" i="6"/>
  <c r="E151" i="6"/>
  <c r="E150" i="6"/>
  <c r="F150" i="6" s="1"/>
  <c r="E149" i="6"/>
  <c r="F149" i="6" s="1"/>
  <c r="E148" i="6"/>
  <c r="F148" i="6" s="1"/>
  <c r="E147" i="6"/>
  <c r="F147" i="6"/>
  <c r="E146" i="6"/>
  <c r="F146" i="6" s="1"/>
  <c r="F145" i="6"/>
  <c r="E145" i="6"/>
  <c r="E144" i="6"/>
  <c r="F144" i="6"/>
  <c r="E143" i="6"/>
  <c r="F143" i="6"/>
  <c r="E142" i="6"/>
  <c r="F142" i="6" s="1"/>
  <c r="D137" i="6"/>
  <c r="C137" i="6"/>
  <c r="F136" i="6"/>
  <c r="E136" i="6"/>
  <c r="F135" i="6"/>
  <c r="E135" i="6"/>
  <c r="E134" i="6"/>
  <c r="F134" i="6" s="1"/>
  <c r="E133" i="6"/>
  <c r="F133" i="6"/>
  <c r="E132" i="6"/>
  <c r="F132" i="6"/>
  <c r="E131" i="6"/>
  <c r="F131" i="6"/>
  <c r="E130" i="6"/>
  <c r="F130" i="6" s="1"/>
  <c r="F129" i="6"/>
  <c r="E129" i="6"/>
  <c r="E128" i="6"/>
  <c r="F128" i="6"/>
  <c r="E127" i="6"/>
  <c r="F127" i="6" s="1"/>
  <c r="E126" i="6"/>
  <c r="F126" i="6" s="1"/>
  <c r="D124" i="6"/>
  <c r="C124" i="6"/>
  <c r="F123" i="6"/>
  <c r="E123" i="6"/>
  <c r="F122" i="6"/>
  <c r="E122" i="6"/>
  <c r="E121" i="6"/>
  <c r="F121" i="6" s="1"/>
  <c r="E120" i="6"/>
  <c r="F120" i="6" s="1"/>
  <c r="E119" i="6"/>
  <c r="F119" i="6"/>
  <c r="E118" i="6"/>
  <c r="F118" i="6"/>
  <c r="E117" i="6"/>
  <c r="F117" i="6" s="1"/>
  <c r="F116" i="6"/>
  <c r="E116" i="6"/>
  <c r="E115" i="6"/>
  <c r="F115" i="6"/>
  <c r="E114" i="6"/>
  <c r="F114" i="6"/>
  <c r="E113" i="6"/>
  <c r="F113" i="6" s="1"/>
  <c r="D111" i="6"/>
  <c r="C111" i="6"/>
  <c r="F110" i="6"/>
  <c r="E110" i="6"/>
  <c r="F109" i="6"/>
  <c r="E109" i="6"/>
  <c r="E108" i="6"/>
  <c r="F108" i="6" s="1"/>
  <c r="E107" i="6"/>
  <c r="F107" i="6"/>
  <c r="E106" i="6"/>
  <c r="F106" i="6"/>
  <c r="E105" i="6"/>
  <c r="F105" i="6"/>
  <c r="E104" i="6"/>
  <c r="F104" i="6" s="1"/>
  <c r="F103" i="6"/>
  <c r="E103" i="6"/>
  <c r="E102" i="6"/>
  <c r="F102" i="6" s="1"/>
  <c r="E101" i="6"/>
  <c r="F101" i="6" s="1"/>
  <c r="E100" i="6"/>
  <c r="F100" i="6" s="1"/>
  <c r="D94" i="6"/>
  <c r="C94" i="6"/>
  <c r="D93" i="6"/>
  <c r="C93" i="6"/>
  <c r="D92" i="6"/>
  <c r="C92" i="6"/>
  <c r="D91" i="6"/>
  <c r="C91" i="6"/>
  <c r="D90" i="6"/>
  <c r="E90" i="6" s="1"/>
  <c r="F90" i="6" s="1"/>
  <c r="C90" i="6"/>
  <c r="D89" i="6"/>
  <c r="C89" i="6"/>
  <c r="D88" i="6"/>
  <c r="C88" i="6"/>
  <c r="D87" i="6"/>
  <c r="C87" i="6"/>
  <c r="F87" i="6" s="1"/>
  <c r="D86" i="6"/>
  <c r="E86" i="6" s="1"/>
  <c r="F86" i="6" s="1"/>
  <c r="C86" i="6"/>
  <c r="D85" i="6"/>
  <c r="C85" i="6"/>
  <c r="D84" i="6"/>
  <c r="C84" i="6"/>
  <c r="D81" i="6"/>
  <c r="C81" i="6"/>
  <c r="E81" i="6" s="1"/>
  <c r="F81" i="6" s="1"/>
  <c r="F80" i="6"/>
  <c r="E80" i="6"/>
  <c r="F79" i="6"/>
  <c r="E79" i="6"/>
  <c r="E78" i="6"/>
  <c r="F78" i="6" s="1"/>
  <c r="E77" i="6"/>
  <c r="F77" i="6"/>
  <c r="E76" i="6"/>
  <c r="F76" i="6" s="1"/>
  <c r="E75" i="6"/>
  <c r="F75" i="6" s="1"/>
  <c r="E74" i="6"/>
  <c r="F74" i="6"/>
  <c r="F73" i="6"/>
  <c r="E73" i="6"/>
  <c r="E72" i="6"/>
  <c r="F72" i="6" s="1"/>
  <c r="E71" i="6"/>
  <c r="F71" i="6" s="1"/>
  <c r="E70" i="6"/>
  <c r="F70" i="6"/>
  <c r="D68" i="6"/>
  <c r="C68" i="6"/>
  <c r="F67" i="6"/>
  <c r="E67" i="6"/>
  <c r="F66" i="6"/>
  <c r="E66" i="6"/>
  <c r="E65" i="6"/>
  <c r="F65" i="6"/>
  <c r="E64" i="6"/>
  <c r="F64" i="6"/>
  <c r="E63" i="6"/>
  <c r="F63" i="6" s="1"/>
  <c r="E62" i="6"/>
  <c r="F62" i="6" s="1"/>
  <c r="E61" i="6"/>
  <c r="F61" i="6"/>
  <c r="F60" i="6"/>
  <c r="E60" i="6"/>
  <c r="E59" i="6"/>
  <c r="F59" i="6" s="1"/>
  <c r="E58" i="6"/>
  <c r="F58" i="6" s="1"/>
  <c r="E57" i="6"/>
  <c r="F57" i="6" s="1"/>
  <c r="D51" i="6"/>
  <c r="C51" i="6"/>
  <c r="F51" i="6" s="1"/>
  <c r="D50" i="6"/>
  <c r="E50" i="6" s="1"/>
  <c r="C50" i="6"/>
  <c r="F50" i="6" s="1"/>
  <c r="D49" i="6"/>
  <c r="E49" i="6" s="1"/>
  <c r="C49" i="6"/>
  <c r="F49" i="6" s="1"/>
  <c r="D48" i="6"/>
  <c r="C48" i="6"/>
  <c r="D47" i="6"/>
  <c r="C47" i="6"/>
  <c r="E47" i="6" s="1"/>
  <c r="D46" i="6"/>
  <c r="E46" i="6" s="1"/>
  <c r="C46" i="6"/>
  <c r="D45" i="6"/>
  <c r="C45" i="6"/>
  <c r="D44" i="6"/>
  <c r="C44" i="6"/>
  <c r="D43" i="6"/>
  <c r="E43" i="6"/>
  <c r="C43" i="6"/>
  <c r="D42" i="6"/>
  <c r="C42" i="6"/>
  <c r="D41" i="6"/>
  <c r="C41" i="6"/>
  <c r="D38" i="6"/>
  <c r="E38" i="6" s="1"/>
  <c r="C38" i="6"/>
  <c r="F38" i="6" s="1"/>
  <c r="F37" i="6"/>
  <c r="E37" i="6"/>
  <c r="F36" i="6"/>
  <c r="E36" i="6"/>
  <c r="E35" i="6"/>
  <c r="F35" i="6" s="1"/>
  <c r="F34" i="6"/>
  <c r="E34" i="6"/>
  <c r="E33" i="6"/>
  <c r="F33" i="6" s="1"/>
  <c r="E32" i="6"/>
  <c r="F32" i="6" s="1"/>
  <c r="E31" i="6"/>
  <c r="F31" i="6" s="1"/>
  <c r="F30" i="6"/>
  <c r="E30" i="6"/>
  <c r="E29" i="6"/>
  <c r="F29" i="6" s="1"/>
  <c r="E28" i="6"/>
  <c r="F28" i="6" s="1"/>
  <c r="E27" i="6"/>
  <c r="F27" i="6" s="1"/>
  <c r="D25" i="6"/>
  <c r="E25" i="6" s="1"/>
  <c r="F25" i="6" s="1"/>
  <c r="C25" i="6"/>
  <c r="F24" i="6"/>
  <c r="E24" i="6"/>
  <c r="F23" i="6"/>
  <c r="E23" i="6"/>
  <c r="F22" i="6"/>
  <c r="E22" i="6"/>
  <c r="F21" i="6"/>
  <c r="E21" i="6"/>
  <c r="F20" i="6"/>
  <c r="E20" i="6"/>
  <c r="E19" i="6"/>
  <c r="F19" i="6" s="1"/>
  <c r="E18" i="6"/>
  <c r="F18" i="6" s="1"/>
  <c r="F17" i="6"/>
  <c r="E17" i="6"/>
  <c r="F16" i="6"/>
  <c r="E16" i="6"/>
  <c r="E15" i="6"/>
  <c r="F15" i="6" s="1"/>
  <c r="E14" i="6"/>
  <c r="F14" i="6" s="1"/>
  <c r="E51" i="5"/>
  <c r="F51" i="5" s="1"/>
  <c r="D48" i="5"/>
  <c r="E48" i="5" s="1"/>
  <c r="C48" i="5"/>
  <c r="F48" i="5"/>
  <c r="F47" i="5"/>
  <c r="E47" i="5"/>
  <c r="F46" i="5"/>
  <c r="E46" i="5"/>
  <c r="D41" i="5"/>
  <c r="C41" i="5"/>
  <c r="E40" i="5"/>
  <c r="F40" i="5"/>
  <c r="F39" i="5"/>
  <c r="E39" i="5"/>
  <c r="E38" i="5"/>
  <c r="F38" i="5" s="1"/>
  <c r="D33" i="5"/>
  <c r="C33" i="5"/>
  <c r="E32" i="5"/>
  <c r="F32" i="5" s="1"/>
  <c r="E31" i="5"/>
  <c r="F31" i="5" s="1"/>
  <c r="E30" i="5"/>
  <c r="F30" i="5" s="1"/>
  <c r="F29" i="5"/>
  <c r="E29" i="5"/>
  <c r="E28" i="5"/>
  <c r="F28" i="5"/>
  <c r="E27" i="5"/>
  <c r="F27" i="5" s="1"/>
  <c r="E26" i="5"/>
  <c r="F26" i="5" s="1"/>
  <c r="E25" i="5"/>
  <c r="F25" i="5" s="1"/>
  <c r="E24" i="5"/>
  <c r="F24" i="5"/>
  <c r="F20" i="5"/>
  <c r="E20" i="5"/>
  <c r="E19" i="5"/>
  <c r="F19" i="5" s="1"/>
  <c r="E17" i="5"/>
  <c r="F17" i="5" s="1"/>
  <c r="D16" i="5"/>
  <c r="D18" i="5" s="1"/>
  <c r="D21" i="5" s="1"/>
  <c r="C16" i="5"/>
  <c r="F15" i="5"/>
  <c r="E15" i="5"/>
  <c r="E14" i="5"/>
  <c r="F14" i="5" s="1"/>
  <c r="E13" i="5"/>
  <c r="F13" i="5" s="1"/>
  <c r="E12" i="5"/>
  <c r="F12" i="5" s="1"/>
  <c r="D73" i="4"/>
  <c r="C73" i="4"/>
  <c r="E72" i="4"/>
  <c r="F72" i="4" s="1"/>
  <c r="E71" i="4"/>
  <c r="F71" i="4" s="1"/>
  <c r="E70" i="4"/>
  <c r="F70" i="4" s="1"/>
  <c r="F67" i="4"/>
  <c r="E67" i="4"/>
  <c r="F64" i="4"/>
  <c r="E64" i="4"/>
  <c r="E63" i="4"/>
  <c r="F63" i="4" s="1"/>
  <c r="D61" i="4"/>
  <c r="C61" i="4"/>
  <c r="C65" i="4"/>
  <c r="E60" i="4"/>
  <c r="F60" i="4" s="1"/>
  <c r="F59" i="4"/>
  <c r="E59" i="4"/>
  <c r="D56" i="4"/>
  <c r="C56" i="4"/>
  <c r="F55" i="4"/>
  <c r="E55" i="4"/>
  <c r="F54" i="4"/>
  <c r="E54" i="4"/>
  <c r="F53" i="4"/>
  <c r="E53" i="4"/>
  <c r="F52" i="4"/>
  <c r="E52" i="4"/>
  <c r="E51" i="4"/>
  <c r="F51" i="4" s="1"/>
  <c r="A52" i="4"/>
  <c r="A53" i="4" s="1"/>
  <c r="A54" i="4" s="1"/>
  <c r="A55" i="4" s="1"/>
  <c r="E50" i="4"/>
  <c r="F50" i="4" s="1"/>
  <c r="A50" i="4"/>
  <c r="A51" i="4" s="1"/>
  <c r="E49" i="4"/>
  <c r="F49" i="4" s="1"/>
  <c r="F40" i="4"/>
  <c r="E40" i="4"/>
  <c r="D38" i="4"/>
  <c r="C38" i="4"/>
  <c r="E37" i="4"/>
  <c r="F37" i="4" s="1"/>
  <c r="E36" i="4"/>
  <c r="F36" i="4" s="1"/>
  <c r="E33" i="4"/>
  <c r="F33" i="4" s="1"/>
  <c r="E32" i="4"/>
  <c r="F32" i="4" s="1"/>
  <c r="E31" i="4"/>
  <c r="F31" i="4" s="1"/>
  <c r="D29" i="4"/>
  <c r="C29" i="4"/>
  <c r="E28" i="4"/>
  <c r="F28" i="4" s="1"/>
  <c r="F27" i="4"/>
  <c r="E27" i="4"/>
  <c r="F26" i="4"/>
  <c r="E26" i="4"/>
  <c r="E25" i="4"/>
  <c r="F25" i="4" s="1"/>
  <c r="D22" i="4"/>
  <c r="C22" i="4"/>
  <c r="E21" i="4"/>
  <c r="F21" i="4" s="1"/>
  <c r="E20" i="4"/>
  <c r="F20" i="4" s="1"/>
  <c r="F19" i="4"/>
  <c r="E19" i="4"/>
  <c r="F18" i="4"/>
  <c r="E18" i="4"/>
  <c r="F17" i="4"/>
  <c r="E17" i="4"/>
  <c r="F16" i="4"/>
  <c r="E16" i="4"/>
  <c r="F15" i="4"/>
  <c r="E15" i="4"/>
  <c r="F14" i="4"/>
  <c r="E14" i="4"/>
  <c r="E13" i="4"/>
  <c r="F13" i="4" s="1"/>
  <c r="E109" i="22"/>
  <c r="E108" i="22"/>
  <c r="C23" i="22"/>
  <c r="E23" i="22"/>
  <c r="C34" i="22"/>
  <c r="E34" i="22"/>
  <c r="C102" i="22"/>
  <c r="C22" i="22"/>
  <c r="E22" i="22"/>
  <c r="C49" i="19"/>
  <c r="E67" i="17"/>
  <c r="F67" i="17" s="1"/>
  <c r="C283" i="18"/>
  <c r="C65" i="18"/>
  <c r="C71" i="18"/>
  <c r="E32" i="18"/>
  <c r="E36" i="18"/>
  <c r="E70" i="18"/>
  <c r="D145" i="18"/>
  <c r="D163" i="18"/>
  <c r="D234" i="18"/>
  <c r="E219" i="18"/>
  <c r="E265" i="18"/>
  <c r="D303" i="18"/>
  <c r="D326" i="18"/>
  <c r="E216" i="18"/>
  <c r="E36" i="17"/>
  <c r="F36" i="17"/>
  <c r="E52" i="17"/>
  <c r="F52" i="17" s="1"/>
  <c r="E58" i="17"/>
  <c r="F58" i="17"/>
  <c r="E172" i="17"/>
  <c r="E20" i="17"/>
  <c r="E44" i="17"/>
  <c r="F44" i="17" s="1"/>
  <c r="D103" i="17"/>
  <c r="C60" i="17"/>
  <c r="C61" i="17" s="1"/>
  <c r="D21" i="17"/>
  <c r="D126" i="17" s="1"/>
  <c r="D127" i="17" s="1"/>
  <c r="E101" i="17"/>
  <c r="F101" i="17"/>
  <c r="E158" i="17"/>
  <c r="D181" i="17"/>
  <c r="D290" i="17"/>
  <c r="E290" i="17" s="1"/>
  <c r="D274" i="17"/>
  <c r="E198" i="17"/>
  <c r="F198" i="17" s="1"/>
  <c r="D285" i="17"/>
  <c r="D269" i="17"/>
  <c r="E306" i="17"/>
  <c r="D280" i="17"/>
  <c r="D264" i="17"/>
  <c r="E191" i="17"/>
  <c r="F191" i="17"/>
  <c r="D283" i="17"/>
  <c r="E283" i="17" s="1"/>
  <c r="C200" i="17"/>
  <c r="E200" i="17" s="1"/>
  <c r="F200" i="17" s="1"/>
  <c r="E250" i="17"/>
  <c r="F250" i="17" s="1"/>
  <c r="C264" i="17"/>
  <c r="C269" i="17"/>
  <c r="C274" i="17"/>
  <c r="E294" i="17"/>
  <c r="F294" i="17"/>
  <c r="E296" i="17"/>
  <c r="F296" i="17"/>
  <c r="E297" i="17"/>
  <c r="F297" i="17"/>
  <c r="G36" i="14"/>
  <c r="G38" i="14" s="1"/>
  <c r="G40" i="14" s="1"/>
  <c r="D31" i="14"/>
  <c r="F31" i="14"/>
  <c r="H17" i="14"/>
  <c r="E21" i="13"/>
  <c r="D15" i="13"/>
  <c r="C17" i="13"/>
  <c r="C28" i="13" s="1"/>
  <c r="C70" i="13" s="1"/>
  <c r="C72" i="13" s="1"/>
  <c r="D41" i="11"/>
  <c r="E35" i="10"/>
  <c r="E47" i="10"/>
  <c r="E60" i="10"/>
  <c r="E71" i="10"/>
  <c r="E84" i="10"/>
  <c r="E112" i="10"/>
  <c r="E113" i="10"/>
  <c r="D15" i="8"/>
  <c r="E53" i="8"/>
  <c r="D57" i="8"/>
  <c r="D62" i="8" s="1"/>
  <c r="D77" i="8"/>
  <c r="E87" i="6"/>
  <c r="E84" i="6"/>
  <c r="F84" i="6" s="1"/>
  <c r="F88" i="6"/>
  <c r="E88" i="6"/>
  <c r="E92" i="6"/>
  <c r="F92" i="6" s="1"/>
  <c r="E153" i="6"/>
  <c r="F179" i="6"/>
  <c r="E16" i="5"/>
  <c r="E54" i="22"/>
  <c r="E45" i="22"/>
  <c r="E35" i="22"/>
  <c r="E29" i="22"/>
  <c r="C40" i="22"/>
  <c r="C30" i="22"/>
  <c r="C38" i="22" s="1"/>
  <c r="D306" i="18"/>
  <c r="D310" i="18" s="1"/>
  <c r="C76" i="18"/>
  <c r="C77" i="18" s="1"/>
  <c r="C122" i="18" s="1"/>
  <c r="D161" i="17"/>
  <c r="D162" i="17" s="1"/>
  <c r="C140" i="17"/>
  <c r="D75" i="11"/>
  <c r="D24" i="8"/>
  <c r="D17" i="8"/>
  <c r="D28" i="8"/>
  <c r="D112" i="8"/>
  <c r="D111" i="8"/>
  <c r="C121" i="18"/>
  <c r="C126" i="18"/>
  <c r="C124" i="18"/>
  <c r="C109" i="18"/>
  <c r="D99" i="8"/>
  <c r="D101" i="8" s="1"/>
  <c r="D98" i="8" s="1"/>
  <c r="E326" i="18" l="1"/>
  <c r="D330" i="18"/>
  <c r="E330" i="18" s="1"/>
  <c r="F137" i="6"/>
  <c r="F283" i="17"/>
  <c r="C267" i="17"/>
  <c r="C270" i="17" s="1"/>
  <c r="C205" i="17"/>
  <c r="C53" i="22"/>
  <c r="C35" i="22"/>
  <c r="E30" i="7"/>
  <c r="F30" i="7"/>
  <c r="E22" i="18"/>
  <c r="E103" i="17"/>
  <c r="F103" i="17" s="1"/>
  <c r="E193" i="9"/>
  <c r="E55" i="22"/>
  <c r="E37" i="22"/>
  <c r="E112" i="22"/>
  <c r="E47" i="22"/>
  <c r="C66" i="18"/>
  <c r="C294" i="18"/>
  <c r="E25" i="8"/>
  <c r="E27" i="8" s="1"/>
  <c r="C53" i="8"/>
  <c r="C43" i="8"/>
  <c r="C49" i="8"/>
  <c r="F114" i="9"/>
  <c r="E17" i="12"/>
  <c r="F17" i="12" s="1"/>
  <c r="D20" i="12"/>
  <c r="F167" i="7"/>
  <c r="E114" i="10"/>
  <c r="D121" i="10"/>
  <c r="E121" i="10" s="1"/>
  <c r="C261" i="17"/>
  <c r="C263" i="17" s="1"/>
  <c r="C190" i="17"/>
  <c r="C277" i="17"/>
  <c r="C254" i="17"/>
  <c r="C206" i="17"/>
  <c r="C214" i="17"/>
  <c r="C304" i="17" s="1"/>
  <c r="C144" i="18"/>
  <c r="C180" i="18" s="1"/>
  <c r="E139" i="18"/>
  <c r="D206" i="17"/>
  <c r="D214" i="17"/>
  <c r="D254" i="17" s="1"/>
  <c r="E188" i="17"/>
  <c r="F188" i="17" s="1"/>
  <c r="D190" i="17"/>
  <c r="D277" i="17"/>
  <c r="D287" i="17" s="1"/>
  <c r="D261" i="17"/>
  <c r="D108" i="22"/>
  <c r="D109" i="22"/>
  <c r="F23" i="10"/>
  <c r="E23" i="10"/>
  <c r="F83" i="10"/>
  <c r="E83" i="10"/>
  <c r="E76" i="17"/>
  <c r="F76" i="17" s="1"/>
  <c r="C77" i="17"/>
  <c r="E77" i="17" s="1"/>
  <c r="D138" i="17"/>
  <c r="E138" i="17" s="1"/>
  <c r="F138" i="17" s="1"/>
  <c r="D207" i="17"/>
  <c r="D208" i="17" s="1"/>
  <c r="E137" i="17"/>
  <c r="F137" i="17" s="1"/>
  <c r="F102" i="17"/>
  <c r="C103" i="17"/>
  <c r="F41" i="6"/>
  <c r="E24" i="8"/>
  <c r="E17" i="8"/>
  <c r="E112" i="8" s="1"/>
  <c r="E111" i="8" s="1"/>
  <c r="D125" i="17"/>
  <c r="C239" i="17"/>
  <c r="E237" i="17"/>
  <c r="F237" i="17" s="1"/>
  <c r="C242" i="18"/>
  <c r="E242" i="18" s="1"/>
  <c r="C217" i="18"/>
  <c r="C241" i="18" s="1"/>
  <c r="E251" i="18"/>
  <c r="D60" i="17"/>
  <c r="D61" i="17" s="1"/>
  <c r="E59" i="17"/>
  <c r="F59" i="17" s="1"/>
  <c r="C124" i="17"/>
  <c r="C126" i="17" s="1"/>
  <c r="C192" i="17"/>
  <c r="C295" i="18"/>
  <c r="C175" i="18"/>
  <c r="C193" i="17"/>
  <c r="C194" i="17" s="1"/>
  <c r="F91" i="6"/>
  <c r="E91" i="6"/>
  <c r="D166" i="8"/>
  <c r="D157" i="8" s="1"/>
  <c r="E24" i="13"/>
  <c r="E20" i="13" s="1"/>
  <c r="E17" i="13"/>
  <c r="E28" i="13" s="1"/>
  <c r="E47" i="17"/>
  <c r="F47" i="17" s="1"/>
  <c r="E239" i="17"/>
  <c r="F239" i="17" s="1"/>
  <c r="D65" i="4"/>
  <c r="E65" i="4" s="1"/>
  <c r="F65" i="4" s="1"/>
  <c r="E61" i="4"/>
  <c r="F61" i="4" s="1"/>
  <c r="E22" i="11"/>
  <c r="C89" i="17"/>
  <c r="C90" i="17" s="1"/>
  <c r="C146" i="17"/>
  <c r="E144" i="17"/>
  <c r="F144" i="17" s="1"/>
  <c r="C215" i="17"/>
  <c r="C262" i="17"/>
  <c r="E218" i="18"/>
  <c r="D217" i="18"/>
  <c r="D222" i="18"/>
  <c r="E44" i="20"/>
  <c r="F44" i="20" s="1"/>
  <c r="D49" i="8"/>
  <c r="D90" i="17"/>
  <c r="D207" i="9"/>
  <c r="E65" i="11"/>
  <c r="E179" i="17"/>
  <c r="E101" i="22"/>
  <c r="E103" i="22" s="1"/>
  <c r="E43" i="8"/>
  <c r="E41" i="6"/>
  <c r="D43" i="8"/>
  <c r="E115" i="9"/>
  <c r="F115" i="9" s="1"/>
  <c r="E118" i="10"/>
  <c r="D49" i="17"/>
  <c r="D50" i="17" s="1"/>
  <c r="C25" i="8"/>
  <c r="C27" i="8" s="1"/>
  <c r="C21" i="8" s="1"/>
  <c r="C15" i="8"/>
  <c r="C24" i="8" s="1"/>
  <c r="C20" i="8" s="1"/>
  <c r="E208" i="9"/>
  <c r="F208" i="9" s="1"/>
  <c r="E206" i="9"/>
  <c r="F206" i="9" s="1"/>
  <c r="E72" i="10"/>
  <c r="E73" i="11"/>
  <c r="F73" i="11" s="1"/>
  <c r="E170" i="17"/>
  <c r="F170" i="17"/>
  <c r="D55" i="18"/>
  <c r="E54" i="18"/>
  <c r="D229" i="18"/>
  <c r="E229" i="18" s="1"/>
  <c r="D175" i="18"/>
  <c r="C240" i="18"/>
  <c r="C222" i="18"/>
  <c r="C246" i="18" s="1"/>
  <c r="E40" i="20"/>
  <c r="F40" i="20" s="1"/>
  <c r="D41" i="20"/>
  <c r="E45" i="20"/>
  <c r="F45" i="20" s="1"/>
  <c r="E21" i="21"/>
  <c r="F21" i="21" s="1"/>
  <c r="C103" i="22"/>
  <c r="E89" i="9"/>
  <c r="F89" i="9" s="1"/>
  <c r="D32" i="17"/>
  <c r="D210" i="17" s="1"/>
  <c r="D211" i="17" s="1"/>
  <c r="E31" i="17"/>
  <c r="F31" i="17" s="1"/>
  <c r="F155" i="17"/>
  <c r="E155" i="17"/>
  <c r="D205" i="17"/>
  <c r="D267" i="17"/>
  <c r="D271" i="17" s="1"/>
  <c r="E203" i="17"/>
  <c r="F203" i="17" s="1"/>
  <c r="E137" i="6"/>
  <c r="E55" i="15"/>
  <c r="E30" i="17"/>
  <c r="F30" i="17" s="1"/>
  <c r="E102" i="17"/>
  <c r="D278" i="17"/>
  <c r="D262" i="17"/>
  <c r="D272" i="17" s="1"/>
  <c r="E272" i="17" s="1"/>
  <c r="C113" i="22"/>
  <c r="D199" i="17"/>
  <c r="E199" i="17" s="1"/>
  <c r="F199" i="17" s="1"/>
  <c r="D75" i="4"/>
  <c r="E149" i="8"/>
  <c r="F115" i="10"/>
  <c r="E15" i="12"/>
  <c r="F15" i="12" s="1"/>
  <c r="E47" i="12"/>
  <c r="E35" i="17"/>
  <c r="F35" i="17" s="1"/>
  <c r="C37" i="17"/>
  <c r="E37" i="17" s="1"/>
  <c r="F37" i="17" s="1"/>
  <c r="C227" i="17"/>
  <c r="C255" i="17"/>
  <c r="E274" i="17"/>
  <c r="F274" i="17" s="1"/>
  <c r="E215" i="18"/>
  <c r="E85" i="6"/>
  <c r="F85" i="6" s="1"/>
  <c r="E89" i="6"/>
  <c r="F89" i="6" s="1"/>
  <c r="D27" i="8"/>
  <c r="C166" i="8"/>
  <c r="C153" i="8" s="1"/>
  <c r="E37" i="9"/>
  <c r="E107" i="10"/>
  <c r="D122" i="10"/>
  <c r="F19" i="16"/>
  <c r="D111" i="17"/>
  <c r="E226" i="17"/>
  <c r="F226" i="17" s="1"/>
  <c r="D260" i="18"/>
  <c r="E260" i="18" s="1"/>
  <c r="E195" i="18"/>
  <c r="E233" i="18"/>
  <c r="E290" i="18"/>
  <c r="F16" i="20"/>
  <c r="E45" i="15"/>
  <c r="F45" i="15" s="1"/>
  <c r="D160" i="17"/>
  <c r="E160" i="17" s="1"/>
  <c r="E159" i="17"/>
  <c r="D245" i="18"/>
  <c r="E245" i="18" s="1"/>
  <c r="E221" i="18"/>
  <c r="E24" i="17"/>
  <c r="F24" i="17" s="1"/>
  <c r="D89" i="17"/>
  <c r="E89" i="17" s="1"/>
  <c r="F89" i="17" s="1"/>
  <c r="E88" i="17"/>
  <c r="F88" i="17" s="1"/>
  <c r="F230" i="17"/>
  <c r="E177" i="18"/>
  <c r="E111" i="22"/>
  <c r="E49" i="8"/>
  <c r="D43" i="11"/>
  <c r="E43" i="11" s="1"/>
  <c r="F238" i="17"/>
  <c r="E173" i="18"/>
  <c r="D91" i="17"/>
  <c r="D92" i="17" s="1"/>
  <c r="D71" i="8"/>
  <c r="E123" i="17"/>
  <c r="F123" i="17" s="1"/>
  <c r="C123" i="18"/>
  <c r="C128" i="18" s="1"/>
  <c r="C129" i="18" s="1"/>
  <c r="C223" i="18"/>
  <c r="C247" i="18" s="1"/>
  <c r="E199" i="9"/>
  <c r="F199" i="9" s="1"/>
  <c r="C199" i="17"/>
  <c r="E205" i="18"/>
  <c r="E73" i="4"/>
  <c r="F73" i="4" s="1"/>
  <c r="E42" i="6"/>
  <c r="F42" i="6" s="1"/>
  <c r="F59" i="7"/>
  <c r="E90" i="7"/>
  <c r="F90" i="7" s="1"/>
  <c r="C109" i="8"/>
  <c r="C106" i="8" s="1"/>
  <c r="E203" i="9"/>
  <c r="E95" i="10"/>
  <c r="E19" i="16"/>
  <c r="E110" i="17"/>
  <c r="F110" i="17" s="1"/>
  <c r="F136" i="17"/>
  <c r="E165" i="17"/>
  <c r="F165" i="17"/>
  <c r="E73" i="18"/>
  <c r="E161" i="18"/>
  <c r="D244" i="18"/>
  <c r="E244" i="18" s="1"/>
  <c r="E220" i="18"/>
  <c r="C64" i="19"/>
  <c r="C65" i="19" s="1"/>
  <c r="C114" i="19" s="1"/>
  <c r="C116" i="19" s="1"/>
  <c r="C119" i="19" s="1"/>
  <c r="C123" i="19" s="1"/>
  <c r="E38" i="4"/>
  <c r="F38" i="4" s="1"/>
  <c r="F130" i="7"/>
  <c r="E167" i="7"/>
  <c r="C71" i="8"/>
  <c r="D79" i="8"/>
  <c r="F101" i="9"/>
  <c r="E179" i="9"/>
  <c r="E204" i="9"/>
  <c r="F204" i="9" s="1"/>
  <c r="E37" i="15"/>
  <c r="F37" i="15" s="1"/>
  <c r="F14" i="16"/>
  <c r="E41" i="18"/>
  <c r="E227" i="18"/>
  <c r="E39" i="20"/>
  <c r="E130" i="7"/>
  <c r="D90" i="8"/>
  <c r="D86" i="8" s="1"/>
  <c r="E79" i="8"/>
  <c r="E109" i="8"/>
  <c r="E106" i="8" s="1"/>
  <c r="D149" i="8"/>
  <c r="D50" i="13"/>
  <c r="D80" i="13"/>
  <c r="D77" i="13" s="1"/>
  <c r="E50" i="15"/>
  <c r="E120" i="17"/>
  <c r="F120" i="17" s="1"/>
  <c r="E135" i="17"/>
  <c r="E38" i="18"/>
  <c r="E179" i="18"/>
  <c r="E292" i="18"/>
  <c r="D316" i="18"/>
  <c r="C77" i="22"/>
  <c r="C111" i="22" s="1"/>
  <c r="C101" i="22"/>
  <c r="C69" i="13"/>
  <c r="E111" i="6"/>
  <c r="F111" i="6" s="1"/>
  <c r="E166" i="9"/>
  <c r="E50" i="13"/>
  <c r="F107" i="15"/>
  <c r="D37" i="17"/>
  <c r="D192" i="17"/>
  <c r="E192" i="17" s="1"/>
  <c r="F192" i="17" s="1"/>
  <c r="E42" i="18"/>
  <c r="E25" i="20"/>
  <c r="D102" i="22"/>
  <c r="C300" i="17"/>
  <c r="E264" i="17"/>
  <c r="F264" i="17" s="1"/>
  <c r="F44" i="6"/>
  <c r="C52" i="6"/>
  <c r="E130" i="17"/>
  <c r="F130" i="17" s="1"/>
  <c r="C44" i="18"/>
  <c r="C259" i="18"/>
  <c r="C263" i="18" s="1"/>
  <c r="E33" i="5"/>
  <c r="F33" i="5" s="1"/>
  <c r="D188" i="7"/>
  <c r="E75" i="11"/>
  <c r="E45" i="6"/>
  <c r="F45" i="6" s="1"/>
  <c r="C155" i="8"/>
  <c r="C154" i="8"/>
  <c r="C152" i="8"/>
  <c r="C68" i="17"/>
  <c r="C46" i="20"/>
  <c r="E43" i="20"/>
  <c r="C63" i="17"/>
  <c r="E166" i="6"/>
  <c r="F166" i="6" s="1"/>
  <c r="D155" i="8"/>
  <c r="D154" i="8"/>
  <c r="D152" i="8"/>
  <c r="D153" i="8"/>
  <c r="F20" i="17"/>
  <c r="C266" i="17"/>
  <c r="C282" i="17"/>
  <c r="C141" i="17"/>
  <c r="C156" i="8"/>
  <c r="E24" i="10"/>
  <c r="D288" i="17"/>
  <c r="E124" i="17"/>
  <c r="F124" i="17" s="1"/>
  <c r="C75" i="4"/>
  <c r="E56" i="4"/>
  <c r="F56" i="4" s="1"/>
  <c r="D22" i="8"/>
  <c r="D21" i="8"/>
  <c r="D20" i="8"/>
  <c r="F39" i="20"/>
  <c r="E41" i="20"/>
  <c r="F41" i="20" s="1"/>
  <c r="C252" i="18"/>
  <c r="D169" i="18"/>
  <c r="D59" i="13"/>
  <c r="D61" i="13" s="1"/>
  <c r="D57" i="13" s="1"/>
  <c r="D48" i="13"/>
  <c r="D42" i="13" s="1"/>
  <c r="E111" i="17"/>
  <c r="D24" i="13"/>
  <c r="D17" i="13"/>
  <c r="D28" i="13" s="1"/>
  <c r="D70" i="13" s="1"/>
  <c r="D72" i="13" s="1"/>
  <c r="D69" i="13" s="1"/>
  <c r="C272" i="17"/>
  <c r="C161" i="17"/>
  <c r="E161" i="17" s="1"/>
  <c r="C91" i="17"/>
  <c r="C49" i="17"/>
  <c r="E21" i="17"/>
  <c r="F21" i="17" s="1"/>
  <c r="C196" i="17"/>
  <c r="E85" i="17"/>
  <c r="F85" i="17"/>
  <c r="E262" i="17"/>
  <c r="F262" i="17" s="1"/>
  <c r="D263" i="17"/>
  <c r="E48" i="17"/>
  <c r="F48" i="17" s="1"/>
  <c r="C195" i="17"/>
  <c r="C160" i="17"/>
  <c r="C125" i="17"/>
  <c r="E267" i="17"/>
  <c r="F267" i="17" s="1"/>
  <c r="D52" i="6"/>
  <c r="E52" i="6" s="1"/>
  <c r="D286" i="17"/>
  <c r="E128" i="9"/>
  <c r="F128" i="9" s="1"/>
  <c r="C22" i="13"/>
  <c r="C20" i="13"/>
  <c r="C21" i="13"/>
  <c r="E48" i="13"/>
  <c r="E42" i="13" s="1"/>
  <c r="E59" i="13"/>
  <c r="E61" i="13" s="1"/>
  <c r="E57" i="13" s="1"/>
  <c r="E41" i="5"/>
  <c r="F41" i="5" s="1"/>
  <c r="F94" i="6"/>
  <c r="E94" i="6"/>
  <c r="E35" i="7"/>
  <c r="F35" i="7" s="1"/>
  <c r="E108" i="10"/>
  <c r="F108" i="10"/>
  <c r="F311" i="17"/>
  <c r="E311" i="17"/>
  <c r="E55" i="18"/>
  <c r="D284" i="18"/>
  <c r="E284" i="18" s="1"/>
  <c r="F22" i="4"/>
  <c r="F16" i="5"/>
  <c r="C18" i="5"/>
  <c r="F124" i="6"/>
  <c r="F33" i="20"/>
  <c r="C34" i="12"/>
  <c r="E166" i="8"/>
  <c r="E20" i="12"/>
  <c r="F20" i="12" s="1"/>
  <c r="D34" i="12"/>
  <c r="D140" i="17"/>
  <c r="C56" i="22"/>
  <c r="C48" i="22"/>
  <c r="D95" i="7"/>
  <c r="C145" i="18"/>
  <c r="E145" i="18" s="1"/>
  <c r="C125" i="18"/>
  <c r="C111" i="18"/>
  <c r="C114" i="18"/>
  <c r="C115" i="18"/>
  <c r="C110" i="18"/>
  <c r="C113" i="18"/>
  <c r="C112" i="18"/>
  <c r="C127" i="18"/>
  <c r="D41" i="4"/>
  <c r="E280" i="17"/>
  <c r="F280" i="17" s="1"/>
  <c r="F66" i="17"/>
  <c r="E48" i="6"/>
  <c r="F48" i="6" s="1"/>
  <c r="F141" i="9"/>
  <c r="E141" i="9"/>
  <c r="E23" i="15"/>
  <c r="F23" i="15"/>
  <c r="F29" i="4"/>
  <c r="E29" i="4"/>
  <c r="E51" i="6"/>
  <c r="F65" i="11"/>
  <c r="C111" i="17"/>
  <c r="E109" i="17"/>
  <c r="F109" i="17" s="1"/>
  <c r="E60" i="17"/>
  <c r="F60" i="17" s="1"/>
  <c r="D104" i="17"/>
  <c r="E214" i="17"/>
  <c r="F214" i="17" s="1"/>
  <c r="E124" i="6"/>
  <c r="E41" i="11"/>
  <c r="F41" i="11" s="1"/>
  <c r="E269" i="17"/>
  <c r="F269" i="17" s="1"/>
  <c r="E53" i="22"/>
  <c r="E39" i="22"/>
  <c r="C54" i="22"/>
  <c r="C46" i="22"/>
  <c r="C36" i="22"/>
  <c r="E22" i="4"/>
  <c r="C41" i="4"/>
  <c r="C43" i="4" s="1"/>
  <c r="F43" i="6"/>
  <c r="F153" i="6"/>
  <c r="E63" i="9"/>
  <c r="C207" i="9"/>
  <c r="E198" i="9"/>
  <c r="F198" i="9" s="1"/>
  <c r="F203" i="9"/>
  <c r="C31" i="14"/>
  <c r="C33" i="14"/>
  <c r="I17" i="14"/>
  <c r="E70" i="15"/>
  <c r="F180" i="17"/>
  <c r="C181" i="17"/>
  <c r="C285" i="17"/>
  <c r="E285" i="17" s="1"/>
  <c r="E165" i="18"/>
  <c r="E210" i="18"/>
  <c r="D211" i="18"/>
  <c r="E277" i="18"/>
  <c r="E121" i="7"/>
  <c r="F121" i="7" s="1"/>
  <c r="E16" i="15"/>
  <c r="F16" i="15" s="1"/>
  <c r="E125" i="17"/>
  <c r="C188" i="7"/>
  <c r="C284" i="18"/>
  <c r="F295" i="17"/>
  <c r="D174" i="17"/>
  <c r="D139" i="17"/>
  <c r="E139" i="17" s="1"/>
  <c r="C303" i="18"/>
  <c r="C45" i="22"/>
  <c r="C39" i="22"/>
  <c r="C29" i="22"/>
  <c r="E136" i="8"/>
  <c r="E139" i="8"/>
  <c r="E135" i="8"/>
  <c r="C149" i="8"/>
  <c r="F43" i="11"/>
  <c r="C75" i="11"/>
  <c r="E56" i="11"/>
  <c r="D27" i="13"/>
  <c r="D105" i="17"/>
  <c r="E32" i="17"/>
  <c r="F32" i="17" s="1"/>
  <c r="D175" i="17"/>
  <c r="F172" i="17"/>
  <c r="C207" i="17"/>
  <c r="C173" i="17"/>
  <c r="E204" i="17"/>
  <c r="F204" i="17" s="1"/>
  <c r="D215" i="17"/>
  <c r="D216" i="17" s="1"/>
  <c r="E33" i="18"/>
  <c r="D65" i="18"/>
  <c r="D71" i="18"/>
  <c r="D289" i="18"/>
  <c r="E289" i="18" s="1"/>
  <c r="E60" i="18"/>
  <c r="C156" i="18"/>
  <c r="C163" i="18"/>
  <c r="E163" i="18" s="1"/>
  <c r="E151" i="18"/>
  <c r="C261" i="18"/>
  <c r="E261" i="18" s="1"/>
  <c r="E188" i="18"/>
  <c r="C37" i="19"/>
  <c r="C38" i="19" s="1"/>
  <c r="C127" i="19" s="1"/>
  <c r="C129" i="19" s="1"/>
  <c r="C133" i="19" s="1"/>
  <c r="C22" i="19"/>
  <c r="D33" i="22"/>
  <c r="D23" i="22"/>
  <c r="D34" i="22"/>
  <c r="D22" i="22"/>
  <c r="C109" i="22"/>
  <c r="C139" i="17"/>
  <c r="F61" i="17"/>
  <c r="E40" i="22"/>
  <c r="E36" i="22"/>
  <c r="F50" i="9"/>
  <c r="F70" i="15"/>
  <c r="E61" i="17"/>
  <c r="E30" i="22"/>
  <c r="D35" i="5"/>
  <c r="E28" i="8"/>
  <c r="E46" i="22"/>
  <c r="E183" i="7"/>
  <c r="F183" i="7" s="1"/>
  <c r="C211" i="18"/>
  <c r="C235" i="18" s="1"/>
  <c r="C234" i="18"/>
  <c r="E234" i="18" s="1"/>
  <c r="E180" i="18"/>
  <c r="F47" i="6"/>
  <c r="F68" i="6"/>
  <c r="E68" i="6"/>
  <c r="F93" i="6"/>
  <c r="E93" i="6"/>
  <c r="C95" i="6"/>
  <c r="E88" i="8"/>
  <c r="E90" i="8" s="1"/>
  <c r="E86" i="8" s="1"/>
  <c r="E77" i="8"/>
  <c r="E71" i="8" s="1"/>
  <c r="D136" i="8"/>
  <c r="C122" i="10"/>
  <c r="F122" i="10" s="1"/>
  <c r="F56" i="11"/>
  <c r="D193" i="17"/>
  <c r="F171" i="17"/>
  <c r="E171" i="17"/>
  <c r="F290" i="17"/>
  <c r="E227" i="17"/>
  <c r="F227" i="17" s="1"/>
  <c r="D168" i="18"/>
  <c r="E144" i="18"/>
  <c r="D300" i="17"/>
  <c r="C95" i="7"/>
  <c r="E61" i="11"/>
  <c r="F61" i="11" s="1"/>
  <c r="E44" i="6"/>
  <c r="E65" i="15"/>
  <c r="F65" i="15"/>
  <c r="E100" i="15"/>
  <c r="F100" i="15" s="1"/>
  <c r="E72" i="18"/>
  <c r="D95" i="6"/>
  <c r="F24" i="7"/>
  <c r="E49" i="9"/>
  <c r="F49" i="9"/>
  <c r="F38" i="11"/>
  <c r="C278" i="17"/>
  <c r="E189" i="17"/>
  <c r="F189" i="17" s="1"/>
  <c r="D283" i="18"/>
  <c r="E283" i="18" s="1"/>
  <c r="E21" i="18"/>
  <c r="D44" i="18"/>
  <c r="E43" i="18"/>
  <c r="E287" i="18"/>
  <c r="C20" i="20"/>
  <c r="E20" i="20" s="1"/>
  <c r="E19" i="20"/>
  <c r="F19" i="20" s="1"/>
  <c r="E23" i="9"/>
  <c r="F23" i="9" s="1"/>
  <c r="E154" i="9"/>
  <c r="F154" i="9"/>
  <c r="F22" i="11"/>
  <c r="F94" i="17"/>
  <c r="E164" i="17"/>
  <c r="D101" i="22"/>
  <c r="F55" i="15"/>
  <c r="F46" i="6"/>
  <c r="F18" i="7"/>
  <c r="F41" i="7"/>
  <c r="F76" i="9"/>
  <c r="E205" i="9"/>
  <c r="F205" i="9" s="1"/>
  <c r="C50" i="13"/>
  <c r="C59" i="13"/>
  <c r="C61" i="13" s="1"/>
  <c r="C57" i="13" s="1"/>
  <c r="F50" i="15"/>
  <c r="F75" i="15"/>
  <c r="F135" i="17"/>
  <c r="D146" i="17"/>
  <c r="E146" i="17" s="1"/>
  <c r="F146" i="17" s="1"/>
  <c r="E75" i="9"/>
  <c r="F75" i="9" s="1"/>
  <c r="F102" i="9"/>
  <c r="F201" i="9"/>
  <c r="F32" i="12"/>
  <c r="E288" i="18"/>
  <c r="C88" i="22"/>
  <c r="C93" i="22"/>
  <c r="F127" i="9"/>
  <c r="E30" i="15"/>
  <c r="F92" i="15"/>
  <c r="F307" i="17"/>
  <c r="E232" i="18"/>
  <c r="F25" i="20"/>
  <c r="F205" i="17" l="1"/>
  <c r="E175" i="18"/>
  <c r="E263" i="17"/>
  <c r="F263" i="17" s="1"/>
  <c r="D140" i="8"/>
  <c r="D139" i="8"/>
  <c r="D135" i="8"/>
  <c r="D141" i="8" s="1"/>
  <c r="D137" i="8"/>
  <c r="D138" i="8"/>
  <c r="E104" i="17"/>
  <c r="D291" i="17"/>
  <c r="F206" i="17"/>
  <c r="E21" i="8"/>
  <c r="E20" i="8"/>
  <c r="E205" i="17"/>
  <c r="E22" i="13"/>
  <c r="E70" i="13"/>
  <c r="E72" i="13" s="1"/>
  <c r="E69" i="13" s="1"/>
  <c r="D279" i="17"/>
  <c r="C216" i="17"/>
  <c r="E216" i="17" s="1"/>
  <c r="E254" i="17"/>
  <c r="F254" i="17" s="1"/>
  <c r="D284" i="17"/>
  <c r="E284" i="17" s="1"/>
  <c r="F284" i="17" s="1"/>
  <c r="D253" i="18"/>
  <c r="D254" i="18" s="1"/>
  <c r="D223" i="18"/>
  <c r="E223" i="18" s="1"/>
  <c r="E222" i="18"/>
  <c r="E206" i="17"/>
  <c r="E190" i="17"/>
  <c r="F190" i="17" s="1"/>
  <c r="D103" i="22"/>
  <c r="E300" i="17"/>
  <c r="C108" i="22"/>
  <c r="C157" i="8"/>
  <c r="C158" i="8" s="1"/>
  <c r="D156" i="8"/>
  <c r="E46" i="20"/>
  <c r="D268" i="17"/>
  <c r="E268" i="17" s="1"/>
  <c r="F268" i="17" s="1"/>
  <c r="D241" i="18"/>
  <c r="E241" i="18" s="1"/>
  <c r="E217" i="18"/>
  <c r="D62" i="17"/>
  <c r="D209" i="17"/>
  <c r="C105" i="17"/>
  <c r="C106" i="17" s="1"/>
  <c r="C104" i="17"/>
  <c r="C287" i="17"/>
  <c r="E287" i="17" s="1"/>
  <c r="F287" i="17" s="1"/>
  <c r="C284" i="17"/>
  <c r="C17" i="8"/>
  <c r="D270" i="17"/>
  <c r="E270" i="17" s="1"/>
  <c r="F270" i="17" s="1"/>
  <c r="E138" i="8"/>
  <c r="E141" i="8" s="1"/>
  <c r="E137" i="8"/>
  <c r="E140" i="8"/>
  <c r="C268" i="17"/>
  <c r="C271" i="17"/>
  <c r="C273" i="17" s="1"/>
  <c r="C110" i="22"/>
  <c r="E277" i="17"/>
  <c r="F277" i="17" s="1"/>
  <c r="E316" i="18"/>
  <c r="D320" i="18"/>
  <c r="E320" i="18" s="1"/>
  <c r="E240" i="18"/>
  <c r="C253" i="18"/>
  <c r="E261" i="17"/>
  <c r="F261" i="17" s="1"/>
  <c r="D305" i="17"/>
  <c r="C288" i="17"/>
  <c r="C279" i="17"/>
  <c r="E278" i="17"/>
  <c r="F278" i="17" s="1"/>
  <c r="D43" i="5"/>
  <c r="F20" i="20"/>
  <c r="E56" i="22"/>
  <c r="E48" i="22"/>
  <c r="E38" i="22"/>
  <c r="E113" i="22"/>
  <c r="C157" i="18"/>
  <c r="E157" i="18" s="1"/>
  <c r="E156" i="18"/>
  <c r="C168" i="18"/>
  <c r="F173" i="17"/>
  <c r="C174" i="17"/>
  <c r="C175" i="17"/>
  <c r="D106" i="17"/>
  <c r="E105" i="17"/>
  <c r="F105" i="17" s="1"/>
  <c r="E174" i="17"/>
  <c r="D43" i="4"/>
  <c r="E43" i="4" s="1"/>
  <c r="F43" i="4" s="1"/>
  <c r="E41" i="4"/>
  <c r="E173" i="17"/>
  <c r="D289" i="17"/>
  <c r="C254" i="18"/>
  <c r="E252" i="18"/>
  <c r="C281" i="17"/>
  <c r="F46" i="20"/>
  <c r="D194" i="17"/>
  <c r="E193" i="17"/>
  <c r="F193" i="17" s="1"/>
  <c r="D282" i="17"/>
  <c r="D266" i="17"/>
  <c r="F95" i="6"/>
  <c r="F139" i="17"/>
  <c r="C208" i="17"/>
  <c r="E211" i="18"/>
  <c r="D235" i="18"/>
  <c r="E235" i="18" s="1"/>
  <c r="C181" i="18"/>
  <c r="E207" i="17"/>
  <c r="F207" i="17" s="1"/>
  <c r="D273" i="17"/>
  <c r="E271" i="17"/>
  <c r="F271" i="17" s="1"/>
  <c r="D304" i="17"/>
  <c r="C85" i="18"/>
  <c r="C88" i="18"/>
  <c r="C100" i="18"/>
  <c r="C84" i="18"/>
  <c r="C101" i="18"/>
  <c r="C258" i="18"/>
  <c r="C99" i="18"/>
  <c r="C96" i="18"/>
  <c r="C95" i="18"/>
  <c r="C86" i="18"/>
  <c r="C89" i="18"/>
  <c r="C98" i="18"/>
  <c r="C83" i="18"/>
  <c r="C97" i="18"/>
  <c r="C87" i="18"/>
  <c r="C265" i="17"/>
  <c r="F90" i="17"/>
  <c r="D21" i="13"/>
  <c r="D22" i="13"/>
  <c r="D20" i="13"/>
  <c r="I33" i="14"/>
  <c r="I36" i="14" s="1"/>
  <c r="I38" i="14" s="1"/>
  <c r="I40" i="14" s="1"/>
  <c r="C36" i="14"/>
  <c r="C38" i="14" s="1"/>
  <c r="C40" i="14" s="1"/>
  <c r="H33" i="14"/>
  <c r="H36" i="14" s="1"/>
  <c r="H38" i="14" s="1"/>
  <c r="H40" i="14" s="1"/>
  <c r="E168" i="18"/>
  <c r="E71" i="18"/>
  <c r="D76" i="18"/>
  <c r="C50" i="17"/>
  <c r="E49" i="17"/>
  <c r="F49" i="17"/>
  <c r="E75" i="4"/>
  <c r="F75" i="4" s="1"/>
  <c r="C112" i="8"/>
  <c r="C111" i="8" s="1"/>
  <c r="C28" i="8"/>
  <c r="D66" i="18"/>
  <c r="D294" i="18"/>
  <c r="E294" i="18" s="1"/>
  <c r="E65" i="18"/>
  <c r="D246" i="18"/>
  <c r="E246" i="18" s="1"/>
  <c r="F75" i="11"/>
  <c r="C116" i="18"/>
  <c r="C117" i="18" s="1"/>
  <c r="C131" i="18" s="1"/>
  <c r="E34" i="12"/>
  <c r="F34" i="12" s="1"/>
  <c r="D42" i="12"/>
  <c r="F125" i="17"/>
  <c r="E91" i="17"/>
  <c r="F91" i="17"/>
  <c r="C92" i="17"/>
  <c r="C322" i="17"/>
  <c r="D158" i="8"/>
  <c r="E122" i="10"/>
  <c r="F41" i="4"/>
  <c r="F43" i="20"/>
  <c r="E68" i="17"/>
  <c r="F68" i="17" s="1"/>
  <c r="D101" i="18"/>
  <c r="D98" i="18"/>
  <c r="E98" i="18" s="1"/>
  <c r="D97" i="18"/>
  <c r="E97" i="18" s="1"/>
  <c r="D89" i="18"/>
  <c r="D86" i="18"/>
  <c r="D84" i="18"/>
  <c r="D96" i="18"/>
  <c r="D258" i="18"/>
  <c r="E44" i="18"/>
  <c r="D99" i="18"/>
  <c r="D95" i="18"/>
  <c r="D88" i="18"/>
  <c r="D83" i="18"/>
  <c r="D85" i="18"/>
  <c r="E85" i="18" s="1"/>
  <c r="D100" i="18"/>
  <c r="D87" i="18"/>
  <c r="H31" i="14"/>
  <c r="I31" i="14"/>
  <c r="F111" i="17"/>
  <c r="D141" i="17"/>
  <c r="E140" i="17"/>
  <c r="F140" i="17" s="1"/>
  <c r="D29" i="22"/>
  <c r="D110" i="22"/>
  <c r="D45" i="22"/>
  <c r="D53" i="22"/>
  <c r="D39" i="22"/>
  <c r="D35" i="22"/>
  <c r="C286" i="17"/>
  <c r="E286" i="17" s="1"/>
  <c r="F285" i="17"/>
  <c r="F160" i="17"/>
  <c r="C162" i="17"/>
  <c r="F161" i="17"/>
  <c r="D181" i="18"/>
  <c r="E188" i="7"/>
  <c r="F188" i="7" s="1"/>
  <c r="E90" i="17"/>
  <c r="D46" i="22"/>
  <c r="D54" i="22"/>
  <c r="D111" i="22"/>
  <c r="D36" i="22"/>
  <c r="D40" i="22"/>
  <c r="D30" i="22"/>
  <c r="E155" i="8"/>
  <c r="E153" i="8"/>
  <c r="E154" i="8"/>
  <c r="E156" i="8"/>
  <c r="E157" i="8"/>
  <c r="E152" i="8"/>
  <c r="C42" i="12"/>
  <c r="C127" i="17"/>
  <c r="E126" i="17"/>
  <c r="F126" i="17" s="1"/>
  <c r="F300" i="17"/>
  <c r="C47" i="22"/>
  <c r="C37" i="22"/>
  <c r="C112" i="22"/>
  <c r="C55" i="22"/>
  <c r="E95" i="6"/>
  <c r="E22" i="8"/>
  <c r="E99" i="8"/>
  <c r="E101" i="8" s="1"/>
  <c r="E98" i="8" s="1"/>
  <c r="D255" i="17"/>
  <c r="E255" i="17" s="1"/>
  <c r="F255" i="17" s="1"/>
  <c r="E215" i="17"/>
  <c r="F215" i="17" s="1"/>
  <c r="D176" i="17"/>
  <c r="C140" i="8"/>
  <c r="C136" i="8"/>
  <c r="C137" i="8"/>
  <c r="C138" i="8"/>
  <c r="C139" i="8"/>
  <c r="C135" i="8"/>
  <c r="C141" i="8" s="1"/>
  <c r="C306" i="18"/>
  <c r="E303" i="18"/>
  <c r="F181" i="17"/>
  <c r="E181" i="17"/>
  <c r="E207" i="9"/>
  <c r="F207" i="9" s="1"/>
  <c r="E95" i="7"/>
  <c r="F95" i="7" s="1"/>
  <c r="C21" i="5"/>
  <c r="E18" i="5"/>
  <c r="F18" i="5"/>
  <c r="F272" i="17"/>
  <c r="F52" i="6"/>
  <c r="E88" i="18" l="1"/>
  <c r="E99" i="18"/>
  <c r="E254" i="18"/>
  <c r="E253" i="18"/>
  <c r="F104" i="17"/>
  <c r="E87" i="18"/>
  <c r="E86" i="18"/>
  <c r="E62" i="17"/>
  <c r="F62" i="17" s="1"/>
  <c r="D63" i="17"/>
  <c r="F216" i="17"/>
  <c r="E84" i="18"/>
  <c r="D90" i="18"/>
  <c r="D91" i="18" s="1"/>
  <c r="D50" i="5"/>
  <c r="E83" i="18"/>
  <c r="C102" i="18"/>
  <c r="C103" i="18" s="1"/>
  <c r="E304" i="17"/>
  <c r="F304" i="17" s="1"/>
  <c r="F286" i="17"/>
  <c r="D322" i="17"/>
  <c r="E322" i="17" s="1"/>
  <c r="F322" i="17" s="1"/>
  <c r="E141" i="17"/>
  <c r="F141" i="17" s="1"/>
  <c r="D148" i="17"/>
  <c r="E89" i="18"/>
  <c r="C113" i="17"/>
  <c r="C324" i="17"/>
  <c r="E92" i="17"/>
  <c r="F92" i="17" s="1"/>
  <c r="C169" i="18"/>
  <c r="E169" i="18" s="1"/>
  <c r="D112" i="22"/>
  <c r="D47" i="22"/>
  <c r="D37" i="22"/>
  <c r="D55" i="22"/>
  <c r="E106" i="17"/>
  <c r="F106" i="17" s="1"/>
  <c r="D324" i="17"/>
  <c r="D113" i="17"/>
  <c r="C291" i="17"/>
  <c r="C289" i="17"/>
  <c r="D56" i="22"/>
  <c r="D48" i="22"/>
  <c r="D38" i="22"/>
  <c r="D113" i="22"/>
  <c r="E181" i="18"/>
  <c r="E101" i="18"/>
  <c r="E66" i="18"/>
  <c r="D295" i="18"/>
  <c r="E295" i="18" s="1"/>
  <c r="D247" i="18"/>
  <c r="E247" i="18" s="1"/>
  <c r="C70" i="17"/>
  <c r="E50" i="17"/>
  <c r="F50" i="17" s="1"/>
  <c r="C90" i="18"/>
  <c r="C91" i="18" s="1"/>
  <c r="E282" i="17"/>
  <c r="F282" i="17" s="1"/>
  <c r="D281" i="17"/>
  <c r="E281" i="17" s="1"/>
  <c r="F281" i="17" s="1"/>
  <c r="E289" i="17"/>
  <c r="F174" i="17"/>
  <c r="E95" i="18"/>
  <c r="E273" i="17"/>
  <c r="F273" i="17" s="1"/>
  <c r="E127" i="17"/>
  <c r="F127" i="17"/>
  <c r="C148" i="17"/>
  <c r="C197" i="17"/>
  <c r="D265" i="17"/>
  <c r="E265" i="17" s="1"/>
  <c r="F265" i="17" s="1"/>
  <c r="E266" i="17"/>
  <c r="F266" i="17" s="1"/>
  <c r="E258" i="18"/>
  <c r="E42" i="12"/>
  <c r="D49" i="12"/>
  <c r="C99" i="8"/>
  <c r="C101" i="8" s="1"/>
  <c r="C98" i="8" s="1"/>
  <c r="C22" i="8"/>
  <c r="D77" i="18"/>
  <c r="D259" i="18"/>
  <c r="E76" i="18"/>
  <c r="D309" i="17"/>
  <c r="D310" i="17" s="1"/>
  <c r="C35" i="5"/>
  <c r="E21" i="5"/>
  <c r="F21" i="5" s="1"/>
  <c r="C209" i="17"/>
  <c r="C210" i="17"/>
  <c r="E208" i="17"/>
  <c r="F208" i="17" s="1"/>
  <c r="C264" i="18"/>
  <c r="C266" i="18" s="1"/>
  <c r="C267" i="18" s="1"/>
  <c r="C176" i="17"/>
  <c r="E176" i="17" s="1"/>
  <c r="E175" i="17"/>
  <c r="F175" i="17" s="1"/>
  <c r="C49" i="12"/>
  <c r="F42" i="12"/>
  <c r="C310" i="18"/>
  <c r="E310" i="18" s="1"/>
  <c r="E306" i="18"/>
  <c r="D323" i="17"/>
  <c r="D183" i="17"/>
  <c r="E158" i="8"/>
  <c r="F162" i="17"/>
  <c r="C323" i="17"/>
  <c r="F323" i="17" s="1"/>
  <c r="C183" i="17"/>
  <c r="F183" i="17" s="1"/>
  <c r="E162" i="17"/>
  <c r="E100" i="18"/>
  <c r="E96" i="18"/>
  <c r="D102" i="18"/>
  <c r="E288" i="17"/>
  <c r="F288" i="17" s="1"/>
  <c r="E279" i="17"/>
  <c r="F279" i="17" s="1"/>
  <c r="D196" i="17"/>
  <c r="E194" i="17"/>
  <c r="F194" i="17" s="1"/>
  <c r="D195" i="17"/>
  <c r="E195" i="17" s="1"/>
  <c r="F195" i="17" s="1"/>
  <c r="E183" i="17" l="1"/>
  <c r="C105" i="18"/>
  <c r="E49" i="12"/>
  <c r="F49" i="12" s="1"/>
  <c r="E102" i="18"/>
  <c r="E63" i="17"/>
  <c r="F63" i="17" s="1"/>
  <c r="D70" i="17"/>
  <c r="E91" i="18"/>
  <c r="E209" i="17"/>
  <c r="F209" i="17" s="1"/>
  <c r="D263" i="18"/>
  <c r="E259" i="18"/>
  <c r="C305" i="17"/>
  <c r="E291" i="17"/>
  <c r="F291" i="17" s="1"/>
  <c r="D122" i="18"/>
  <c r="D121" i="18"/>
  <c r="D115" i="18"/>
  <c r="E115" i="18" s="1"/>
  <c r="D114" i="18"/>
  <c r="E114" i="18" s="1"/>
  <c r="D111" i="18"/>
  <c r="E111" i="18" s="1"/>
  <c r="D110" i="18"/>
  <c r="D112" i="18"/>
  <c r="E112" i="18" s="1"/>
  <c r="D126" i="18"/>
  <c r="E126" i="18" s="1"/>
  <c r="D113" i="18"/>
  <c r="E113" i="18" s="1"/>
  <c r="D124" i="18"/>
  <c r="E124" i="18" s="1"/>
  <c r="D125" i="18"/>
  <c r="E125" i="18" s="1"/>
  <c r="D127" i="18"/>
  <c r="E127" i="18" s="1"/>
  <c r="E77" i="18"/>
  <c r="D109" i="18"/>
  <c r="D123" i="18"/>
  <c r="E123" i="18" s="1"/>
  <c r="E323" i="17"/>
  <c r="F176" i="17"/>
  <c r="C211" i="17"/>
  <c r="D103" i="18"/>
  <c r="E103" i="18" s="1"/>
  <c r="E113" i="17"/>
  <c r="E324" i="17"/>
  <c r="D325" i="17"/>
  <c r="C269" i="18"/>
  <c r="C268" i="18"/>
  <c r="F197" i="17"/>
  <c r="F148" i="17"/>
  <c r="C43" i="5"/>
  <c r="E35" i="5"/>
  <c r="F35" i="5" s="1"/>
  <c r="E196" i="17"/>
  <c r="F196" i="17" s="1"/>
  <c r="D197" i="17"/>
  <c r="E197" i="17" s="1"/>
  <c r="E90" i="18"/>
  <c r="F324" i="17"/>
  <c r="C325" i="17"/>
  <c r="E70" i="17"/>
  <c r="F70" i="17" s="1"/>
  <c r="F113" i="17"/>
  <c r="D312" i="17"/>
  <c r="E210" i="17"/>
  <c r="F210" i="17"/>
  <c r="F289" i="17"/>
  <c r="E148" i="17"/>
  <c r="E325" i="17" l="1"/>
  <c r="C309" i="17"/>
  <c r="E305" i="17"/>
  <c r="F305" i="17" s="1"/>
  <c r="C50" i="5"/>
  <c r="E43" i="5"/>
  <c r="F43" i="5" s="1"/>
  <c r="D117" i="18"/>
  <c r="E109" i="18"/>
  <c r="D116" i="18"/>
  <c r="E116" i="18" s="1"/>
  <c r="E110" i="18"/>
  <c r="F325" i="17"/>
  <c r="E263" i="18"/>
  <c r="D264" i="18"/>
  <c r="E211" i="17"/>
  <c r="F211" i="17" s="1"/>
  <c r="E121" i="18"/>
  <c r="D313" i="17"/>
  <c r="E122" i="18"/>
  <c r="D128" i="18"/>
  <c r="E128" i="18" s="1"/>
  <c r="D105" i="18"/>
  <c r="E105" i="18" s="1"/>
  <c r="C271" i="18"/>
  <c r="E117" i="18" l="1"/>
  <c r="E50" i="5"/>
  <c r="F50" i="5" s="1"/>
  <c r="D314" i="17"/>
  <c r="D315" i="17"/>
  <c r="D251" i="17"/>
  <c r="D256" i="17"/>
  <c r="E264" i="18"/>
  <c r="D266" i="18"/>
  <c r="C310" i="17"/>
  <c r="E309" i="17"/>
  <c r="F309" i="17" s="1"/>
  <c r="D129" i="18"/>
  <c r="E129" i="18" s="1"/>
  <c r="D318" i="17" l="1"/>
  <c r="C312" i="17"/>
  <c r="E310" i="17"/>
  <c r="F310" i="17" s="1"/>
  <c r="E266" i="18"/>
  <c r="D267" i="18"/>
  <c r="D257" i="17"/>
  <c r="D131" i="18"/>
  <c r="E131" i="18" s="1"/>
  <c r="C313" i="17" l="1"/>
  <c r="E312" i="17"/>
  <c r="F312" i="17" s="1"/>
  <c r="D268" i="18"/>
  <c r="E267" i="18"/>
  <c r="D269" i="18"/>
  <c r="E269" i="18" s="1"/>
  <c r="E268" i="18" l="1"/>
  <c r="D271" i="18"/>
  <c r="E271" i="18" s="1"/>
  <c r="C251" i="17"/>
  <c r="C314" i="17"/>
  <c r="C315" i="17"/>
  <c r="C256" i="17"/>
  <c r="E313" i="17"/>
  <c r="F313" i="17" s="1"/>
  <c r="E315" i="17" l="1"/>
  <c r="F315" i="17" s="1"/>
  <c r="C257" i="17"/>
  <c r="E256" i="17"/>
  <c r="F256" i="17" s="1"/>
  <c r="C318" i="17"/>
  <c r="E314" i="17"/>
  <c r="F314" i="17" s="1"/>
  <c r="E251" i="17"/>
  <c r="F251" i="17" s="1"/>
  <c r="E318" i="17" l="1"/>
  <c r="F318" i="17" s="1"/>
  <c r="E257" i="17"/>
  <c r="F257" i="17" s="1"/>
</calcChain>
</file>

<file path=xl/sharedStrings.xml><?xml version="1.0" encoding="utf-8"?>
<sst xmlns="http://schemas.openxmlformats.org/spreadsheetml/2006/main" count="2335" uniqueCount="1009">
  <si>
    <t>SAINT MARY`S HOSPITAL</t>
  </si>
  <si>
    <t>TWELVE MONTHS ACTUAL FILING</t>
  </si>
  <si>
    <t>FISCAL YEAR 2016</t>
  </si>
  <si>
    <t>REPORT 100 - HOSPITAL BALANCE SHEET INFORMATION</t>
  </si>
  <si>
    <t>FY 2015</t>
  </si>
  <si>
    <t>FY 2016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</si>
  <si>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</si>
  <si>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</si>
  <si>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</si>
  <si>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</si>
  <si>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</si>
  <si>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</si>
  <si>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</si>
  <si>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</si>
  <si>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</si>
  <si>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</si>
  <si>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</si>
  <si>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</si>
  <si>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</si>
  <si>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</si>
  <si>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</si>
  <si>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</si>
  <si>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</si>
  <si>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</si>
  <si>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</si>
  <si>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</si>
  <si>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</si>
  <si>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</si>
  <si>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</si>
  <si>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</si>
  <si>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</si>
  <si>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</si>
  <si>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</si>
  <si>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</si>
  <si>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</si>
  <si>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</si>
  <si>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</si>
  <si>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</si>
  <si>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</si>
  <si>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</si>
  <si>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</si>
  <si>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</si>
  <si>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</si>
  <si>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</si>
  <si>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</si>
  <si>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</si>
  <si>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</si>
  <si>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</si>
  <si>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</si>
  <si>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</si>
  <si>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</si>
  <si>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</si>
  <si>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</si>
  <si>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</si>
  <si>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</si>
  <si>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</si>
  <si>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</si>
  <si>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</si>
  <si>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</si>
  <si>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</si>
  <si>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</si>
  <si>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</si>
  <si>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</si>
  <si>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</si>
  <si>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</si>
  <si>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</si>
  <si>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</si>
  <si>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</si>
  <si>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</si>
  <si>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</si>
  <si>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</si>
  <si>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</si>
  <si>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</si>
  <si>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</si>
  <si>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</si>
  <si>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</si>
  <si>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</si>
  <si>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</si>
  <si>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</si>
  <si>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</si>
  <si>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</si>
  <si>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</si>
  <si>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</si>
  <si>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</si>
  <si>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</si>
  <si>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</si>
  <si>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</si>
  <si>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</si>
  <si>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</si>
  <si>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</si>
  <si>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</si>
  <si>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</si>
  <si>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</si>
  <si>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</si>
  <si>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</si>
  <si>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</si>
  <si>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</si>
  <si>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</si>
  <si>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</si>
  <si>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</si>
  <si>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</si>
  <si>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</si>
  <si>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</si>
  <si>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</si>
  <si>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</si>
  <si>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</si>
  <si>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</si>
  <si>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2015                ACTUAL</t>
  </si>
  <si>
    <t>FY 2016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</si>
  <si>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</si>
  <si>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</si>
  <si>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</si>
  <si>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</si>
  <si>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</si>
  <si>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</si>
  <si>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</si>
  <si>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</si>
  <si>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</si>
  <si>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</si>
  <si>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</si>
  <si>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</si>
  <si>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</si>
  <si>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</si>
  <si>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</si>
  <si>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</si>
  <si>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</si>
  <si>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</si>
  <si>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</si>
  <si>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</si>
  <si>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</si>
  <si>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</si>
  <si>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</si>
  <si>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</si>
  <si>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</si>
  <si>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</si>
  <si>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</si>
  <si>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</si>
  <si>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</si>
  <si>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</si>
  <si>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</si>
  <si>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</si>
  <si>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</si>
  <si>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</si>
  <si>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</si>
  <si>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</si>
  <si>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</si>
  <si>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</si>
  <si>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</si>
  <si>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</si>
  <si>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</si>
  <si>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</si>
  <si>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</si>
  <si>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</si>
  <si>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</si>
  <si>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</si>
  <si>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</si>
  <si>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</si>
  <si>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</si>
  <si>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</si>
  <si>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</si>
  <si>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</si>
  <si>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</si>
  <si>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</si>
  <si>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</si>
  <si>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</si>
  <si>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</si>
  <si>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</si>
  <si>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</si>
  <si>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</si>
  <si>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</si>
  <si>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</si>
  <si>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</si>
  <si>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</si>
  <si>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</si>
  <si>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</si>
  <si>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</si>
  <si>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</si>
  <si>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</si>
  <si>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</si>
  <si>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</si>
  <si>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</si>
  <si>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</si>
  <si>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</si>
  <si>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</si>
  <si>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</si>
  <si>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</si>
  <si>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</si>
  <si>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</si>
  <si>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</si>
  <si>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</si>
  <si>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</si>
  <si>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</si>
  <si>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</si>
  <si>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</si>
  <si>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</si>
  <si>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</si>
  <si>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</si>
  <si>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</si>
  <si>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</si>
  <si>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</si>
  <si>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</si>
  <si>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</si>
  <si>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</si>
  <si>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</si>
  <si>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</si>
  <si>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</si>
  <si>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</si>
  <si>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</si>
  <si>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</si>
  <si>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</si>
  <si>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</si>
  <si>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</si>
  <si>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</si>
  <si>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</si>
  <si>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</si>
  <si>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</si>
  <si>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</si>
  <si>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</si>
  <si>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</si>
  <si>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</si>
  <si>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</si>
  <si>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</si>
  <si>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</si>
  <si>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</si>
  <si>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</si>
  <si>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</si>
  <si>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</si>
  <si>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</si>
  <si>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</si>
  <si>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</si>
  <si>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</si>
  <si>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</si>
  <si>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</si>
  <si>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</si>
  <si>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</si>
  <si>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</si>
  <si>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</si>
  <si>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</si>
  <si>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</si>
  <si>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</si>
  <si>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</si>
  <si>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</si>
  <si>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</si>
  <si>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</si>
  <si>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</si>
  <si>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</si>
  <si>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</si>
  <si>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</si>
  <si>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</si>
  <si>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</si>
  <si>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</si>
  <si>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</si>
  <si>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</si>
  <si>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</si>
  <si>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</si>
  <si>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</si>
  <si>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</si>
  <si>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</si>
  <si>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</si>
  <si>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</si>
  <si>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</si>
  <si>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</si>
  <si>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</si>
  <si>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</si>
  <si>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</si>
  <si>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</si>
  <si>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</si>
  <si>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</si>
  <si>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</si>
  <si>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</si>
  <si>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</si>
  <si>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</si>
  <si>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</si>
  <si>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</si>
  <si>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</si>
  <si>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</si>
  <si>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</si>
  <si>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</si>
  <si>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</si>
  <si>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</si>
  <si>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</si>
  <si>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</si>
  <si>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</si>
  <si>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</si>
  <si>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</si>
  <si>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</si>
  <si>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</si>
  <si>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</si>
  <si>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</si>
  <si>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</si>
  <si>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</si>
  <si>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</si>
  <si>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</si>
  <si>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</si>
  <si>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</si>
  <si>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</si>
  <si>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</si>
  <si>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</si>
  <si>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</si>
  <si>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</si>
  <si>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</si>
  <si>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</si>
  <si>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</si>
  <si>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</si>
  <si>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</si>
  <si>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</si>
  <si>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</si>
  <si>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</si>
  <si>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</si>
  <si>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</si>
  <si>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</si>
  <si>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</si>
  <si>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</si>
  <si>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</si>
  <si>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2016</t>
  </si>
  <si>
    <t>REPORT 185 - HOSPITAL FINANCIAL AND STATISTICAL DATA ANALYSIS</t>
  </si>
  <si>
    <t xml:space="preserve">      FY 2014</t>
  </si>
  <si>
    <t xml:space="preserve">      FY 2015</t>
  </si>
  <si>
    <t xml:space="preserve">      FY 2016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</si>
  <si>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</si>
  <si>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</si>
  <si>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</si>
  <si>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</si>
  <si>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</si>
  <si>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</si>
  <si>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</si>
  <si>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</si>
  <si>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</si>
  <si>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</si>
  <si>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</si>
  <si>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</si>
  <si>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</si>
  <si>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</si>
  <si>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</si>
  <si>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</si>
  <si>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</si>
  <si>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</si>
  <si>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</si>
  <si>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</si>
  <si>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</si>
  <si>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</si>
  <si>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</si>
  <si>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</si>
  <si>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</si>
  <si>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</si>
  <si>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</si>
  <si>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</si>
  <si>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</si>
  <si>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</si>
  <si>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</si>
  <si>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</si>
  <si>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</si>
  <si>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</si>
  <si>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</si>
  <si>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</si>
  <si>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</si>
  <si>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</si>
  <si>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</si>
  <si>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</si>
  <si>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</si>
  <si>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</si>
  <si>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</si>
  <si>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</si>
  <si>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</si>
  <si>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</si>
  <si>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</si>
  <si>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</si>
  <si>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</si>
  <si>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</si>
  <si>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</si>
  <si>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</si>
  <si>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</si>
  <si>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</si>
  <si>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</si>
  <si>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</si>
  <si>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</si>
  <si>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</si>
  <si>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</si>
  <si>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</si>
  <si>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</si>
  <si>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</si>
  <si>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</si>
  <si>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</si>
  <si>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</si>
  <si>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</si>
  <si>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</si>
  <si>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</si>
  <si>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</si>
  <si>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</si>
  <si>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</si>
  <si>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</si>
  <si>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</si>
  <si>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</si>
  <si>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</si>
  <si>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</si>
  <si>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</si>
  <si>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</si>
  <si>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</si>
  <si>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</si>
  <si>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</si>
  <si>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</si>
  <si>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</si>
  <si>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</si>
  <si>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</si>
  <si>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</si>
  <si>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</si>
  <si>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</si>
  <si>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</si>
  <si>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</si>
  <si>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</si>
  <si>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</si>
  <si>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</si>
  <si>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</si>
  <si>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</si>
  <si>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</si>
  <si>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</si>
  <si>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</si>
  <si>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</si>
  <si>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</si>
  <si>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</si>
  <si>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</si>
  <si>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</si>
  <si>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</si>
  <si>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</si>
  <si>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</si>
  <si>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</si>
  <si>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</si>
  <si>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</si>
  <si>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</si>
  <si>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</si>
  <si>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</si>
  <si>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</si>
  <si>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</si>
  <si>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</si>
  <si>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</si>
  <si>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</si>
  <si>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2015 ACTUAL</t>
  </si>
  <si>
    <t>FY 2016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</si>
  <si>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</si>
  <si>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</si>
  <si>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</si>
  <si>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</si>
  <si>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</si>
  <si>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</si>
  <si>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</si>
  <si>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</si>
  <si>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</si>
  <si>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</si>
  <si>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</si>
  <si>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</si>
  <si>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</si>
  <si>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</si>
  <si>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</si>
  <si>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</si>
  <si>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</si>
  <si>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</si>
  <si>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</si>
  <si>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</si>
  <si>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</si>
  <si>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</si>
  <si>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</si>
  <si>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</si>
  <si>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</si>
  <si>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</si>
  <si>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</si>
  <si>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</si>
  <si>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</si>
  <si>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</si>
  <si>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</si>
  <si>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</si>
  <si>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</si>
  <si>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</si>
  <si>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</si>
  <si>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</si>
  <si>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2015 ACTUAL     </t>
  </si>
  <si>
    <t xml:space="preserve">      FY 2016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</si>
  <si>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</si>
  <si>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</si>
  <si>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</si>
  <si>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</si>
  <si>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</si>
  <si>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</si>
  <si>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</si>
  <si>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</si>
  <si>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</si>
  <si>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</si>
  <si>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</si>
  <si>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</si>
  <si>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</si>
  <si>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</si>
  <si>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</si>
  <si>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</si>
  <si>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</si>
  <si>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</si>
  <si>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</si>
  <si>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</si>
  <si>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</si>
  <si>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</si>
  <si>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</si>
  <si>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</si>
  <si>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TRINITY HEALTH - NEW ENGLAND, INC. (FORMERLY SAINT FRANCIS CARE, INC.)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</si>
  <si>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</si>
  <si>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</si>
  <si>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</si>
  <si>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</si>
  <si>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2014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</si>
  <si>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</si>
  <si>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</si>
  <si>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</si>
  <si>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</si>
  <si>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</si>
  <si>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</si>
  <si>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</si>
  <si>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</si>
  <si>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</si>
  <si>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</si>
  <si>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</si>
  <si>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</si>
  <si>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</si>
  <si>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</si>
  <si>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</si>
  <si>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</si>
  <si>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</si>
  <si>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</si>
  <si>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</si>
  <si>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</si>
  <si>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</si>
  <si>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</si>
  <si>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</si>
  <si>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</si>
  <si>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</si>
  <si>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</si>
  <si>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</si>
  <si>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</si>
  <si>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</si>
  <si>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</si>
  <si>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</si>
  <si>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</si>
  <si>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</si>
  <si>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</si>
  <si>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</si>
  <si>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</si>
  <si>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</si>
  <si>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</si>
  <si>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</si>
  <si>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</si>
  <si>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</si>
  <si>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</si>
  <si>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</si>
  <si>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</si>
  <si>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</si>
  <si>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</si>
  <si>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</si>
  <si>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</si>
  <si>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</si>
  <si>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</si>
  <si>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</si>
  <si>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</si>
  <si>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</si>
  <si>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</si>
  <si>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</si>
  <si>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</si>
  <si>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</si>
  <si>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</si>
  <si>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</si>
  <si>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</si>
  <si>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</si>
  <si>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</si>
  <si>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</si>
  <si>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</si>
  <si>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</si>
  <si>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</si>
  <si>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</si>
  <si>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</si>
  <si>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</si>
  <si>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</si>
  <si>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</si>
  <si>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</si>
  <si>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</si>
  <si>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</si>
  <si>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</si>
  <si>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</si>
  <si>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</si>
  <si>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</si>
  <si>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</si>
  <si>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</si>
  <si>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</si>
  <si>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</si>
  <si>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</si>
  <si>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</si>
  <si>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</si>
  <si>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</si>
  <si>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</si>
  <si>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</si>
  <si>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</si>
  <si>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</si>
  <si>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</si>
  <si>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</si>
  <si>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</si>
  <si>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</si>
  <si>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</si>
  <si>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</si>
  <si>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</si>
  <si>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</si>
  <si>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</si>
  <si>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</si>
  <si>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</si>
  <si>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</si>
  <si>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</si>
  <si>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</si>
  <si>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</si>
  <si>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</si>
  <si>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</si>
  <si>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</si>
  <si>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</si>
  <si>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</si>
  <si>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</si>
  <si>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</si>
  <si>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</si>
  <si>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</si>
  <si>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</si>
  <si>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Hospital</t>
  </si>
  <si>
    <t>Naugatuck Valley Surgical Center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</si>
  <si>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</si>
  <si>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</si>
  <si>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</si>
  <si>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</si>
  <si>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</si>
  <si>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</si>
  <si>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</si>
  <si>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</si>
  <si>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</si>
  <si>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</si>
  <si>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</si>
  <si>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</si>
  <si>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</si>
  <si>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</si>
  <si>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</si>
  <si>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</si>
  <si>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</si>
  <si>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</si>
  <si>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</si>
  <si>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</si>
  <si>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</si>
  <si>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</si>
  <si>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</si>
  <si>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</si>
  <si>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</si>
  <si>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</si>
  <si>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</si>
  <si>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</si>
  <si>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</si>
  <si>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</si>
  <si>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</si>
  <si>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</si>
  <si>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</si>
  <si>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</si>
  <si>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</si>
  <si>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</si>
  <si>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</si>
  <si>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</si>
  <si>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</si>
  <si>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</si>
  <si>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</si>
  <si>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</si>
  <si>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</si>
  <si>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</si>
  <si>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</si>
  <si>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</si>
  <si>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</si>
  <si>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</si>
  <si>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</si>
  <si>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</si>
  <si>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</si>
  <si>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</si>
  <si>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</si>
  <si>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</si>
  <si>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</si>
  <si>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</si>
  <si>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</si>
  <si>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</si>
  <si>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</si>
  <si>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</si>
  <si>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</si>
  <si>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</si>
  <si>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</si>
  <si>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</si>
  <si>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</si>
  <si>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</si>
  <si>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</si>
  <si>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</si>
  <si>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</si>
  <si>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</si>
  <si>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</si>
  <si>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</si>
  <si>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</si>
  <si>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</si>
  <si>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</si>
  <si>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</si>
  <si>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</si>
  <si>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</si>
  <si>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</si>
  <si>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</si>
  <si>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</si>
  <si>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</si>
  <si>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</si>
  <si>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</si>
  <si>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</si>
  <si>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</si>
  <si>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</si>
  <si>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</si>
  <si>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</si>
  <si>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</si>
  <si>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</si>
  <si>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</si>
  <si>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</si>
  <si>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</si>
  <si>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</si>
  <si>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</si>
  <si>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</si>
  <si>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</si>
  <si>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</si>
  <si>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</si>
  <si>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</si>
  <si>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</si>
  <si>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</si>
  <si>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</si>
  <si>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</si>
  <si>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</si>
  <si>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</si>
  <si>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</si>
  <si>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</si>
  <si>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</si>
  <si>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</si>
  <si>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</si>
  <si>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</si>
  <si>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</si>
  <si>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</si>
  <si>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</si>
  <si>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</si>
  <si>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</si>
  <si>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</si>
  <si>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</si>
  <si>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</si>
  <si>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</si>
  <si>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</si>
  <si>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</si>
  <si>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</si>
  <si>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</si>
  <si>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</si>
  <si>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</si>
  <si>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</si>
  <si>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</si>
  <si>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</si>
  <si>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</si>
  <si>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</si>
  <si>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</si>
  <si>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</si>
  <si>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</si>
  <si>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</si>
  <si>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</si>
  <si>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</si>
  <si>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</si>
  <si>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</si>
  <si>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</si>
  <si>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</si>
  <si>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</si>
  <si>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</si>
  <si>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</si>
  <si>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</si>
  <si>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2016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</si>
  <si>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</si>
  <si>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</si>
  <si>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</si>
  <si>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ACTUAL            </t>
    </r>
    <r>
      <rPr>
        <b/>
        <u/>
        <sz val="12"/>
        <rFont val="Arial"/>
        <family val="2"/>
      </rPr>
      <t>FY 2016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</si>
  <si>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</si>
  <si>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</si>
  <si>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</si>
  <si>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</si>
  <si>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</si>
  <si>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</si>
  <si>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</si>
  <si>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</si>
  <si>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</si>
  <si>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</si>
  <si>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</si>
  <si>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</si>
  <si>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</si>
  <si>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</si>
  <si>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</si>
  <si>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</si>
  <si>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</si>
  <si>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</si>
  <si>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</si>
  <si>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</si>
  <si>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</si>
  <si>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</si>
  <si>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</si>
  <si>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</si>
  <si>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</si>
  <si>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</si>
  <si>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</si>
  <si>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</si>
  <si>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</si>
  <si>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</si>
  <si>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</si>
  <si>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</si>
  <si>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</si>
  <si>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</si>
  <si>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</si>
  <si>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</si>
  <si>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</si>
  <si>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</si>
  <si>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</si>
  <si>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</si>
  <si>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</si>
  <si>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</si>
  <si>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</si>
  <si>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</si>
  <si>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</si>
  <si>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</si>
  <si>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</si>
  <si>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</si>
  <si>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</si>
  <si>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</si>
  <si>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</si>
  <si>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</si>
  <si>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</si>
  <si>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</si>
  <si>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</si>
  <si>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</si>
  <si>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</si>
  <si>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</si>
  <si>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</si>
  <si>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</si>
  <si>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</si>
  <si>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</si>
  <si>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</si>
  <si>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</si>
  <si>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</si>
  <si>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</si>
  <si>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</si>
  <si>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</si>
  <si>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</si>
  <si>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</si>
  <si>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</si>
  <si>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</si>
  <si>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</si>
  <si>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</si>
  <si>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</si>
  <si>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</si>
  <si>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</si>
  <si>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</si>
  <si>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</si>
  <si>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</si>
  <si>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</si>
  <si>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</si>
  <si>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</si>
  <si>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</si>
  <si>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</si>
  <si>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</si>
  <si>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</si>
  <si>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</si>
  <si>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</si>
  <si>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</si>
  <si>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</si>
  <si>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</si>
  <si>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</si>
  <si>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</si>
  <si>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</si>
  <si>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</si>
  <si>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</si>
  <si>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2016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</si>
  <si>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</si>
  <si>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</si>
  <si>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</si>
  <si>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</si>
  <si>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</si>
  <si>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</si>
  <si>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</si>
  <si>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</si>
  <si>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</si>
  <si>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</si>
  <si>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</si>
  <si>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</si>
  <si>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</si>
  <si>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</si>
  <si>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</si>
  <si>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</si>
  <si>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</si>
  <si>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</si>
  <si>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</si>
  <si>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</si>
  <si>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</si>
  <si>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</si>
  <si>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</si>
  <si>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</si>
  <si>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</si>
  <si>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</si>
  <si>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</si>
  <si>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</si>
  <si>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</si>
  <si>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</si>
  <si>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</si>
  <si>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</si>
  <si>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</si>
  <si>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</si>
  <si>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</si>
  <si>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</si>
  <si>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</si>
  <si>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</si>
  <si>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</si>
  <si>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</si>
  <si>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</si>
  <si>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</si>
  <si>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</si>
  <si>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</si>
  <si>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</si>
  <si>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</si>
  <si>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</si>
  <si>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</si>
  <si>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</si>
  <si>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</si>
  <si>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</si>
  <si>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</si>
  <si>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</si>
  <si>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</si>
  <si>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</si>
  <si>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</si>
  <si>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</si>
  <si>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r>
      <t xml:space="preserve">ACTUAL          </t>
    </r>
    <r>
      <rPr>
        <b/>
        <u/>
        <sz val="14"/>
        <rFont val="Arial"/>
        <family val="2"/>
      </rPr>
      <t>FY 2016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</si>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</sst>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topLeftCell="A36" zoomScale="75" zoomScaleSheetLayoutView="75" workbookViewId="0">
      <selection activeCell="H56" sqref="H56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7.42578125" style="55" bestFit="1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13310000</v>
      </c>
      <c r="D13" s="22">
        <v>19731000</v>
      </c>
      <c r="E13" s="22">
        <f t="shared" ref="E13:E22" si="0">D13-C13</f>
        <v>6421000</v>
      </c>
      <c r="F13" s="23">
        <f t="shared" ref="F13:F22" si="1">IF(C13=0,0,E13/C13)</f>
        <v>0.4824192336589031</v>
      </c>
    </row>
    <row r="14" spans="1:8" ht="24" customHeight="1" x14ac:dyDescent="0.2">
      <c r="A14" s="20">
        <v>2</v>
      </c>
      <c r="B14" s="21" t="s">
        <v>17</v>
      </c>
      <c r="C14" s="22">
        <v>17000</v>
      </c>
      <c r="D14" s="22">
        <v>177000</v>
      </c>
      <c r="E14" s="22">
        <f t="shared" si="0"/>
        <v>160000</v>
      </c>
      <c r="F14" s="23">
        <f t="shared" si="1"/>
        <v>9.4117647058823533</v>
      </c>
    </row>
    <row r="15" spans="1:8" ht="24" customHeight="1" x14ac:dyDescent="0.2">
      <c r="A15" s="20">
        <v>3</v>
      </c>
      <c r="B15" s="21" t="s">
        <v>18</v>
      </c>
      <c r="C15" s="22">
        <v>28548000</v>
      </c>
      <c r="D15" s="22">
        <v>26179000</v>
      </c>
      <c r="E15" s="22">
        <f t="shared" si="0"/>
        <v>-2369000</v>
      </c>
      <c r="F15" s="23">
        <f t="shared" si="1"/>
        <v>-8.2983046097800189E-2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3701000</v>
      </c>
      <c r="D19" s="22">
        <v>3889000</v>
      </c>
      <c r="E19" s="22">
        <f t="shared" si="0"/>
        <v>188000</v>
      </c>
      <c r="F19" s="23">
        <f t="shared" si="1"/>
        <v>5.0797081869764928E-2</v>
      </c>
    </row>
    <row r="20" spans="1:11" ht="24" customHeight="1" x14ac:dyDescent="0.2">
      <c r="A20" s="20">
        <v>8</v>
      </c>
      <c r="B20" s="21" t="s">
        <v>23</v>
      </c>
      <c r="C20" s="22">
        <v>3301000</v>
      </c>
      <c r="D20" s="22">
        <v>2930000</v>
      </c>
      <c r="E20" s="22">
        <f t="shared" si="0"/>
        <v>-371000</v>
      </c>
      <c r="F20" s="23">
        <f t="shared" si="1"/>
        <v>-0.11239018479248712</v>
      </c>
    </row>
    <row r="21" spans="1:11" ht="24" customHeight="1" x14ac:dyDescent="0.2">
      <c r="A21" s="20">
        <v>9</v>
      </c>
      <c r="B21" s="21" t="s">
        <v>24</v>
      </c>
      <c r="C21" s="22">
        <v>3792000</v>
      </c>
      <c r="D21" s="22">
        <v>3212000</v>
      </c>
      <c r="E21" s="22">
        <f t="shared" si="0"/>
        <v>-580000</v>
      </c>
      <c r="F21" s="23">
        <f t="shared" si="1"/>
        <v>-0.15295358649789029</v>
      </c>
    </row>
    <row r="22" spans="1:11" ht="24" customHeight="1" x14ac:dyDescent="0.25">
      <c r="A22" s="24"/>
      <c r="B22" s="25" t="s">
        <v>25</v>
      </c>
      <c r="C22" s="26">
        <f>SUM(C13:C21)</f>
        <v>52669000</v>
      </c>
      <c r="D22" s="26">
        <f>SUM(D13:D21)</f>
        <v>56118000</v>
      </c>
      <c r="E22" s="26">
        <f t="shared" si="0"/>
        <v>3449000</v>
      </c>
      <c r="F22" s="27">
        <f t="shared" si="1"/>
        <v>6.5484440562759871E-2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14764000</v>
      </c>
      <c r="D25" s="22">
        <v>13780000</v>
      </c>
      <c r="E25" s="22">
        <f>D25-C25</f>
        <v>-984000</v>
      </c>
      <c r="F25" s="23">
        <f>IF(C25=0,0,E25/C25)</f>
        <v>-6.6648604714169599E-2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20166000</v>
      </c>
      <c r="D28" s="22">
        <v>10849000</v>
      </c>
      <c r="E28" s="22">
        <f>D28-C28</f>
        <v>-9317000</v>
      </c>
      <c r="F28" s="23">
        <f>IF(C28=0,0,E28/C28)</f>
        <v>-0.46201527323217295</v>
      </c>
    </row>
    <row r="29" spans="1:11" ht="24" customHeight="1" x14ac:dyDescent="0.25">
      <c r="A29" s="24"/>
      <c r="B29" s="25" t="s">
        <v>32</v>
      </c>
      <c r="C29" s="26">
        <f>SUM(C25:C28)</f>
        <v>34930000</v>
      </c>
      <c r="D29" s="26">
        <f>SUM(D25:D28)</f>
        <v>24629000</v>
      </c>
      <c r="E29" s="26">
        <f>D29-C29</f>
        <v>-10301000</v>
      </c>
      <c r="F29" s="27">
        <f>IF(C29=0,0,E29/C29)</f>
        <v>-0.29490409390208988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4908000</v>
      </c>
      <c r="D31" s="22">
        <v>5549000</v>
      </c>
      <c r="E31" s="22">
        <f>D31-C31</f>
        <v>641000</v>
      </c>
      <c r="F31" s="23">
        <f>IF(C31=0,0,E31/C31)</f>
        <v>0.13060309698451508</v>
      </c>
    </row>
    <row r="32" spans="1:11" ht="24" customHeight="1" x14ac:dyDescent="0.2">
      <c r="A32" s="20">
        <v>6</v>
      </c>
      <c r="B32" s="21" t="s">
        <v>34</v>
      </c>
      <c r="C32" s="22">
        <v>124000</v>
      </c>
      <c r="D32" s="22">
        <v>0</v>
      </c>
      <c r="E32" s="22">
        <f>D32-C32</f>
        <v>-124000</v>
      </c>
      <c r="F32" s="23">
        <f>IF(C32=0,0,E32/C32)</f>
        <v>-1</v>
      </c>
    </row>
    <row r="33" spans="1:8" ht="24" customHeight="1" x14ac:dyDescent="0.2">
      <c r="A33" s="20">
        <v>7</v>
      </c>
      <c r="B33" s="21" t="s">
        <v>35</v>
      </c>
      <c r="C33" s="22">
        <v>25663000</v>
      </c>
      <c r="D33" s="22">
        <v>31480000</v>
      </c>
      <c r="E33" s="22">
        <f>D33-C33</f>
        <v>5817000</v>
      </c>
      <c r="F33" s="23">
        <f>IF(C33=0,0,E33/C33)</f>
        <v>0.22666874488563302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205415000</v>
      </c>
      <c r="D36" s="22">
        <v>99138000</v>
      </c>
      <c r="E36" s="22">
        <f>D36-C36</f>
        <v>-106277000</v>
      </c>
      <c r="F36" s="23">
        <f>IF(C36=0,0,E36/C36)</f>
        <v>-0.51737701725774654</v>
      </c>
    </row>
    <row r="37" spans="1:8" ht="24" customHeight="1" x14ac:dyDescent="0.2">
      <c r="A37" s="20">
        <v>2</v>
      </c>
      <c r="B37" s="21" t="s">
        <v>39</v>
      </c>
      <c r="C37" s="22">
        <v>139994000</v>
      </c>
      <c r="D37" s="22">
        <v>2656000</v>
      </c>
      <c r="E37" s="22">
        <f>D37-C37</f>
        <v>-137338000</v>
      </c>
      <c r="F37" s="23">
        <f>IF(C37=0,0,E37/C37)</f>
        <v>-0.9810277583325</v>
      </c>
    </row>
    <row r="38" spans="1:8" ht="24" customHeight="1" x14ac:dyDescent="0.25">
      <c r="A38" s="24"/>
      <c r="B38" s="25" t="s">
        <v>40</v>
      </c>
      <c r="C38" s="26">
        <f>C36-C37</f>
        <v>65421000</v>
      </c>
      <c r="D38" s="26">
        <f>D36-D37</f>
        <v>96482000</v>
      </c>
      <c r="E38" s="26">
        <f>D38-C38</f>
        <v>31061000</v>
      </c>
      <c r="F38" s="27">
        <f>IF(C38=0,0,E38/C38)</f>
        <v>0.47478638357713882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0</v>
      </c>
      <c r="D40" s="22">
        <v>0</v>
      </c>
      <c r="E40" s="22">
        <f>D40-C40</f>
        <v>0</v>
      </c>
      <c r="F40" s="23">
        <f>IF(C40=0,0,E40/C40)</f>
        <v>0</v>
      </c>
    </row>
    <row r="41" spans="1:8" ht="24" customHeight="1" x14ac:dyDescent="0.25">
      <c r="A41" s="24"/>
      <c r="B41" s="25" t="s">
        <v>42</v>
      </c>
      <c r="C41" s="26">
        <f>+C38+C40</f>
        <v>65421000</v>
      </c>
      <c r="D41" s="26">
        <f>+D38+D40</f>
        <v>96482000</v>
      </c>
      <c r="E41" s="26">
        <f>D41-C41</f>
        <v>31061000</v>
      </c>
      <c r="F41" s="27">
        <f>IF(C41=0,0,E41/C41)</f>
        <v>0.47478638357713882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183715000</v>
      </c>
      <c r="D43" s="26">
        <f>D22+D29+D31+D32+D33+D41</f>
        <v>214258000</v>
      </c>
      <c r="E43" s="26">
        <f>D43-C43</f>
        <v>30543000</v>
      </c>
      <c r="F43" s="27">
        <f>IF(C43=0,0,E43/C43)</f>
        <v>0.16625207522521296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21871000</v>
      </c>
      <c r="D49" s="22">
        <v>23861000</v>
      </c>
      <c r="E49" s="22">
        <f t="shared" ref="E49:E56" si="2">D49-C49</f>
        <v>1990000</v>
      </c>
      <c r="F49" s="23">
        <f t="shared" ref="F49:F56" si="3">IF(C49=0,0,E49/C49)</f>
        <v>9.0988066389282612E-2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3962000</v>
      </c>
      <c r="D50" s="22">
        <v>9183000</v>
      </c>
      <c r="E50" s="22">
        <f t="shared" si="2"/>
        <v>5221000</v>
      </c>
      <c r="F50" s="23">
        <f t="shared" si="3"/>
        <v>1.3177688036345281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727000</v>
      </c>
      <c r="D51" s="22">
        <v>2990000</v>
      </c>
      <c r="E51" s="22">
        <f t="shared" si="2"/>
        <v>2263000</v>
      </c>
      <c r="F51" s="23">
        <f t="shared" si="3"/>
        <v>3.1127922971114166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3180000</v>
      </c>
      <c r="D53" s="22">
        <v>89000</v>
      </c>
      <c r="E53" s="22">
        <f t="shared" si="2"/>
        <v>-3091000</v>
      </c>
      <c r="F53" s="23">
        <f t="shared" si="3"/>
        <v>-0.97201257861635215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13976000</v>
      </c>
      <c r="D55" s="22">
        <v>2324000</v>
      </c>
      <c r="E55" s="22">
        <f t="shared" si="2"/>
        <v>-11652000</v>
      </c>
      <c r="F55" s="23">
        <f t="shared" si="3"/>
        <v>-0.83371493989696621</v>
      </c>
    </row>
    <row r="56" spans="1:6" ht="24" customHeight="1" x14ac:dyDescent="0.25">
      <c r="A56" s="24"/>
      <c r="B56" s="25" t="s">
        <v>54</v>
      </c>
      <c r="C56" s="26">
        <f>SUM(C49:C55)</f>
        <v>43716000</v>
      </c>
      <c r="D56" s="26">
        <f>SUM(D49:D55)</f>
        <v>38447000</v>
      </c>
      <c r="E56" s="26">
        <f t="shared" si="2"/>
        <v>-5269000</v>
      </c>
      <c r="F56" s="27">
        <f t="shared" si="3"/>
        <v>-0.12052795315216397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0</v>
      </c>
      <c r="D59" s="22">
        <v>0</v>
      </c>
      <c r="E59" s="22">
        <f>D59-C59</f>
        <v>0</v>
      </c>
      <c r="F59" s="23">
        <f>IF(C59=0,0,E59/C59)</f>
        <v>0</v>
      </c>
    </row>
    <row r="60" spans="1:6" ht="24" customHeight="1" x14ac:dyDescent="0.2">
      <c r="A60" s="20">
        <v>2</v>
      </c>
      <c r="B60" s="21" t="s">
        <v>57</v>
      </c>
      <c r="C60" s="22">
        <v>10589000</v>
      </c>
      <c r="D60" s="22">
        <v>0</v>
      </c>
      <c r="E60" s="22">
        <f>D60-C60</f>
        <v>-10589000</v>
      </c>
      <c r="F60" s="23">
        <f>IF(C60=0,0,E60/C60)</f>
        <v>-1</v>
      </c>
    </row>
    <row r="61" spans="1:6" ht="24" customHeight="1" x14ac:dyDescent="0.25">
      <c r="A61" s="24"/>
      <c r="B61" s="25" t="s">
        <v>58</v>
      </c>
      <c r="C61" s="26">
        <f>SUM(C59:C60)</f>
        <v>10589000</v>
      </c>
      <c r="D61" s="26">
        <f>SUM(D59:D60)</f>
        <v>0</v>
      </c>
      <c r="E61" s="26">
        <f>D61-C61</f>
        <v>-10589000</v>
      </c>
      <c r="F61" s="27">
        <f>IF(C61=0,0,E61/C61)</f>
        <v>-1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74894000</v>
      </c>
      <c r="D63" s="22">
        <v>82429000</v>
      </c>
      <c r="E63" s="22">
        <f>D63-C63</f>
        <v>7535000</v>
      </c>
      <c r="F63" s="23">
        <f>IF(C63=0,0,E63/C63)</f>
        <v>0.10060886052287232</v>
      </c>
    </row>
    <row r="64" spans="1:6" ht="24" customHeight="1" x14ac:dyDescent="0.2">
      <c r="A64" s="20">
        <v>4</v>
      </c>
      <c r="B64" s="21" t="s">
        <v>60</v>
      </c>
      <c r="C64" s="22">
        <v>9352000</v>
      </c>
      <c r="D64" s="22">
        <v>12702000</v>
      </c>
      <c r="E64" s="22">
        <f>D64-C64</f>
        <v>3350000</v>
      </c>
      <c r="F64" s="23">
        <f>IF(C64=0,0,E64/C64)</f>
        <v>0.35821214713430283</v>
      </c>
    </row>
    <row r="65" spans="1:6" ht="24" customHeight="1" x14ac:dyDescent="0.25">
      <c r="A65" s="24"/>
      <c r="B65" s="25" t="s">
        <v>61</v>
      </c>
      <c r="C65" s="26">
        <f>SUM(C61:C64)</f>
        <v>94835000</v>
      </c>
      <c r="D65" s="26">
        <f>SUM(D61:D64)</f>
        <v>95131000</v>
      </c>
      <c r="E65" s="26">
        <f>D65-C65</f>
        <v>296000</v>
      </c>
      <c r="F65" s="27">
        <f>IF(C65=0,0,E65/C65)</f>
        <v>3.121210523540887E-3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27411000</v>
      </c>
      <c r="D70" s="22">
        <v>62162000</v>
      </c>
      <c r="E70" s="22">
        <f>D70-C70</f>
        <v>34751000</v>
      </c>
      <c r="F70" s="23">
        <f>IF(C70=0,0,E70/C70)</f>
        <v>1.2677757104811938</v>
      </c>
    </row>
    <row r="71" spans="1:6" ht="24" customHeight="1" x14ac:dyDescent="0.2">
      <c r="A71" s="20">
        <v>2</v>
      </c>
      <c r="B71" s="21" t="s">
        <v>65</v>
      </c>
      <c r="C71" s="22">
        <v>1922000</v>
      </c>
      <c r="D71" s="22">
        <v>1970000</v>
      </c>
      <c r="E71" s="22">
        <f>D71-C71</f>
        <v>48000</v>
      </c>
      <c r="F71" s="23">
        <f>IF(C71=0,0,E71/C71)</f>
        <v>2.497398543184183E-2</v>
      </c>
    </row>
    <row r="72" spans="1:6" ht="24" customHeight="1" x14ac:dyDescent="0.2">
      <c r="A72" s="20">
        <v>3</v>
      </c>
      <c r="B72" s="21" t="s">
        <v>66</v>
      </c>
      <c r="C72" s="22">
        <v>15831000</v>
      </c>
      <c r="D72" s="22">
        <v>16548000</v>
      </c>
      <c r="E72" s="22">
        <f>D72-C72</f>
        <v>717000</v>
      </c>
      <c r="F72" s="23">
        <f>IF(C72=0,0,E72/C72)</f>
        <v>4.5290884972522268E-2</v>
      </c>
    </row>
    <row r="73" spans="1:6" ht="24" customHeight="1" x14ac:dyDescent="0.25">
      <c r="A73" s="20"/>
      <c r="B73" s="25" t="s">
        <v>67</v>
      </c>
      <c r="C73" s="26">
        <f>SUM(C70:C72)</f>
        <v>45164000</v>
      </c>
      <c r="D73" s="26">
        <f>SUM(D70:D72)</f>
        <v>80680000</v>
      </c>
      <c r="E73" s="26">
        <f>D73-C73</f>
        <v>35516000</v>
      </c>
      <c r="F73" s="27">
        <f>IF(C73=0,0,E73/C73)</f>
        <v>0.78637853157381987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183715000</v>
      </c>
      <c r="D75" s="26">
        <f>D56+D65+D67+D73</f>
        <v>214258000</v>
      </c>
      <c r="E75" s="26">
        <f>D75-C75</f>
        <v>30543000</v>
      </c>
      <c r="F75" s="27">
        <f>IF(C75=0,0,E75/C75)</f>
        <v>0.16625207522521296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75" bottom="0.75" header="0.3" footer="0.3"/>
  <pageSetup scale="70" fitToHeight="0" orientation="portrait" horizontalDpi="1200" verticalDpi="1200" r:id="rId1"/>
  <headerFooter>
    <oddHeader>&amp;LOFFICE OF HEALTH CARE ACCESS&amp;CTWELVE MONTHS ACTUAL FILING&amp;RSAINT MARY`S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tabSelected="1" zoomScale="70" zoomScaleSheetLayoutView="75" workbookViewId="0">
      <selection activeCell="H56" sqref="H56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5" width="18.140625" style="225" bestFit="1" customWidth="1"/>
    <col min="6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268087000</v>
      </c>
      <c r="D11" s="76">
        <v>285389000</v>
      </c>
      <c r="E11" s="76">
        <v>256687000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10774000</v>
      </c>
      <c r="D12" s="185">
        <v>10072000</v>
      </c>
      <c r="E12" s="185">
        <v>9039000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278861000</v>
      </c>
      <c r="D13" s="76">
        <f>+D11+D12</f>
        <v>295461000</v>
      </c>
      <c r="E13" s="76">
        <f>+E11+E12</f>
        <v>265726000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269715000</v>
      </c>
      <c r="D14" s="185">
        <v>293300000</v>
      </c>
      <c r="E14" s="185">
        <v>256987000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9146000</v>
      </c>
      <c r="D15" s="76">
        <f>+D13-D14</f>
        <v>2161000</v>
      </c>
      <c r="E15" s="76">
        <f>+E13-E14</f>
        <v>8739000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3684000</v>
      </c>
      <c r="D16" s="185">
        <v>2528000</v>
      </c>
      <c r="E16" s="185">
        <v>1345000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12830000</v>
      </c>
      <c r="D17" s="76">
        <f>D15+D16</f>
        <v>4689000</v>
      </c>
      <c r="E17" s="76">
        <f>E15+E16</f>
        <v>10084000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3.2370064945406923E-2</v>
      </c>
      <c r="D20" s="189">
        <f>IF(+D27=0,0,+D24/+D27)</f>
        <v>7.2519455416139526E-3</v>
      </c>
      <c r="E20" s="189">
        <f>IF(+E27=0,0,+E24/+E27)</f>
        <v>3.2721635819688399E-2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1.303863101452866E-2</v>
      </c>
      <c r="D21" s="189">
        <f>IF(+D27=0,0,+D26/+D27)</f>
        <v>8.4835346271171092E-3</v>
      </c>
      <c r="E21" s="189">
        <f>IF(+E27=0,0,+E26/+E27)</f>
        <v>5.0361139921593885E-3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4.5408695959935588E-2</v>
      </c>
      <c r="D22" s="189">
        <f>IF(+D27=0,0,+D28/+D27)</f>
        <v>1.573548016873106E-2</v>
      </c>
      <c r="E22" s="189">
        <f>IF(+E27=0,0,+E28/+E27)</f>
        <v>3.7757749811847784E-2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9146000</v>
      </c>
      <c r="D24" s="76">
        <f>+D15</f>
        <v>2161000</v>
      </c>
      <c r="E24" s="76">
        <f>+E15</f>
        <v>8739000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278861000</v>
      </c>
      <c r="D25" s="76">
        <f>+D13</f>
        <v>295461000</v>
      </c>
      <c r="E25" s="76">
        <f>+E13</f>
        <v>265726000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3684000</v>
      </c>
      <c r="D26" s="76">
        <f>+D16</f>
        <v>2528000</v>
      </c>
      <c r="E26" s="76">
        <f>+E16</f>
        <v>1345000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282545000</v>
      </c>
      <c r="D27" s="76">
        <f>SUM(D25:D26)</f>
        <v>297989000</v>
      </c>
      <c r="E27" s="76">
        <f>SUM(E25:E26)</f>
        <v>267071000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12830000</v>
      </c>
      <c r="D28" s="76">
        <f>+D17</f>
        <v>4689000</v>
      </c>
      <c r="E28" s="76">
        <f>+E17</f>
        <v>10084000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32525000</v>
      </c>
      <c r="D31" s="76">
        <v>32395000</v>
      </c>
      <c r="E31" s="76">
        <v>123226000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51621000</v>
      </c>
      <c r="D32" s="76">
        <v>50148000</v>
      </c>
      <c r="E32" s="76">
        <v>228727000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-1005000</v>
      </c>
      <c r="D33" s="76">
        <f>+D32-C32</f>
        <v>-1473000</v>
      </c>
      <c r="E33" s="76">
        <f>+E32-D32</f>
        <v>178579000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0.98089999999999999</v>
      </c>
      <c r="D34" s="193">
        <f>IF(C32=0,0,+D33/C32)</f>
        <v>-2.853489858778404E-2</v>
      </c>
      <c r="E34" s="193">
        <f>IF(D32=0,0,+E33/D32)</f>
        <v>3.5610393236021376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1.7283561508913621</v>
      </c>
      <c r="D38" s="338">
        <f>IF(+D40=0,0,+D39/+D40)</f>
        <v>1.3771487233252517</v>
      </c>
      <c r="E38" s="338">
        <f>IF(+E40=0,0,+E39/+E40)</f>
        <v>1.649544389336985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70192000</v>
      </c>
      <c r="D39" s="341">
        <v>63050000</v>
      </c>
      <c r="E39" s="341">
        <v>296339000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40612000</v>
      </c>
      <c r="D40" s="341">
        <v>45783000</v>
      </c>
      <c r="E40" s="341">
        <v>179649000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37.85812119481762</v>
      </c>
      <c r="D42" s="343">
        <f>IF((D48/365)=0,0,+D45/(D48/365))</f>
        <v>19.578007839127473</v>
      </c>
      <c r="E42" s="343">
        <f>IF((E48/365)=0,0,+E45/(E48/365))</f>
        <v>179.9548155559246</v>
      </c>
    </row>
    <row r="43" spans="1:14" ht="24" customHeight="1" x14ac:dyDescent="0.2">
      <c r="A43" s="339">
        <v>5</v>
      </c>
      <c r="B43" s="344" t="s">
        <v>16</v>
      </c>
      <c r="C43" s="345">
        <v>26866000</v>
      </c>
      <c r="D43" s="345">
        <v>15091000</v>
      </c>
      <c r="E43" s="345">
        <v>72316000</v>
      </c>
    </row>
    <row r="44" spans="1:14" ht="24" customHeight="1" x14ac:dyDescent="0.2">
      <c r="A44" s="339">
        <v>6</v>
      </c>
      <c r="B44" s="346" t="s">
        <v>17</v>
      </c>
      <c r="C44" s="345">
        <v>17000</v>
      </c>
      <c r="D44" s="345">
        <v>17000</v>
      </c>
      <c r="E44" s="345">
        <v>49401000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26883000</v>
      </c>
      <c r="D45" s="341">
        <f>+D43+D44</f>
        <v>15108000</v>
      </c>
      <c r="E45" s="341">
        <f>+E43+E44</f>
        <v>121717000</v>
      </c>
    </row>
    <row r="46" spans="1:14" ht="24" customHeight="1" x14ac:dyDescent="0.2">
      <c r="A46" s="339">
        <v>8</v>
      </c>
      <c r="B46" s="340" t="s">
        <v>334</v>
      </c>
      <c r="C46" s="341">
        <f>+C14</f>
        <v>269715000</v>
      </c>
      <c r="D46" s="341">
        <f>+D14</f>
        <v>293300000</v>
      </c>
      <c r="E46" s="341">
        <f>+E14</f>
        <v>256987000</v>
      </c>
    </row>
    <row r="47" spans="1:14" ht="24" customHeight="1" x14ac:dyDescent="0.2">
      <c r="A47" s="339">
        <v>9</v>
      </c>
      <c r="B47" s="340" t="s">
        <v>356</v>
      </c>
      <c r="C47" s="341">
        <v>10529000</v>
      </c>
      <c r="D47" s="341">
        <v>11636000</v>
      </c>
      <c r="E47" s="341">
        <v>10110000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259186000</v>
      </c>
      <c r="D48" s="341">
        <f>+D46-D47</f>
        <v>281664000</v>
      </c>
      <c r="E48" s="341">
        <f>+E46-E47</f>
        <v>246877000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40.102933003092275</v>
      </c>
      <c r="D50" s="350">
        <f>IF((D55/365)=0,0,+D54/(D55/365))</f>
        <v>41.154249112614714</v>
      </c>
      <c r="E50" s="350">
        <f>IF((E55/365)=0,0,+E54/(E55/365))</f>
        <v>161.78836481785208</v>
      </c>
    </row>
    <row r="51" spans="1:5" ht="24" customHeight="1" x14ac:dyDescent="0.2">
      <c r="A51" s="339">
        <v>12</v>
      </c>
      <c r="B51" s="344" t="s">
        <v>359</v>
      </c>
      <c r="C51" s="351">
        <v>30238000</v>
      </c>
      <c r="D51" s="351">
        <v>32905000</v>
      </c>
      <c r="E51" s="351">
        <v>124168000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5513000</v>
      </c>
    </row>
    <row r="53" spans="1:5" ht="24" customHeight="1" x14ac:dyDescent="0.2">
      <c r="A53" s="339">
        <v>14</v>
      </c>
      <c r="B53" s="344" t="s">
        <v>49</v>
      </c>
      <c r="C53" s="341">
        <v>783000</v>
      </c>
      <c r="D53" s="341">
        <v>727000</v>
      </c>
      <c r="E53" s="341">
        <v>15903000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29455000</v>
      </c>
      <c r="D54" s="352">
        <f>+D51+D52-D53</f>
        <v>32178000</v>
      </c>
      <c r="E54" s="352">
        <f>+E51+E52-E53</f>
        <v>113778000</v>
      </c>
    </row>
    <row r="55" spans="1:5" ht="24" customHeight="1" x14ac:dyDescent="0.2">
      <c r="A55" s="339">
        <v>16</v>
      </c>
      <c r="B55" s="340" t="s">
        <v>75</v>
      </c>
      <c r="C55" s="341">
        <f>+C11</f>
        <v>268087000</v>
      </c>
      <c r="D55" s="341">
        <f>+D11</f>
        <v>285389000</v>
      </c>
      <c r="E55" s="341">
        <f>+E11</f>
        <v>256687000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57.192055126434305</v>
      </c>
      <c r="D57" s="355">
        <f>IF((D61/365)=0,0,+D58/(D61/365))</f>
        <v>59.328827965235178</v>
      </c>
      <c r="E57" s="355">
        <f>IF((E61/365)=0,0,+E58/(E61/365))</f>
        <v>265.60548370241048</v>
      </c>
    </row>
    <row r="58" spans="1:5" ht="24" customHeight="1" x14ac:dyDescent="0.2">
      <c r="A58" s="339">
        <v>18</v>
      </c>
      <c r="B58" s="340" t="s">
        <v>54</v>
      </c>
      <c r="C58" s="353">
        <f>+C40</f>
        <v>40612000</v>
      </c>
      <c r="D58" s="353">
        <f>+D40</f>
        <v>45783000</v>
      </c>
      <c r="E58" s="353">
        <f>+E40</f>
        <v>179649000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269715000</v>
      </c>
      <c r="D59" s="353">
        <f t="shared" si="0"/>
        <v>293300000</v>
      </c>
      <c r="E59" s="353">
        <f t="shared" si="0"/>
        <v>256987000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10529000</v>
      </c>
      <c r="D60" s="356">
        <f t="shared" si="0"/>
        <v>11636000</v>
      </c>
      <c r="E60" s="356">
        <f t="shared" si="0"/>
        <v>10110000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259186000</v>
      </c>
      <c r="D61" s="353">
        <f>+D59-D60</f>
        <v>281664000</v>
      </c>
      <c r="E61" s="353">
        <f>+E59-E60</f>
        <v>246877000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23.04375192511149</v>
      </c>
      <c r="D65" s="357">
        <f>IF(D67=0,0,(D66/D67)*100)</f>
        <v>24.242482838634828</v>
      </c>
      <c r="E65" s="357">
        <f>IF(E67=0,0,(E66/E67)*100)</f>
        <v>21.624164017932607</v>
      </c>
    </row>
    <row r="66" spans="1:5" ht="24" customHeight="1" x14ac:dyDescent="0.2">
      <c r="A66" s="339">
        <v>2</v>
      </c>
      <c r="B66" s="340" t="s">
        <v>67</v>
      </c>
      <c r="C66" s="353">
        <f>+C32</f>
        <v>51621000</v>
      </c>
      <c r="D66" s="353">
        <f>+D32</f>
        <v>50148000</v>
      </c>
      <c r="E66" s="353">
        <f>+E32</f>
        <v>228727000</v>
      </c>
    </row>
    <row r="67" spans="1:5" ht="24" customHeight="1" x14ac:dyDescent="0.2">
      <c r="A67" s="339">
        <v>3</v>
      </c>
      <c r="B67" s="340" t="s">
        <v>43</v>
      </c>
      <c r="C67" s="353">
        <v>224013000</v>
      </c>
      <c r="D67" s="353">
        <v>206860000</v>
      </c>
      <c r="E67" s="353">
        <v>1057738000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39.927866946994172</v>
      </c>
      <c r="D69" s="357">
        <f>IF(D75=0,0,(D72/D75)*100)</f>
        <v>28.740691185014349</v>
      </c>
      <c r="E69" s="357">
        <f>IF(E75=0,0,(E72/E75)*100)</f>
        <v>4.6337237984878561</v>
      </c>
    </row>
    <row r="70" spans="1:5" ht="24" customHeight="1" x14ac:dyDescent="0.2">
      <c r="A70" s="339">
        <v>5</v>
      </c>
      <c r="B70" s="340" t="s">
        <v>366</v>
      </c>
      <c r="C70" s="353">
        <f>+C28</f>
        <v>12830000</v>
      </c>
      <c r="D70" s="353">
        <f>+D28</f>
        <v>4689000</v>
      </c>
      <c r="E70" s="353">
        <f>+E28</f>
        <v>10084000</v>
      </c>
    </row>
    <row r="71" spans="1:5" ht="24" customHeight="1" x14ac:dyDescent="0.2">
      <c r="A71" s="339">
        <v>6</v>
      </c>
      <c r="B71" s="340" t="s">
        <v>356</v>
      </c>
      <c r="C71" s="356">
        <f>+C47</f>
        <v>10529000</v>
      </c>
      <c r="D71" s="356">
        <f>+D47</f>
        <v>11636000</v>
      </c>
      <c r="E71" s="356">
        <f>+E47</f>
        <v>10110000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23359000</v>
      </c>
      <c r="D72" s="353">
        <f>+D70+D71</f>
        <v>16325000</v>
      </c>
      <c r="E72" s="353">
        <f>+E70+E71</f>
        <v>20194000</v>
      </c>
    </row>
    <row r="73" spans="1:5" ht="24" customHeight="1" x14ac:dyDescent="0.2">
      <c r="A73" s="339">
        <v>8</v>
      </c>
      <c r="B73" s="340" t="s">
        <v>54</v>
      </c>
      <c r="C73" s="341">
        <f>+C40</f>
        <v>40612000</v>
      </c>
      <c r="D73" s="341">
        <f>+D40</f>
        <v>45783000</v>
      </c>
      <c r="E73" s="341">
        <f>+E40</f>
        <v>179649000</v>
      </c>
    </row>
    <row r="74" spans="1:5" ht="24" customHeight="1" x14ac:dyDescent="0.2">
      <c r="A74" s="339">
        <v>9</v>
      </c>
      <c r="B74" s="340" t="s">
        <v>58</v>
      </c>
      <c r="C74" s="353">
        <v>17891000</v>
      </c>
      <c r="D74" s="353">
        <v>11018000</v>
      </c>
      <c r="E74" s="353">
        <v>256156000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58503000</v>
      </c>
      <c r="D75" s="341">
        <f>+D73+D74</f>
        <v>56801000</v>
      </c>
      <c r="E75" s="341">
        <f>+E73+E74</f>
        <v>435805000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25.738002071584766</v>
      </c>
      <c r="D77" s="359">
        <f>IF(D80=0,0,(D78/D80)*100)</f>
        <v>18.013275349050126</v>
      </c>
      <c r="E77" s="359">
        <f>IF(E80=0,0,(E78/E80)*100)</f>
        <v>52.828414277258638</v>
      </c>
    </row>
    <row r="78" spans="1:5" ht="24" customHeight="1" x14ac:dyDescent="0.2">
      <c r="A78" s="339">
        <v>12</v>
      </c>
      <c r="B78" s="340" t="s">
        <v>58</v>
      </c>
      <c r="C78" s="341">
        <f>+C74</f>
        <v>17891000</v>
      </c>
      <c r="D78" s="341">
        <f>+D74</f>
        <v>11018000</v>
      </c>
      <c r="E78" s="341">
        <f>+E74</f>
        <v>256156000</v>
      </c>
    </row>
    <row r="79" spans="1:5" ht="24" customHeight="1" x14ac:dyDescent="0.2">
      <c r="A79" s="339">
        <v>13</v>
      </c>
      <c r="B79" s="340" t="s">
        <v>67</v>
      </c>
      <c r="C79" s="341">
        <f>+C32</f>
        <v>51621000</v>
      </c>
      <c r="D79" s="341">
        <f>+D32</f>
        <v>50148000</v>
      </c>
      <c r="E79" s="341">
        <f>+E32</f>
        <v>228727000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69512000</v>
      </c>
      <c r="D80" s="341">
        <f>+D78+D79</f>
        <v>61166000</v>
      </c>
      <c r="E80" s="341">
        <f>+E78+E79</f>
        <v>484883000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75" bottom="0.75" header="0.3" footer="0.3"/>
  <pageSetup scale="78" fitToHeight="0" orientation="portrait" horizontalDpi="1200" verticalDpi="1200" r:id="rId1"/>
  <headerFooter>
    <oddHeader>&amp;LOFFICE OF HEALTH CARE ACCESS&amp;CTWELVE MONTHS ACTUAL FILING&amp;RSAINT MARY`S HOSPITAL</oddHeader>
    <oddFooter>&amp;LREPORT 100&amp;CPAGE &amp;P of &amp;N&amp;R&amp;D, 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H56" sqref="H56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5" width="15.85546875" style="365" bestFit="1" customWidth="1"/>
    <col min="6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32427</v>
      </c>
      <c r="D11" s="376">
        <v>8888</v>
      </c>
      <c r="E11" s="376">
        <v>9003</v>
      </c>
      <c r="F11" s="377">
        <v>113</v>
      </c>
      <c r="G11" s="377">
        <v>118</v>
      </c>
      <c r="H11" s="378">
        <f>IF(F11=0,0,$C11/(F11*365))</f>
        <v>0.78620438841071649</v>
      </c>
      <c r="I11" s="378">
        <f>IF(G11=0,0,$C11/(G11*365))</f>
        <v>0.75289064313907594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4355</v>
      </c>
      <c r="D13" s="376">
        <v>1357</v>
      </c>
      <c r="E13" s="376">
        <v>0</v>
      </c>
      <c r="F13" s="377">
        <v>14</v>
      </c>
      <c r="G13" s="377">
        <v>20</v>
      </c>
      <c r="H13" s="378">
        <f>IF(F13=0,0,$C13/(F13*365))</f>
        <v>0.85225048923679059</v>
      </c>
      <c r="I13" s="378">
        <f>IF(G13=0,0,$C13/(G13*365))</f>
        <v>0.59657534246575339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3982</v>
      </c>
      <c r="D16" s="376">
        <v>676</v>
      </c>
      <c r="E16" s="376">
        <v>673</v>
      </c>
      <c r="F16" s="377">
        <v>12</v>
      </c>
      <c r="G16" s="377">
        <v>12</v>
      </c>
      <c r="H16" s="378">
        <f t="shared" si="0"/>
        <v>0.90913242009132422</v>
      </c>
      <c r="I16" s="378">
        <f t="shared" si="0"/>
        <v>0.90913242009132422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3982</v>
      </c>
      <c r="D17" s="381">
        <f>SUM(D15:D16)</f>
        <v>676</v>
      </c>
      <c r="E17" s="381">
        <f>SUM(E15:E16)</f>
        <v>673</v>
      </c>
      <c r="F17" s="381">
        <f>SUM(F15:F16)</f>
        <v>12</v>
      </c>
      <c r="G17" s="381">
        <f>SUM(G15:G16)</f>
        <v>12</v>
      </c>
      <c r="H17" s="382">
        <f t="shared" si="0"/>
        <v>0.90913242009132422</v>
      </c>
      <c r="I17" s="382">
        <f t="shared" si="0"/>
        <v>0.90913242009132422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2710</v>
      </c>
      <c r="D21" s="376">
        <v>1034</v>
      </c>
      <c r="E21" s="376">
        <v>1080</v>
      </c>
      <c r="F21" s="377">
        <v>16</v>
      </c>
      <c r="G21" s="377">
        <v>16</v>
      </c>
      <c r="H21" s="378">
        <f>IF(F21=0,0,$C21/(F21*365))</f>
        <v>0.46404109589041098</v>
      </c>
      <c r="I21" s="378">
        <f>IF(G21=0,0,$C21/(G21*365))</f>
        <v>0.46404109589041098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2039</v>
      </c>
      <c r="D23" s="376">
        <v>917</v>
      </c>
      <c r="E23" s="376">
        <v>977</v>
      </c>
      <c r="F23" s="377">
        <v>11</v>
      </c>
      <c r="G23" s="377">
        <v>11</v>
      </c>
      <c r="H23" s="378">
        <f>IF(F23=0,0,$C23/(F23*365))</f>
        <v>0.50784557907845584</v>
      </c>
      <c r="I23" s="378">
        <f>IF(G23=0,0,$C23/(G23*365))</f>
        <v>0.50784557907845584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1121</v>
      </c>
      <c r="D25" s="376">
        <v>141</v>
      </c>
      <c r="E25" s="376">
        <v>0</v>
      </c>
      <c r="F25" s="377">
        <v>5</v>
      </c>
      <c r="G25" s="377">
        <v>5</v>
      </c>
      <c r="H25" s="378">
        <f>IF(F25=0,0,$C25/(F25*365))</f>
        <v>0.61424657534246574</v>
      </c>
      <c r="I25" s="378">
        <f>IF(G25=0,0,$C25/(G25*365))</f>
        <v>0.61424657534246574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44595</v>
      </c>
      <c r="D31" s="384">
        <f>SUM(D10:D29)-D13-D17-D23</f>
        <v>10739</v>
      </c>
      <c r="E31" s="384">
        <f>SUM(E10:E29)-E17-E23</f>
        <v>10756</v>
      </c>
      <c r="F31" s="384">
        <f>SUM(F10:F29)-F17-F23</f>
        <v>160</v>
      </c>
      <c r="G31" s="384">
        <f>SUM(G10:G29)-G17-G23</f>
        <v>171</v>
      </c>
      <c r="H31" s="385">
        <f>IF(F31=0,0,$C31/(F31*365))</f>
        <v>0.76361301369863011</v>
      </c>
      <c r="I31" s="385">
        <f>IF(G31=0,0,$C31/(G31*365))</f>
        <v>0.71449170872386447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46634</v>
      </c>
      <c r="D33" s="384">
        <f>SUM(D10:D29)-D13-D17</f>
        <v>11656</v>
      </c>
      <c r="E33" s="384">
        <f>SUM(E10:E29)-E17</f>
        <v>11733</v>
      </c>
      <c r="F33" s="384">
        <f>SUM(F10:F29)-F17</f>
        <v>171</v>
      </c>
      <c r="G33" s="384">
        <f>SUM(G10:G29)-G17</f>
        <v>182</v>
      </c>
      <c r="H33" s="385">
        <f>IF(F33=0,0,$C33/(F33*365))</f>
        <v>0.74716013778739088</v>
      </c>
      <c r="I33" s="385">
        <f>IF(G33=0,0,$C33/(G33*365))</f>
        <v>0.70200210748155956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46634</v>
      </c>
      <c r="D36" s="384">
        <f t="shared" si="1"/>
        <v>11656</v>
      </c>
      <c r="E36" s="384">
        <f t="shared" si="1"/>
        <v>11733</v>
      </c>
      <c r="F36" s="384">
        <f t="shared" si="1"/>
        <v>171</v>
      </c>
      <c r="G36" s="384">
        <f t="shared" si="1"/>
        <v>182</v>
      </c>
      <c r="H36" s="387">
        <f t="shared" si="1"/>
        <v>0.74716013778739088</v>
      </c>
      <c r="I36" s="387">
        <f t="shared" si="1"/>
        <v>0.70200210748155956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50556</v>
      </c>
      <c r="D37" s="384">
        <v>11845</v>
      </c>
      <c r="E37" s="384">
        <v>11964</v>
      </c>
      <c r="F37" s="386">
        <v>168</v>
      </c>
      <c r="G37" s="386">
        <v>210</v>
      </c>
      <c r="H37" s="385">
        <f>IF(F37=0,0,$C37/(F37*365))</f>
        <v>0.8244618395303327</v>
      </c>
      <c r="I37" s="385">
        <f>IF(G37=0,0,$C37/(G37*365))</f>
        <v>0.65956947162426616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-3922</v>
      </c>
      <c r="D38" s="384">
        <f t="shared" si="2"/>
        <v>-189</v>
      </c>
      <c r="E38" s="384">
        <f t="shared" si="2"/>
        <v>-231</v>
      </c>
      <c r="F38" s="384">
        <f t="shared" si="2"/>
        <v>3</v>
      </c>
      <c r="G38" s="384">
        <f t="shared" si="2"/>
        <v>-28</v>
      </c>
      <c r="H38" s="387">
        <f t="shared" si="2"/>
        <v>-7.730170174294182E-2</v>
      </c>
      <c r="I38" s="387">
        <f t="shared" si="2"/>
        <v>4.2432635857293399E-2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-7.7577339979428755E-2</v>
      </c>
      <c r="D40" s="389">
        <f t="shared" si="3"/>
        <v>-1.5956099620092867E-2</v>
      </c>
      <c r="E40" s="389">
        <f t="shared" si="3"/>
        <v>-1.9307923771313941E-2</v>
      </c>
      <c r="F40" s="389">
        <f t="shared" si="3"/>
        <v>1.7857142857142856E-2</v>
      </c>
      <c r="G40" s="389">
        <f t="shared" si="3"/>
        <v>-0.13333333333333333</v>
      </c>
      <c r="H40" s="389">
        <f t="shared" si="3"/>
        <v>-9.3760193664000166E-2</v>
      </c>
      <c r="I40" s="389">
        <f t="shared" si="3"/>
        <v>6.4333838485274533E-2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379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gridLines="1"/>
  <pageMargins left="0.25" right="0.25" top="0.75" bottom="0.75" header="0.3" footer="0.3"/>
  <pageSetup scale="68" fitToWidth="0" orientation="landscape" horizontalDpi="1200" verticalDpi="1200" r:id="rId1"/>
  <headerFooter>
    <oddHeader>&amp;LOFFICE OF HEALTH CARE ACCESS&amp;CTWELVE MONTHS ACTUAL FILING&amp;RSAINT MARY`S HOSPITAL</oddHeader>
    <oddFooter>&amp;LREPORT 100&amp;CPAGE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tabSelected="1" zoomScaleSheetLayoutView="90" workbookViewId="0">
      <selection activeCell="H56" sqref="H56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6.42578125" style="365" bestFit="1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5763</v>
      </c>
      <c r="D12" s="409">
        <v>5859</v>
      </c>
      <c r="E12" s="409">
        <f>+D12-C12</f>
        <v>96</v>
      </c>
      <c r="F12" s="410">
        <f>IF(C12=0,0,+E12/C12)</f>
        <v>1.665799062988027E-2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4234</v>
      </c>
      <c r="D13" s="409">
        <v>4538</v>
      </c>
      <c r="E13" s="409">
        <f>+D13-C13</f>
        <v>304</v>
      </c>
      <c r="F13" s="410">
        <f>IF(C13=0,0,+E13/C13)</f>
        <v>7.1799716580066134E-2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9342</v>
      </c>
      <c r="D14" s="409">
        <v>10169</v>
      </c>
      <c r="E14" s="409">
        <f>+D14-C14</f>
        <v>827</v>
      </c>
      <c r="F14" s="410">
        <f>IF(C14=0,0,+E14/C14)</f>
        <v>8.8524941126097198E-2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3090</v>
      </c>
      <c r="D15" s="409">
        <v>3295</v>
      </c>
      <c r="E15" s="409">
        <f>+D15-C15</f>
        <v>205</v>
      </c>
      <c r="F15" s="410">
        <f>IF(C15=0,0,+E15/C15)</f>
        <v>6.6343042071197414E-2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22429</v>
      </c>
      <c r="D16" s="401">
        <f>SUM(D12:D15)</f>
        <v>23861</v>
      </c>
      <c r="E16" s="401">
        <f>+D16-C16</f>
        <v>1432</v>
      </c>
      <c r="F16" s="402">
        <f>IF(C16=0,0,+E16/C16)</f>
        <v>6.3845913772348301E-2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1136</v>
      </c>
      <c r="D19" s="409">
        <v>1132</v>
      </c>
      <c r="E19" s="409">
        <f>+D19-C19</f>
        <v>-4</v>
      </c>
      <c r="F19" s="410">
        <f>IF(C19=0,0,+E19/C19)</f>
        <v>-3.5211267605633804E-3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2433</v>
      </c>
      <c r="D20" s="409">
        <v>2622</v>
      </c>
      <c r="E20" s="409">
        <f>+D20-C20</f>
        <v>189</v>
      </c>
      <c r="F20" s="410">
        <f>IF(C20=0,0,+E20/C20)</f>
        <v>7.7681874229346484E-2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277</v>
      </c>
      <c r="D21" s="409">
        <v>345</v>
      </c>
      <c r="E21" s="409">
        <f>+D21-C21</f>
        <v>68</v>
      </c>
      <c r="F21" s="410">
        <f>IF(C21=0,0,+E21/C21)</f>
        <v>0.24548736462093862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7941</v>
      </c>
      <c r="D22" s="409">
        <v>7842</v>
      </c>
      <c r="E22" s="409">
        <f>+D22-C22</f>
        <v>-99</v>
      </c>
      <c r="F22" s="410">
        <f>IF(C22=0,0,+E22/C22)</f>
        <v>-1.2466943709860219E-2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11787</v>
      </c>
      <c r="D23" s="401">
        <f>SUM(D19:D22)</f>
        <v>11941</v>
      </c>
      <c r="E23" s="401">
        <f>+D23-C23</f>
        <v>154</v>
      </c>
      <c r="F23" s="402">
        <f>IF(C23=0,0,+E23/C23)</f>
        <v>1.3065241367608383E-2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0</v>
      </c>
      <c r="D34" s="409">
        <v>0</v>
      </c>
      <c r="E34" s="409">
        <f>+D34-C34</f>
        <v>0</v>
      </c>
      <c r="F34" s="410">
        <f>IF(C34=0,0,+E34/C34)</f>
        <v>0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704</v>
      </c>
      <c r="D36" s="409">
        <v>849</v>
      </c>
      <c r="E36" s="409">
        <f>+D36-C36</f>
        <v>145</v>
      </c>
      <c r="F36" s="410">
        <f>IF(C36=0,0,+E36/C36)</f>
        <v>0.20596590909090909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704</v>
      </c>
      <c r="D37" s="401">
        <f>SUM(D33:D36)</f>
        <v>849</v>
      </c>
      <c r="E37" s="401">
        <f>+D37-C37</f>
        <v>145</v>
      </c>
      <c r="F37" s="402">
        <f>IF(C37=0,0,+E37/C37)</f>
        <v>0.20596590909090909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566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567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0</v>
      </c>
      <c r="D43" s="409">
        <v>0</v>
      </c>
      <c r="E43" s="409">
        <f>+D43-C43</f>
        <v>0</v>
      </c>
      <c r="F43" s="410">
        <f>IF(C43=0,0,+E43/C43)</f>
        <v>0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11118</v>
      </c>
      <c r="D44" s="409">
        <v>12758</v>
      </c>
      <c r="E44" s="409">
        <f>+D44-C44</f>
        <v>1640</v>
      </c>
      <c r="F44" s="410">
        <f>IF(C44=0,0,+E44/C44)</f>
        <v>0.14750854470228458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11118</v>
      </c>
      <c r="D45" s="401">
        <f>SUM(D43:D44)</f>
        <v>12758</v>
      </c>
      <c r="E45" s="401">
        <f>+D45-C45</f>
        <v>1640</v>
      </c>
      <c r="F45" s="402">
        <f>IF(C45=0,0,+E45/C45)</f>
        <v>0.14750854470228458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432</v>
      </c>
      <c r="D48" s="409">
        <v>381</v>
      </c>
      <c r="E48" s="409">
        <f>+D48-C48</f>
        <v>-51</v>
      </c>
      <c r="F48" s="410">
        <f>IF(C48=0,0,+E48/C48)</f>
        <v>-0.11805555555555555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449</v>
      </c>
      <c r="D49" s="409">
        <v>523</v>
      </c>
      <c r="E49" s="409">
        <f>+D49-C49</f>
        <v>74</v>
      </c>
      <c r="F49" s="410">
        <f>IF(C49=0,0,+E49/C49)</f>
        <v>0.16481069042316257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881</v>
      </c>
      <c r="D50" s="401">
        <f>SUM(D48:D49)</f>
        <v>904</v>
      </c>
      <c r="E50" s="401">
        <f>+D50-C50</f>
        <v>23</v>
      </c>
      <c r="F50" s="402">
        <f>IF(C50=0,0,+E50/C50)</f>
        <v>2.6106696935300794E-2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317</v>
      </c>
      <c r="D53" s="409">
        <v>297</v>
      </c>
      <c r="E53" s="409">
        <f>+D53-C53</f>
        <v>-20</v>
      </c>
      <c r="F53" s="410">
        <f>IF(C53=0,0,+E53/C53)</f>
        <v>-6.3091482649842268E-2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317</v>
      </c>
      <c r="D55" s="401">
        <f>SUM(D53:D54)</f>
        <v>297</v>
      </c>
      <c r="E55" s="401">
        <f>+D55-C55</f>
        <v>-20</v>
      </c>
      <c r="F55" s="402">
        <f>IF(C55=0,0,+E55/C55)</f>
        <v>-6.3091482649842268E-2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85</v>
      </c>
      <c r="D58" s="409">
        <v>60</v>
      </c>
      <c r="E58" s="409">
        <f>+D58-C58</f>
        <v>-25</v>
      </c>
      <c r="F58" s="410">
        <f>IF(C58=0,0,+E58/C58)</f>
        <v>-0.29411764705882354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114</v>
      </c>
      <c r="D59" s="409">
        <v>142</v>
      </c>
      <c r="E59" s="409">
        <f>+D59-C59</f>
        <v>28</v>
      </c>
      <c r="F59" s="410">
        <f>IF(C59=0,0,+E59/C59)</f>
        <v>0.24561403508771928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199</v>
      </c>
      <c r="D60" s="401">
        <f>SUM(D58:D59)</f>
        <v>202</v>
      </c>
      <c r="E60" s="401">
        <f>SUM(E58:E59)</f>
        <v>3</v>
      </c>
      <c r="F60" s="402">
        <f>IF(C60=0,0,+E60/C60)</f>
        <v>1.507537688442211E-2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2128</v>
      </c>
      <c r="D63" s="409">
        <v>2144</v>
      </c>
      <c r="E63" s="409">
        <f>+D63-C63</f>
        <v>16</v>
      </c>
      <c r="F63" s="410">
        <f>IF(C63=0,0,+E63/C63)</f>
        <v>7.5187969924812026E-3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7735</v>
      </c>
      <c r="D64" s="409">
        <v>6786</v>
      </c>
      <c r="E64" s="409">
        <f>+D64-C64</f>
        <v>-949</v>
      </c>
      <c r="F64" s="410">
        <f>IF(C64=0,0,+E64/C64)</f>
        <v>-0.1226890756302521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9863</v>
      </c>
      <c r="D65" s="401">
        <f>SUM(D63:D64)</f>
        <v>8930</v>
      </c>
      <c r="E65" s="401">
        <f>+D65-C65</f>
        <v>-933</v>
      </c>
      <c r="F65" s="402">
        <f>IF(C65=0,0,+E65/C65)</f>
        <v>-9.4595964716617659E-2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532</v>
      </c>
      <c r="D68" s="409">
        <v>468</v>
      </c>
      <c r="E68" s="409">
        <f>+D68-C68</f>
        <v>-64</v>
      </c>
      <c r="F68" s="410">
        <f>IF(C68=0,0,+E68/C68)</f>
        <v>-0.12030075187969924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3867</v>
      </c>
      <c r="D69" s="409">
        <v>5384</v>
      </c>
      <c r="E69" s="409">
        <f>+D69-C69</f>
        <v>1517</v>
      </c>
      <c r="F69" s="412">
        <f>IF(C69=0,0,+E69/C69)</f>
        <v>0.39229376777863978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4399</v>
      </c>
      <c r="D70" s="401">
        <f>SUM(D68:D69)</f>
        <v>5852</v>
      </c>
      <c r="E70" s="401">
        <f>+D70-C70</f>
        <v>1453</v>
      </c>
      <c r="F70" s="402">
        <f>IF(C70=0,0,+E70/C70)</f>
        <v>0.33030234144123666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8274</v>
      </c>
      <c r="D73" s="376">
        <v>7461</v>
      </c>
      <c r="E73" s="409">
        <f>+D73-C73</f>
        <v>-813</v>
      </c>
      <c r="F73" s="410">
        <f>IF(C73=0,0,+E73/C73)</f>
        <v>-9.8259608411892671E-2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63488</v>
      </c>
      <c r="D74" s="376">
        <v>64952</v>
      </c>
      <c r="E74" s="409">
        <f>+D74-C74</f>
        <v>1464</v>
      </c>
      <c r="F74" s="410">
        <f>IF(C74=0,0,+E74/C74)</f>
        <v>2.3059475806451613E-2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71762</v>
      </c>
      <c r="D75" s="401">
        <f>SUM(D73:D74)</f>
        <v>72413</v>
      </c>
      <c r="E75" s="401">
        <f>SUM(E73:E74)</f>
        <v>651</v>
      </c>
      <c r="F75" s="402">
        <f>IF(C75=0,0,+E75/C75)</f>
        <v>9.0716535213622804E-3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1675</v>
      </c>
      <c r="D79" s="376">
        <v>1773</v>
      </c>
      <c r="E79" s="409">
        <f t="shared" ref="E79:E92" si="0">+D79-C79</f>
        <v>98</v>
      </c>
      <c r="F79" s="410">
        <f t="shared" ref="F79:F92" si="1">IF(C79=0,0,+E79/C79)</f>
        <v>5.8507462686567167E-2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3725</v>
      </c>
      <c r="D80" s="376">
        <v>2436</v>
      </c>
      <c r="E80" s="409">
        <f t="shared" si="0"/>
        <v>-1289</v>
      </c>
      <c r="F80" s="410">
        <f t="shared" si="1"/>
        <v>-0.34604026845637587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2561</v>
      </c>
      <c r="D81" s="376">
        <v>2276</v>
      </c>
      <c r="E81" s="409">
        <f t="shared" si="0"/>
        <v>-285</v>
      </c>
      <c r="F81" s="410">
        <f t="shared" si="1"/>
        <v>-0.11128465443186256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19386</v>
      </c>
      <c r="D86" s="376">
        <v>25356</v>
      </c>
      <c r="E86" s="409">
        <f t="shared" si="0"/>
        <v>5970</v>
      </c>
      <c r="F86" s="410">
        <f t="shared" si="1"/>
        <v>0.3079541937480656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0</v>
      </c>
      <c r="E91" s="409">
        <f t="shared" si="0"/>
        <v>0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27347</v>
      </c>
      <c r="D92" s="381">
        <f>SUM(D79:D91)</f>
        <v>31841</v>
      </c>
      <c r="E92" s="401">
        <f t="shared" si="0"/>
        <v>4494</v>
      </c>
      <c r="F92" s="402">
        <f t="shared" si="1"/>
        <v>0.16433246791238526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11872</v>
      </c>
      <c r="D95" s="414">
        <v>11667</v>
      </c>
      <c r="E95" s="415">
        <f t="shared" ref="E95:E100" si="2">+D95-C95</f>
        <v>-205</v>
      </c>
      <c r="F95" s="412">
        <f t="shared" ref="F95:F100" si="3">IF(C95=0,0,+E95/C95)</f>
        <v>-1.7267520215633422E-2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2400</v>
      </c>
      <c r="D96" s="414">
        <v>3165</v>
      </c>
      <c r="E96" s="409">
        <f t="shared" si="2"/>
        <v>765</v>
      </c>
      <c r="F96" s="410">
        <f t="shared" si="3"/>
        <v>0.31874999999999998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3022</v>
      </c>
      <c r="D97" s="414">
        <v>4942</v>
      </c>
      <c r="E97" s="409">
        <f t="shared" si="2"/>
        <v>1920</v>
      </c>
      <c r="F97" s="410">
        <f t="shared" si="3"/>
        <v>0.63534083388484452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3867</v>
      </c>
      <c r="D98" s="414">
        <v>5384</v>
      </c>
      <c r="E98" s="409">
        <f t="shared" si="2"/>
        <v>1517</v>
      </c>
      <c r="F98" s="410">
        <f t="shared" si="3"/>
        <v>0.39229376777863978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144996</v>
      </c>
      <c r="D99" s="414">
        <v>150455</v>
      </c>
      <c r="E99" s="409">
        <f t="shared" si="2"/>
        <v>5459</v>
      </c>
      <c r="F99" s="410">
        <f t="shared" si="3"/>
        <v>3.7649314463847276E-2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166157</v>
      </c>
      <c r="D100" s="381">
        <f>SUM(D95:D99)</f>
        <v>175613</v>
      </c>
      <c r="E100" s="401">
        <f t="shared" si="2"/>
        <v>9456</v>
      </c>
      <c r="F100" s="402">
        <f t="shared" si="3"/>
        <v>5.6910030874413958E-2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389.3</v>
      </c>
      <c r="D104" s="416">
        <v>393.1</v>
      </c>
      <c r="E104" s="417">
        <f>+D104-C104</f>
        <v>3.8000000000000114</v>
      </c>
      <c r="F104" s="410">
        <f>IF(C104=0,0,+E104/C104)</f>
        <v>9.7611096840483202E-3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56</v>
      </c>
      <c r="D105" s="416">
        <v>54.6</v>
      </c>
      <c r="E105" s="417">
        <f>+D105-C105</f>
        <v>-1.3999999999999986</v>
      </c>
      <c r="F105" s="410">
        <f>IF(C105=0,0,+E105/C105)</f>
        <v>-2.4999999999999974E-2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938.9</v>
      </c>
      <c r="D106" s="416">
        <v>950.6</v>
      </c>
      <c r="E106" s="417">
        <f>+D106-C106</f>
        <v>11.700000000000045</v>
      </c>
      <c r="F106" s="410">
        <f>IF(C106=0,0,+E106/C106)</f>
        <v>1.2461390989455794E-2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1384.2</v>
      </c>
      <c r="D107" s="418">
        <f>SUM(D104:D106)</f>
        <v>1398.3000000000002</v>
      </c>
      <c r="E107" s="418">
        <f>+D107-C107</f>
        <v>14.100000000000136</v>
      </c>
      <c r="F107" s="402">
        <f>IF(C107=0,0,+E107/C107)</f>
        <v>1.0186389250108464E-2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75" bottom="0.75" header="0.3" footer="0.3"/>
  <pageSetup scale="75" fitToHeight="0" orientation="portrait" horizontalDpi="1200" verticalDpi="1200" r:id="rId1"/>
  <headerFooter>
    <oddHeader>&amp;LOFFICE OF HEALTH CARE ACCESS&amp;CTWELVE MONTHS ACTUAL FILING&amp;RSAINT MARY`S HOSPITAL</oddHeader>
    <oddFooter>&amp;LREPORT 100&amp;CPAGE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abSelected="1" topLeftCell="A4" zoomScale="75" zoomScaleSheetLayoutView="90" workbookViewId="0">
      <selection activeCell="H56" sqref="H56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6.42578125" style="365" bestFit="1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620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3550</v>
      </c>
      <c r="D12" s="409">
        <v>3716</v>
      </c>
      <c r="E12" s="409">
        <f>+D12-C12</f>
        <v>166</v>
      </c>
      <c r="F12" s="410">
        <f>IF(C12=0,0,+E12/C12)</f>
        <v>4.6760563380281693E-2</v>
      </c>
    </row>
    <row r="13" spans="1:6" ht="15.75" customHeight="1" x14ac:dyDescent="0.2">
      <c r="A13" s="374">
        <v>2</v>
      </c>
      <c r="B13" s="408" t="s">
        <v>622</v>
      </c>
      <c r="C13" s="409">
        <v>4185</v>
      </c>
      <c r="D13" s="409">
        <v>3070</v>
      </c>
      <c r="E13" s="409">
        <f>+D13-C13</f>
        <v>-1115</v>
      </c>
      <c r="F13" s="410">
        <f>IF(C13=0,0,+E13/C13)</f>
        <v>-0.26642771804062126</v>
      </c>
    </row>
    <row r="14" spans="1:6" ht="15.75" customHeight="1" x14ac:dyDescent="0.25">
      <c r="A14" s="374"/>
      <c r="B14" s="399" t="s">
        <v>623</v>
      </c>
      <c r="C14" s="401">
        <f>SUM(C11:C13)</f>
        <v>7735</v>
      </c>
      <c r="D14" s="401">
        <f>SUM(D11:D13)</f>
        <v>6786</v>
      </c>
      <c r="E14" s="401">
        <f>+D14-C14</f>
        <v>-949</v>
      </c>
      <c r="F14" s="402">
        <f>IF(C14=0,0,+E14/C14)</f>
        <v>-0.1226890756302521</v>
      </c>
    </row>
    <row r="15" spans="1:6" ht="15.75" customHeight="1" x14ac:dyDescent="0.25">
      <c r="A15" s="136"/>
      <c r="B15" s="399"/>
      <c r="C15" s="401"/>
      <c r="D15" s="401"/>
      <c r="E15" s="401"/>
      <c r="F15" s="402"/>
    </row>
    <row r="16" spans="1:6" ht="15.75" customHeight="1" x14ac:dyDescent="0.25">
      <c r="A16" s="136" t="s">
        <v>26</v>
      </c>
      <c r="B16" s="406" t="s">
        <v>588</v>
      </c>
      <c r="C16" s="409"/>
      <c r="D16" s="409"/>
      <c r="E16" s="409"/>
      <c r="F16" s="410"/>
    </row>
    <row r="17" spans="1:6" ht="15.75" customHeight="1" x14ac:dyDescent="0.2">
      <c r="A17" s="374">
        <v>1</v>
      </c>
      <c r="B17" s="408" t="s">
        <v>621</v>
      </c>
      <c r="C17" s="409">
        <v>0</v>
      </c>
      <c r="D17" s="409">
        <v>762</v>
      </c>
      <c r="E17" s="409">
        <f>+D17-C17</f>
        <v>762</v>
      </c>
      <c r="F17" s="410">
        <f>IF(C17=0,0,+E17/C17)</f>
        <v>0</v>
      </c>
    </row>
    <row r="18" spans="1:6" ht="15.75" customHeight="1" x14ac:dyDescent="0.2">
      <c r="A18" s="374">
        <v>2</v>
      </c>
      <c r="B18" s="408" t="s">
        <v>622</v>
      </c>
      <c r="C18" s="409">
        <v>3867</v>
      </c>
      <c r="D18" s="409">
        <v>4622</v>
      </c>
      <c r="E18" s="409">
        <f>+D18-C18</f>
        <v>755</v>
      </c>
      <c r="F18" s="410">
        <f>IF(C18=0,0,+E18/C18)</f>
        <v>0.19524178950090509</v>
      </c>
    </row>
    <row r="19" spans="1:6" ht="15.75" customHeight="1" x14ac:dyDescent="0.25">
      <c r="A19" s="374"/>
      <c r="B19" s="399" t="s">
        <v>624</v>
      </c>
      <c r="C19" s="401">
        <f>SUM(C16:C18)</f>
        <v>3867</v>
      </c>
      <c r="D19" s="401">
        <f>SUM(D16:D18)</f>
        <v>5384</v>
      </c>
      <c r="E19" s="401">
        <f>+D19-C19</f>
        <v>1517</v>
      </c>
      <c r="F19" s="402">
        <f>IF(C19=0,0,+E19/C19)</f>
        <v>0.39229376777863978</v>
      </c>
    </row>
    <row r="20" spans="1:6" ht="15.75" customHeight="1" x14ac:dyDescent="0.25">
      <c r="A20" s="136"/>
      <c r="B20" s="399"/>
      <c r="C20" s="401"/>
      <c r="D20" s="401"/>
      <c r="E20" s="401"/>
      <c r="F20" s="402"/>
    </row>
    <row r="21" spans="1:6" ht="15.75" customHeight="1" x14ac:dyDescent="0.25">
      <c r="A21" s="136" t="s">
        <v>36</v>
      </c>
      <c r="B21" s="406" t="s">
        <v>625</v>
      </c>
      <c r="C21" s="409"/>
      <c r="D21" s="409"/>
      <c r="E21" s="409"/>
      <c r="F21" s="410"/>
    </row>
    <row r="22" spans="1:6" ht="15.75" customHeight="1" x14ac:dyDescent="0.2">
      <c r="A22" s="374">
        <v>1</v>
      </c>
      <c r="B22" s="408" t="s">
        <v>621</v>
      </c>
      <c r="C22" s="409">
        <v>63488</v>
      </c>
      <c r="D22" s="409">
        <v>64952</v>
      </c>
      <c r="E22" s="409">
        <f>+D22-C22</f>
        <v>1464</v>
      </c>
      <c r="F22" s="410">
        <f>IF(C22=0,0,+E22/C22)</f>
        <v>2.3059475806451613E-2</v>
      </c>
    </row>
    <row r="23" spans="1:6" ht="15.75" customHeight="1" x14ac:dyDescent="0.25">
      <c r="A23" s="374"/>
      <c r="B23" s="399" t="s">
        <v>626</v>
      </c>
      <c r="C23" s="401">
        <f>SUM(C21:C22)</f>
        <v>63488</v>
      </c>
      <c r="D23" s="401">
        <f>SUM(D21:D22)</f>
        <v>64952</v>
      </c>
      <c r="E23" s="401">
        <f>+D23-C23</f>
        <v>1464</v>
      </c>
      <c r="F23" s="402">
        <f>IF(C23=0,0,+E23/C23)</f>
        <v>2.3059475806451613E-2</v>
      </c>
    </row>
    <row r="24" spans="1:6" ht="15.75" customHeight="1" x14ac:dyDescent="0.25">
      <c r="A24" s="136"/>
      <c r="B24" s="399"/>
      <c r="C24" s="401"/>
      <c r="D24" s="401"/>
      <c r="E24" s="401"/>
      <c r="F24" s="402"/>
    </row>
    <row r="25" spans="1:6" ht="15.75" customHeight="1" x14ac:dyDescent="0.25">
      <c r="B25" s="810" t="s">
        <v>627</v>
      </c>
      <c r="C25" s="811"/>
      <c r="D25" s="811"/>
      <c r="E25" s="811"/>
      <c r="F25" s="812"/>
    </row>
    <row r="26" spans="1:6" ht="15.75" customHeight="1" x14ac:dyDescent="0.25">
      <c r="A26" s="392"/>
    </row>
    <row r="27" spans="1:6" ht="15.75" customHeight="1" x14ac:dyDescent="0.25">
      <c r="B27" s="810" t="s">
        <v>628</v>
      </c>
      <c r="C27" s="811"/>
      <c r="D27" s="811"/>
      <c r="E27" s="811"/>
      <c r="F27" s="812"/>
    </row>
    <row r="28" spans="1:6" ht="15.75" customHeight="1" x14ac:dyDescent="0.25">
      <c r="A28" s="392"/>
    </row>
    <row r="29" spans="1:6" ht="15.75" customHeight="1" x14ac:dyDescent="0.25">
      <c r="B29" s="810" t="s">
        <v>629</v>
      </c>
      <c r="C29" s="811"/>
      <c r="D29" s="811"/>
      <c r="E29" s="811"/>
      <c r="F29" s="812"/>
    </row>
    <row r="30" spans="1:6" ht="15.75" customHeight="1" x14ac:dyDescent="0.25">
      <c r="A30" s="392"/>
    </row>
  </sheetData>
  <mergeCells count="7">
    <mergeCell ref="B29:F29"/>
    <mergeCell ref="A1:F1"/>
    <mergeCell ref="A2:F2"/>
    <mergeCell ref="A3:F3"/>
    <mergeCell ref="A4:F4"/>
    <mergeCell ref="B25:F25"/>
    <mergeCell ref="B27:F27"/>
  </mergeCells>
  <printOptions gridLines="1"/>
  <pageMargins left="0.25" right="0.25" top="0.75" bottom="0.75" header="0.3" footer="0.3"/>
  <pageSetup scale="81" fitToHeight="0" orientation="portrait" horizontalDpi="1200" verticalDpi="1200" r:id="rId1"/>
  <headerFooter>
    <oddHeader>&amp;LOFFICE OF HEALTH CARE ACCESS&amp;CTWELVE MONTHS ACTUAL FILING&amp;RSAINT MARY`S HOSPITAL</oddHeader>
    <oddFooter>&amp;LREPORT 100&amp;CPAGE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abSelected="1" topLeftCell="A286" zoomScale="85" zoomScaleSheetLayoutView="80" workbookViewId="0">
      <selection activeCell="H56" sqref="H56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.28515625" style="421" bestFit="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630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631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632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633</v>
      </c>
      <c r="D7" s="426" t="s">
        <v>633</v>
      </c>
      <c r="E7" s="426" t="s">
        <v>634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635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636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637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638</v>
      </c>
      <c r="C15" s="448">
        <v>161789671</v>
      </c>
      <c r="D15" s="448">
        <v>164229086</v>
      </c>
      <c r="E15" s="448">
        <f t="shared" ref="E15:E24" si="0">D15-C15</f>
        <v>2439415</v>
      </c>
      <c r="F15" s="449">
        <f t="shared" ref="F15:F24" si="1">IF(C15=0,0,E15/C15)</f>
        <v>1.5077693062371084E-2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639</v>
      </c>
      <c r="C16" s="448">
        <v>67855120</v>
      </c>
      <c r="D16" s="448">
        <v>71770634</v>
      </c>
      <c r="E16" s="448">
        <f t="shared" si="0"/>
        <v>3915514</v>
      </c>
      <c r="F16" s="449">
        <f t="shared" si="1"/>
        <v>5.7704031766504869E-2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640</v>
      </c>
      <c r="C17" s="453">
        <f>IF(C15=0,0,C16/C15)</f>
        <v>0.4194032881122553</v>
      </c>
      <c r="D17" s="453">
        <f>IF(LN_IA1=0,0,LN_IA2/LN_IA1)</f>
        <v>0.43701536523195411</v>
      </c>
      <c r="E17" s="454">
        <f t="shared" si="0"/>
        <v>1.761207711969881E-2</v>
      </c>
      <c r="F17" s="449">
        <f t="shared" si="1"/>
        <v>4.1993178448769944E-2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5226</v>
      </c>
      <c r="D18" s="456">
        <v>5249</v>
      </c>
      <c r="E18" s="456">
        <f t="shared" si="0"/>
        <v>23</v>
      </c>
      <c r="F18" s="449">
        <f t="shared" si="1"/>
        <v>4.4010715652506695E-3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641</v>
      </c>
      <c r="C19" s="459">
        <v>1.5737000000000001</v>
      </c>
      <c r="D19" s="459">
        <v>1.58521</v>
      </c>
      <c r="E19" s="460">
        <f t="shared" si="0"/>
        <v>1.1509999999999909E-2</v>
      </c>
      <c r="F19" s="449">
        <f t="shared" si="1"/>
        <v>7.3139734383935364E-3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642</v>
      </c>
      <c r="C20" s="463">
        <f>C18*C19</f>
        <v>8224.1562000000013</v>
      </c>
      <c r="D20" s="463">
        <f>LN_IA4*LN_IA5</f>
        <v>8320.7672899999998</v>
      </c>
      <c r="E20" s="463">
        <f t="shared" si="0"/>
        <v>96.611089999998512</v>
      </c>
      <c r="F20" s="449">
        <f t="shared" si="1"/>
        <v>1.1747234324172795E-2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643</v>
      </c>
      <c r="C21" s="465">
        <f>IF(C20=0,0,C16/C20)</f>
        <v>8250.7090514647552</v>
      </c>
      <c r="D21" s="465">
        <f>IF(LN_IA6=0,0,LN_IA2/LN_IA6)</f>
        <v>8625.4826626692029</v>
      </c>
      <c r="E21" s="465">
        <f t="shared" si="0"/>
        <v>374.77361120444766</v>
      </c>
      <c r="F21" s="449">
        <f t="shared" si="1"/>
        <v>4.5423200462742508E-2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26125</v>
      </c>
      <c r="D22" s="456">
        <v>23783</v>
      </c>
      <c r="E22" s="456">
        <f t="shared" si="0"/>
        <v>-2342</v>
      </c>
      <c r="F22" s="449">
        <f t="shared" si="1"/>
        <v>-8.9645933014354071E-2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644</v>
      </c>
      <c r="C23" s="465">
        <f>IF(C22=0,0,C16/C22)</f>
        <v>2597.3251674641147</v>
      </c>
      <c r="D23" s="465">
        <f>IF(LN_IA8=0,0,LN_IA2/LN_IA8)</f>
        <v>3017.7283774124376</v>
      </c>
      <c r="E23" s="465">
        <f t="shared" si="0"/>
        <v>420.40320994832291</v>
      </c>
      <c r="F23" s="449">
        <f t="shared" si="1"/>
        <v>0.16186006096371117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645</v>
      </c>
      <c r="C24" s="466">
        <f>IF(C18=0,0,C22/C18)</f>
        <v>4.9990432453119018</v>
      </c>
      <c r="D24" s="466">
        <f>IF(LN_IA4=0,0,LN_IA8/LN_IA4)</f>
        <v>4.5309582777671942</v>
      </c>
      <c r="E24" s="466">
        <f t="shared" si="0"/>
        <v>-0.46808496754470763</v>
      </c>
      <c r="F24" s="449">
        <f t="shared" si="1"/>
        <v>-9.3634910636885824E-2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646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647</v>
      </c>
      <c r="C27" s="448">
        <v>132731513</v>
      </c>
      <c r="D27" s="448">
        <v>159777589</v>
      </c>
      <c r="E27" s="448">
        <f t="shared" ref="E27:E32" si="2">D27-C27</f>
        <v>27046076</v>
      </c>
      <c r="F27" s="449">
        <f t="shared" ref="F27:F32" si="3">IF(C27=0,0,E27/C27)</f>
        <v>0.20376529573651436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648</v>
      </c>
      <c r="C28" s="448">
        <v>29299189</v>
      </c>
      <c r="D28" s="448">
        <v>33888523</v>
      </c>
      <c r="E28" s="448">
        <f t="shared" si="2"/>
        <v>4589334</v>
      </c>
      <c r="F28" s="449">
        <f t="shared" si="3"/>
        <v>0.15663689530792133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649</v>
      </c>
      <c r="C29" s="453">
        <f>IF(C27=0,0,C28/C27)</f>
        <v>0.22074026233694782</v>
      </c>
      <c r="D29" s="453">
        <f>IF(LN_IA11=0,0,LN_IA12/LN_IA11)</f>
        <v>0.2120980996903139</v>
      </c>
      <c r="E29" s="454">
        <f t="shared" si="2"/>
        <v>-8.6421626466339219E-3</v>
      </c>
      <c r="F29" s="449">
        <f t="shared" si="3"/>
        <v>-3.9150821672224605E-2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650</v>
      </c>
      <c r="C30" s="453">
        <f>IF(C15=0,0,C27/C15)</f>
        <v>0.82039546888008696</v>
      </c>
      <c r="D30" s="453">
        <f>IF(LN_IA1=0,0,LN_IA11/LN_IA1)</f>
        <v>0.97289458823390151</v>
      </c>
      <c r="E30" s="454">
        <f t="shared" si="2"/>
        <v>0.15249911935381455</v>
      </c>
      <c r="F30" s="449">
        <f t="shared" si="3"/>
        <v>0.18588488739703726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651</v>
      </c>
      <c r="C31" s="463">
        <f>C30*C18</f>
        <v>4287.3867203673344</v>
      </c>
      <c r="D31" s="463">
        <f>LN_IA14*LN_IA4</f>
        <v>5106.7236936397494</v>
      </c>
      <c r="E31" s="463">
        <f t="shared" si="2"/>
        <v>819.33697327241498</v>
      </c>
      <c r="F31" s="449">
        <f t="shared" si="3"/>
        <v>0.19110405165462094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652</v>
      </c>
      <c r="C32" s="465">
        <f>IF(C31=0,0,C28/C31)</f>
        <v>6833.8106429292911</v>
      </c>
      <c r="D32" s="465">
        <f>IF(LN_IA15=0,0,LN_IA12/LN_IA15)</f>
        <v>6636.059640784365</v>
      </c>
      <c r="E32" s="465">
        <f t="shared" si="2"/>
        <v>-197.75100214492613</v>
      </c>
      <c r="F32" s="449">
        <f t="shared" si="3"/>
        <v>-2.8937149780339948E-2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653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654</v>
      </c>
      <c r="C35" s="448">
        <f>C15+C27</f>
        <v>294521184</v>
      </c>
      <c r="D35" s="448">
        <f>LN_IA1+LN_IA11</f>
        <v>324006675</v>
      </c>
      <c r="E35" s="448">
        <f>D35-C35</f>
        <v>29485491</v>
      </c>
      <c r="F35" s="449">
        <f>IF(C35=0,0,E35/C35)</f>
        <v>0.10011331137389425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655</v>
      </c>
      <c r="C36" s="448">
        <f>C16+C28</f>
        <v>97154309</v>
      </c>
      <c r="D36" s="448">
        <f>LN_IA2+LN_IA12</f>
        <v>105659157</v>
      </c>
      <c r="E36" s="448">
        <f>D36-C36</f>
        <v>8504848</v>
      </c>
      <c r="F36" s="449">
        <f>IF(C36=0,0,E36/C36)</f>
        <v>8.7539586123761115E-2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656</v>
      </c>
      <c r="C37" s="448">
        <f>C35-C36</f>
        <v>197366875</v>
      </c>
      <c r="D37" s="448">
        <f>LN_IA17-LN_IA18</f>
        <v>218347518</v>
      </c>
      <c r="E37" s="448">
        <f>D37-C37</f>
        <v>20980643</v>
      </c>
      <c r="F37" s="449">
        <f>IF(C37=0,0,E37/C37)</f>
        <v>0.10630275723826503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657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658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638</v>
      </c>
      <c r="C42" s="448">
        <v>76994872</v>
      </c>
      <c r="D42" s="448">
        <v>77548052</v>
      </c>
      <c r="E42" s="448">
        <f t="shared" ref="E42:E53" si="4">D42-C42</f>
        <v>553180</v>
      </c>
      <c r="F42" s="449">
        <f t="shared" ref="F42:F53" si="5">IF(C42=0,0,E42/C42)</f>
        <v>7.1846343221403106E-3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639</v>
      </c>
      <c r="C43" s="448">
        <v>38963893</v>
      </c>
      <c r="D43" s="448">
        <v>38500378</v>
      </c>
      <c r="E43" s="448">
        <f t="shared" si="4"/>
        <v>-463515</v>
      </c>
      <c r="F43" s="449">
        <f t="shared" si="5"/>
        <v>-1.1896013573387033E-2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640</v>
      </c>
      <c r="C44" s="453">
        <f>IF(C42=0,0,C43/C42)</f>
        <v>0.50605828658303376</v>
      </c>
      <c r="D44" s="453">
        <f>IF(LN_IB1=0,0,LN_IB2/LN_IB1)</f>
        <v>0.49647124598307124</v>
      </c>
      <c r="E44" s="454">
        <f t="shared" si="4"/>
        <v>-9.5870405999625152E-3</v>
      </c>
      <c r="F44" s="449">
        <f t="shared" si="5"/>
        <v>-1.8944538315329964E-2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2873</v>
      </c>
      <c r="D45" s="456">
        <v>2711</v>
      </c>
      <c r="E45" s="456">
        <f t="shared" si="4"/>
        <v>-162</v>
      </c>
      <c r="F45" s="449">
        <f t="shared" si="5"/>
        <v>-5.6387051862164986E-2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641</v>
      </c>
      <c r="C46" s="459">
        <v>1.302</v>
      </c>
      <c r="D46" s="459">
        <v>1.3515999999999999</v>
      </c>
      <c r="E46" s="460">
        <f t="shared" si="4"/>
        <v>4.9599999999999866E-2</v>
      </c>
      <c r="F46" s="449">
        <f t="shared" si="5"/>
        <v>3.8095238095237995E-2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642</v>
      </c>
      <c r="C47" s="463">
        <f>C45*C46</f>
        <v>3740.6460000000002</v>
      </c>
      <c r="D47" s="463">
        <f>LN_IB4*LN_IB5</f>
        <v>3664.1875999999997</v>
      </c>
      <c r="E47" s="463">
        <f t="shared" si="4"/>
        <v>-76.458400000000438</v>
      </c>
      <c r="F47" s="449">
        <f t="shared" si="5"/>
        <v>-2.043989193310472E-2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643</v>
      </c>
      <c r="C48" s="465">
        <f>IF(C47=0,0,C43/C47)</f>
        <v>10416.354020134489</v>
      </c>
      <c r="D48" s="465">
        <f>IF(LN_IB6=0,0,LN_IB2/LN_IB6)</f>
        <v>10507.207109155657</v>
      </c>
      <c r="E48" s="465">
        <f t="shared" si="4"/>
        <v>90.853089021167762</v>
      </c>
      <c r="F48" s="449">
        <f t="shared" si="5"/>
        <v>8.7221583334774876E-3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659</v>
      </c>
      <c r="C49" s="465">
        <f>C21-C48</f>
        <v>-2165.6449686697342</v>
      </c>
      <c r="D49" s="465">
        <f>LN_IA7-LN_IB7</f>
        <v>-1881.7244464864543</v>
      </c>
      <c r="E49" s="465">
        <f t="shared" si="4"/>
        <v>283.9205221832799</v>
      </c>
      <c r="F49" s="449">
        <f t="shared" si="5"/>
        <v>-0.13110206256830753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660</v>
      </c>
      <c r="C50" s="479">
        <f>C49*C47</f>
        <v>-8100911.1894745668</v>
      </c>
      <c r="D50" s="479">
        <f>LN_IB8*LN_IB6</f>
        <v>-6894991.3834325289</v>
      </c>
      <c r="E50" s="479">
        <f t="shared" si="4"/>
        <v>1205919.8060420379</v>
      </c>
      <c r="F50" s="449">
        <f t="shared" si="5"/>
        <v>-0.14886224251030891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10321</v>
      </c>
      <c r="D51" s="456">
        <v>9266</v>
      </c>
      <c r="E51" s="456">
        <f t="shared" si="4"/>
        <v>-1055</v>
      </c>
      <c r="F51" s="449">
        <f t="shared" si="5"/>
        <v>-0.10221877725026644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644</v>
      </c>
      <c r="C52" s="465">
        <f>IF(C51=0,0,C43/C51)</f>
        <v>3775.2052126731905</v>
      </c>
      <c r="D52" s="465">
        <f>IF(LN_IB10=0,0,LN_IB2/LN_IB10)</f>
        <v>4155.0159723721135</v>
      </c>
      <c r="E52" s="465">
        <f t="shared" si="4"/>
        <v>379.81075969892299</v>
      </c>
      <c r="F52" s="449">
        <f t="shared" si="5"/>
        <v>0.10060665269901507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645</v>
      </c>
      <c r="C53" s="466">
        <f>IF(C45=0,0,C51/C45)</f>
        <v>3.5924121127741038</v>
      </c>
      <c r="D53" s="466">
        <f>IF(LN_IB4=0,0,LN_IB10/LN_IB4)</f>
        <v>3.4179269642198449</v>
      </c>
      <c r="E53" s="466">
        <f t="shared" si="4"/>
        <v>-0.1744851485542589</v>
      </c>
      <c r="F53" s="449">
        <f t="shared" si="5"/>
        <v>-4.857047105865573E-2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661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647</v>
      </c>
      <c r="C56" s="448">
        <v>167056026</v>
      </c>
      <c r="D56" s="448">
        <v>186264194</v>
      </c>
      <c r="E56" s="448">
        <f t="shared" ref="E56:E63" si="6">D56-C56</f>
        <v>19208168</v>
      </c>
      <c r="F56" s="449">
        <f t="shared" ref="F56:F63" si="7">IF(C56=0,0,E56/C56)</f>
        <v>0.11498039585833318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648</v>
      </c>
      <c r="C57" s="448">
        <v>56247245</v>
      </c>
      <c r="D57" s="448">
        <v>62352992</v>
      </c>
      <c r="E57" s="448">
        <f t="shared" si="6"/>
        <v>6105747</v>
      </c>
      <c r="F57" s="449">
        <f t="shared" si="7"/>
        <v>0.10855192996563653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649</v>
      </c>
      <c r="C58" s="453">
        <f>IF(C56=0,0,C57/C56)</f>
        <v>0.33669689353199389</v>
      </c>
      <c r="D58" s="453">
        <f>IF(LN_IB13=0,0,LN_IB14/LN_IB13)</f>
        <v>0.33475565357451365</v>
      </c>
      <c r="E58" s="454">
        <f t="shared" si="6"/>
        <v>-1.9412399574802452E-3</v>
      </c>
      <c r="F58" s="449">
        <f t="shared" si="7"/>
        <v>-5.7655416333557089E-3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650</v>
      </c>
      <c r="C59" s="453">
        <f>IF(C42=0,0,C56/C42)</f>
        <v>2.1697032758233563</v>
      </c>
      <c r="D59" s="453">
        <f>IF(LN_IB1=0,0,LN_IB13/LN_IB1)</f>
        <v>2.4019197026380494</v>
      </c>
      <c r="E59" s="454">
        <f t="shared" si="6"/>
        <v>0.23221642681469312</v>
      </c>
      <c r="F59" s="449">
        <f t="shared" si="7"/>
        <v>0.10702681302196583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651</v>
      </c>
      <c r="C60" s="463">
        <f>C59*C45</f>
        <v>6233.5575114405028</v>
      </c>
      <c r="D60" s="463">
        <f>LN_IB16*LN_IB4</f>
        <v>6511.6043138517516</v>
      </c>
      <c r="E60" s="463">
        <f t="shared" si="6"/>
        <v>278.04680241124879</v>
      </c>
      <c r="F60" s="449">
        <f t="shared" si="7"/>
        <v>4.4604834703288944E-2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652</v>
      </c>
      <c r="C61" s="465">
        <f>IF(C60=0,0,C57/C60)</f>
        <v>9023.2976750064372</v>
      </c>
      <c r="D61" s="465">
        <f>IF(LN_IB17=0,0,LN_IB14/LN_IB17)</f>
        <v>9575.6727520067761</v>
      </c>
      <c r="E61" s="465">
        <f t="shared" si="6"/>
        <v>552.37507700033893</v>
      </c>
      <c r="F61" s="449">
        <f t="shared" si="7"/>
        <v>6.1216541545599058E-2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662</v>
      </c>
      <c r="C62" s="465">
        <f>C32-C61</f>
        <v>-2189.4870320771461</v>
      </c>
      <c r="D62" s="465">
        <f>LN_IA16-LN_IB18</f>
        <v>-2939.6131112224111</v>
      </c>
      <c r="E62" s="465">
        <f t="shared" si="6"/>
        <v>-750.12607914526507</v>
      </c>
      <c r="F62" s="449">
        <f t="shared" si="7"/>
        <v>0.34260357250603463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663</v>
      </c>
      <c r="C63" s="448">
        <f>C62*C60</f>
        <v>-13648293.335006068</v>
      </c>
      <c r="D63" s="448">
        <f>LN_IB19*LN_IB17</f>
        <v>-19141597.416091021</v>
      </c>
      <c r="E63" s="448">
        <f t="shared" si="6"/>
        <v>-5493304.0810849536</v>
      </c>
      <c r="F63" s="449">
        <f t="shared" si="7"/>
        <v>0.40249018292971145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664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654</v>
      </c>
      <c r="C66" s="448">
        <f>C42+C56</f>
        <v>244050898</v>
      </c>
      <c r="D66" s="448">
        <f>LN_IB1+LN_IB13</f>
        <v>263812246</v>
      </c>
      <c r="E66" s="448">
        <f>D66-C66</f>
        <v>19761348</v>
      </c>
      <c r="F66" s="449">
        <f>IF(C66=0,0,E66/C66)</f>
        <v>8.0972240470920123E-2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655</v>
      </c>
      <c r="C67" s="448">
        <f>C43+C57</f>
        <v>95211138</v>
      </c>
      <c r="D67" s="448">
        <f>LN_IB2+LN_IB14</f>
        <v>100853370</v>
      </c>
      <c r="E67" s="448">
        <f>D67-C67</f>
        <v>5642232</v>
      </c>
      <c r="F67" s="449">
        <f>IF(C67=0,0,E67/C67)</f>
        <v>5.9260209661604925E-2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656</v>
      </c>
      <c r="C68" s="448">
        <f>C66-C67</f>
        <v>148839760</v>
      </c>
      <c r="D68" s="448">
        <f>LN_IB21-LN_IB22</f>
        <v>162958876</v>
      </c>
      <c r="E68" s="448">
        <f>D68-C68</f>
        <v>14119116</v>
      </c>
      <c r="F68" s="449">
        <f>IF(C68=0,0,E68/C68)</f>
        <v>9.4861184941443064E-2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665</v>
      </c>
      <c r="C70" s="441">
        <f>C50+C63</f>
        <v>-21749204.524480633</v>
      </c>
      <c r="D70" s="441">
        <f>LN_IB9+LN_IB20</f>
        <v>-26036588.799523551</v>
      </c>
      <c r="E70" s="448">
        <f>D70-C70</f>
        <v>-4287384.2750429176</v>
      </c>
      <c r="F70" s="449">
        <f>IF(C70=0,0,E70/C70)</f>
        <v>0.19712832578391964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666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667</v>
      </c>
      <c r="C73" s="488">
        <v>232093405</v>
      </c>
      <c r="D73" s="488">
        <v>249475625</v>
      </c>
      <c r="E73" s="488">
        <f>D73-C73</f>
        <v>17382220</v>
      </c>
      <c r="F73" s="489">
        <f>IF(C73=0,0,E73/C73)</f>
        <v>7.4893209481760162E-2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668</v>
      </c>
      <c r="C74" s="488">
        <v>94607827</v>
      </c>
      <c r="D74" s="488">
        <v>100301914</v>
      </c>
      <c r="E74" s="488">
        <f>D74-C74</f>
        <v>5694087</v>
      </c>
      <c r="F74" s="489">
        <f>IF(C74=0,0,E74/C74)</f>
        <v>6.0186214825545037E-2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669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670</v>
      </c>
      <c r="C76" s="441">
        <f>C73-C74</f>
        <v>137485578</v>
      </c>
      <c r="D76" s="441">
        <f>LN_IB32-LN_IB33</f>
        <v>149173711</v>
      </c>
      <c r="E76" s="488">
        <f>D76-C76</f>
        <v>11688133</v>
      </c>
      <c r="F76" s="489">
        <f>IF(E76=0,0,E76/C76)</f>
        <v>8.5013520472670953E-2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671</v>
      </c>
      <c r="C77" s="453">
        <f>IF(C73=0,0,C76/C73)</f>
        <v>0.59237175653483132</v>
      </c>
      <c r="D77" s="453">
        <f>IF(LN_IB32=0,0,LN_IB34/LN_IB32)</f>
        <v>0.59794904211583799</v>
      </c>
      <c r="E77" s="493">
        <f>D77-C77</f>
        <v>5.5772855810066746E-3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672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673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638</v>
      </c>
      <c r="C83" s="448">
        <v>1331888</v>
      </c>
      <c r="D83" s="448">
        <v>1753618</v>
      </c>
      <c r="E83" s="448">
        <f t="shared" ref="E83:E95" si="8">D83-C83</f>
        <v>421730</v>
      </c>
      <c r="F83" s="449">
        <f t="shared" ref="F83:F95" si="9">IF(C83=0,0,E83/C83)</f>
        <v>0.31664073856059971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639</v>
      </c>
      <c r="C84" s="448">
        <v>91946</v>
      </c>
      <c r="D84" s="448">
        <v>24237</v>
      </c>
      <c r="E84" s="448">
        <f t="shared" si="8"/>
        <v>-67709</v>
      </c>
      <c r="F84" s="449">
        <f t="shared" si="9"/>
        <v>-0.73639962586735697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640</v>
      </c>
      <c r="C85" s="453">
        <f>IF(C83=0,0,C84/C83)</f>
        <v>6.903433321720745E-2</v>
      </c>
      <c r="D85" s="453">
        <f>IF(LN_IC1=0,0,LN_IC2/LN_IC1)</f>
        <v>1.3821140065852427E-2</v>
      </c>
      <c r="E85" s="454">
        <f t="shared" si="8"/>
        <v>-5.5213193151355019E-2</v>
      </c>
      <c r="F85" s="449">
        <f t="shared" si="9"/>
        <v>-0.79979324168503185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78</v>
      </c>
      <c r="D86" s="456">
        <v>97</v>
      </c>
      <c r="E86" s="456">
        <f t="shared" si="8"/>
        <v>19</v>
      </c>
      <c r="F86" s="449">
        <f t="shared" si="9"/>
        <v>0.24358974358974358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641</v>
      </c>
      <c r="C87" s="459">
        <v>0.96269000000000005</v>
      </c>
      <c r="D87" s="459">
        <v>1.08541</v>
      </c>
      <c r="E87" s="460">
        <f t="shared" si="8"/>
        <v>0.12271999999999994</v>
      </c>
      <c r="F87" s="449">
        <f t="shared" si="9"/>
        <v>0.12747613458122545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642</v>
      </c>
      <c r="C88" s="463">
        <f>C86*C87</f>
        <v>75.089820000000003</v>
      </c>
      <c r="D88" s="463">
        <f>LN_IC4*LN_IC5</f>
        <v>105.28476999999999</v>
      </c>
      <c r="E88" s="463">
        <f t="shared" si="8"/>
        <v>30.194949999999992</v>
      </c>
      <c r="F88" s="449">
        <f t="shared" si="9"/>
        <v>0.40211775710742137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643</v>
      </c>
      <c r="C89" s="465">
        <f>IF(C88=0,0,C84/C88)</f>
        <v>1224.4802291442434</v>
      </c>
      <c r="D89" s="465">
        <f>IF(LN_IC6=0,0,LN_IC2/LN_IC6)</f>
        <v>230.20423561736422</v>
      </c>
      <c r="E89" s="465">
        <f t="shared" si="8"/>
        <v>-994.27599352687912</v>
      </c>
      <c r="F89" s="449">
        <f t="shared" si="9"/>
        <v>-0.81199840541464041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674</v>
      </c>
      <c r="C90" s="465">
        <f>C48-C89</f>
        <v>9191.8737909902466</v>
      </c>
      <c r="D90" s="465">
        <f>LN_IB7-LN_IC7</f>
        <v>10277.002873538293</v>
      </c>
      <c r="E90" s="465">
        <f t="shared" si="8"/>
        <v>1085.1290825480464</v>
      </c>
      <c r="F90" s="449">
        <f t="shared" si="9"/>
        <v>0.11805308767529811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675</v>
      </c>
      <c r="C91" s="465">
        <f>C21-C89</f>
        <v>7026.2288223205123</v>
      </c>
      <c r="D91" s="465">
        <f>LN_IA7-LN_IC7</f>
        <v>8395.2784270518387</v>
      </c>
      <c r="E91" s="465">
        <f t="shared" si="8"/>
        <v>1369.0496047313263</v>
      </c>
      <c r="F91" s="449">
        <f t="shared" si="9"/>
        <v>0.19484842286693108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660</v>
      </c>
      <c r="C92" s="441">
        <f>C91*C88</f>
        <v>527598.25754685933</v>
      </c>
      <c r="D92" s="441">
        <f>LN_IC9*LN_IC6</f>
        <v>883894.95827811456</v>
      </c>
      <c r="E92" s="441">
        <f t="shared" si="8"/>
        <v>356296.70073125523</v>
      </c>
      <c r="F92" s="449">
        <f t="shared" si="9"/>
        <v>0.67531819075352095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222</v>
      </c>
      <c r="D93" s="456">
        <v>246</v>
      </c>
      <c r="E93" s="456">
        <f t="shared" si="8"/>
        <v>24</v>
      </c>
      <c r="F93" s="449">
        <f t="shared" si="9"/>
        <v>0.10810810810810811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644</v>
      </c>
      <c r="C94" s="499">
        <f>IF(C93=0,0,C84/C93)</f>
        <v>414.17117117117118</v>
      </c>
      <c r="D94" s="499">
        <f>IF(LN_IC11=0,0,LN_IC2/LN_IC11)</f>
        <v>98.524390243902445</v>
      </c>
      <c r="E94" s="499">
        <f t="shared" si="8"/>
        <v>-315.64678092726876</v>
      </c>
      <c r="F94" s="449">
        <f t="shared" si="9"/>
        <v>-0.76211673553883441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645</v>
      </c>
      <c r="C95" s="466">
        <f>IF(C86=0,0,C93/C86)</f>
        <v>2.8461538461538463</v>
      </c>
      <c r="D95" s="466">
        <f>IF(LN_IC4=0,0,LN_IC11/LN_IC4)</f>
        <v>2.536082474226804</v>
      </c>
      <c r="E95" s="466">
        <f t="shared" si="8"/>
        <v>-0.31007137192704226</v>
      </c>
      <c r="F95" s="449">
        <f t="shared" si="9"/>
        <v>-0.10894399554193376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676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647</v>
      </c>
      <c r="C98" s="448">
        <v>10625605</v>
      </c>
      <c r="D98" s="448">
        <v>12583003</v>
      </c>
      <c r="E98" s="448">
        <f t="shared" ref="E98:E106" si="10">D98-C98</f>
        <v>1957398</v>
      </c>
      <c r="F98" s="449">
        <f t="shared" ref="F98:F106" si="11">IF(C98=0,0,E98/C98)</f>
        <v>0.1842152046871684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648</v>
      </c>
      <c r="C99" s="448">
        <v>511365</v>
      </c>
      <c r="D99" s="448">
        <v>527219</v>
      </c>
      <c r="E99" s="448">
        <f t="shared" si="10"/>
        <v>15854</v>
      </c>
      <c r="F99" s="449">
        <f t="shared" si="11"/>
        <v>3.100329510232417E-2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649</v>
      </c>
      <c r="C100" s="453">
        <f>IF(C98=0,0,C99/C98)</f>
        <v>4.8125730252536206E-2</v>
      </c>
      <c r="D100" s="453">
        <f>IF(LN_IC14=0,0,LN_IC15/LN_IC14)</f>
        <v>4.1899298601454679E-2</v>
      </c>
      <c r="E100" s="454">
        <f t="shared" si="10"/>
        <v>-6.2264316510815265E-3</v>
      </c>
      <c r="F100" s="449">
        <f t="shared" si="11"/>
        <v>-0.12937843474600361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650</v>
      </c>
      <c r="C101" s="453">
        <f>IF(C83=0,0,C98/C83)</f>
        <v>7.977851741287556</v>
      </c>
      <c r="D101" s="453">
        <f>IF(LN_IC1=0,0,LN_IC14/LN_IC1)</f>
        <v>7.1754526926616853</v>
      </c>
      <c r="E101" s="454">
        <f t="shared" si="10"/>
        <v>-0.80239904862587075</v>
      </c>
      <c r="F101" s="449">
        <f t="shared" si="11"/>
        <v>-0.10057833545254258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651</v>
      </c>
      <c r="C102" s="463">
        <f>C101*C86</f>
        <v>622.27243582042934</v>
      </c>
      <c r="D102" s="463">
        <f>LN_IC17*LN_IC4</f>
        <v>696.01891118818344</v>
      </c>
      <c r="E102" s="463">
        <f t="shared" si="10"/>
        <v>73.746475367754101</v>
      </c>
      <c r="F102" s="449">
        <f t="shared" si="11"/>
        <v>0.11851155719363295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652</v>
      </c>
      <c r="C103" s="465">
        <f>IF(C102=0,0,C99/C102)</f>
        <v>821.77028993064039</v>
      </c>
      <c r="D103" s="465">
        <f>IF(LN_IC18=0,0,LN_IC15/LN_IC18)</f>
        <v>757.4779815967604</v>
      </c>
      <c r="E103" s="465">
        <f t="shared" si="10"/>
        <v>-64.292308333879987</v>
      </c>
      <c r="F103" s="449">
        <f t="shared" si="11"/>
        <v>-7.8236350378773648E-2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677</v>
      </c>
      <c r="C104" s="465">
        <f>C61-C103</f>
        <v>8201.5273850757967</v>
      </c>
      <c r="D104" s="465">
        <f>LN_IB18-LN_IC19</f>
        <v>8818.1947704100166</v>
      </c>
      <c r="E104" s="465">
        <f t="shared" si="10"/>
        <v>616.66738533421994</v>
      </c>
      <c r="F104" s="449">
        <f t="shared" si="11"/>
        <v>7.518933442280043E-2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678</v>
      </c>
      <c r="C105" s="465">
        <f>C32-C103</f>
        <v>6012.0403529986506</v>
      </c>
      <c r="D105" s="465">
        <f>LN_IA16-LN_IC19</f>
        <v>5878.5816591876046</v>
      </c>
      <c r="E105" s="465">
        <f t="shared" si="10"/>
        <v>-133.45869381104603</v>
      </c>
      <c r="F105" s="449">
        <f t="shared" si="11"/>
        <v>-2.2198569200301572E-2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663</v>
      </c>
      <c r="C106" s="448">
        <f>C105*C102</f>
        <v>3741126.9947111839</v>
      </c>
      <c r="D106" s="448">
        <f>LN_IC21*LN_IC18</f>
        <v>4091604.0057585812</v>
      </c>
      <c r="E106" s="448">
        <f t="shared" si="10"/>
        <v>350477.01104739727</v>
      </c>
      <c r="F106" s="449">
        <f t="shared" si="11"/>
        <v>9.3682200989933032E-2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679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654</v>
      </c>
      <c r="C109" s="448">
        <f>C83+C98</f>
        <v>11957493</v>
      </c>
      <c r="D109" s="448">
        <f>LN_IC1+LN_IC14</f>
        <v>14336621</v>
      </c>
      <c r="E109" s="448">
        <f>D109-C109</f>
        <v>2379128</v>
      </c>
      <c r="F109" s="449">
        <f>IF(C109=0,0,E109/C109)</f>
        <v>0.19896545203915236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655</v>
      </c>
      <c r="C110" s="448">
        <f>C84+C99</f>
        <v>603311</v>
      </c>
      <c r="D110" s="448">
        <f>LN_IC2+LN_IC15</f>
        <v>551456</v>
      </c>
      <c r="E110" s="448">
        <f>D110-C110</f>
        <v>-51855</v>
      </c>
      <c r="F110" s="449">
        <f>IF(C110=0,0,E110/C110)</f>
        <v>-8.5950695412482125E-2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656</v>
      </c>
      <c r="C111" s="448">
        <f>C109-C110</f>
        <v>11354182</v>
      </c>
      <c r="D111" s="448">
        <f>LN_IC23-LN_IC24</f>
        <v>13785165</v>
      </c>
      <c r="E111" s="448">
        <f>D111-C111</f>
        <v>2430983</v>
      </c>
      <c r="F111" s="449">
        <f>IF(C111=0,0,E111/C111)</f>
        <v>0.21410463563117096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665</v>
      </c>
      <c r="C113" s="448">
        <f>C92+C106</f>
        <v>4268725.2522580437</v>
      </c>
      <c r="D113" s="448">
        <f>LN_IC10+LN_IC22</f>
        <v>4975498.9640366957</v>
      </c>
      <c r="E113" s="448">
        <f>D113-C113</f>
        <v>706773.71177865192</v>
      </c>
      <c r="F113" s="449">
        <f>IF(C113=0,0,E113/C113)</f>
        <v>0.16557020422075353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680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681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638</v>
      </c>
      <c r="C118" s="448">
        <v>67216873</v>
      </c>
      <c r="D118" s="448">
        <v>72868103</v>
      </c>
      <c r="E118" s="448">
        <f t="shared" ref="E118:E130" si="12">D118-C118</f>
        <v>5651230</v>
      </c>
      <c r="F118" s="449">
        <f t="shared" ref="F118:F130" si="13">IF(C118=0,0,E118/C118)</f>
        <v>8.4074574549161188E-2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639</v>
      </c>
      <c r="C119" s="448">
        <v>21137470</v>
      </c>
      <c r="D119" s="448">
        <v>21746068</v>
      </c>
      <c r="E119" s="448">
        <f t="shared" si="12"/>
        <v>608598</v>
      </c>
      <c r="F119" s="449">
        <f t="shared" si="13"/>
        <v>2.8792376760321835E-2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640</v>
      </c>
      <c r="C120" s="453">
        <f>IF(C118=0,0,C119/C118)</f>
        <v>0.31446672623405136</v>
      </c>
      <c r="D120" s="453">
        <f>IF(LN_ID1=0,0,LN_1D2/LN_ID1)</f>
        <v>0.29843054923496498</v>
      </c>
      <c r="E120" s="454">
        <f t="shared" si="12"/>
        <v>-1.6036176999086382E-2</v>
      </c>
      <c r="F120" s="449">
        <f t="shared" si="13"/>
        <v>-5.0994829218118848E-2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3721</v>
      </c>
      <c r="D121" s="456">
        <v>3675</v>
      </c>
      <c r="E121" s="456">
        <f t="shared" si="12"/>
        <v>-46</v>
      </c>
      <c r="F121" s="449">
        <f t="shared" si="13"/>
        <v>-1.2362268207471111E-2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641</v>
      </c>
      <c r="C122" s="459">
        <v>1.05047</v>
      </c>
      <c r="D122" s="459">
        <v>1.15879</v>
      </c>
      <c r="E122" s="460">
        <f t="shared" si="12"/>
        <v>0.10831999999999997</v>
      </c>
      <c r="F122" s="449">
        <f t="shared" si="13"/>
        <v>0.10311574818890588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642</v>
      </c>
      <c r="C123" s="463">
        <f>C121*C122</f>
        <v>3908.7988700000001</v>
      </c>
      <c r="D123" s="463">
        <f>LN_ID4*LN_ID5</f>
        <v>4258.5532499999999</v>
      </c>
      <c r="E123" s="463">
        <f t="shared" si="12"/>
        <v>349.75437999999986</v>
      </c>
      <c r="F123" s="449">
        <f t="shared" si="13"/>
        <v>8.9478735445909466E-2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643</v>
      </c>
      <c r="C124" s="465">
        <f>IF(C123=0,0,C119/C123)</f>
        <v>5407.6637614255142</v>
      </c>
      <c r="D124" s="465">
        <f>IF(LN_ID6=0,0,LN_1D2/LN_ID6)</f>
        <v>5106.4450115775826</v>
      </c>
      <c r="E124" s="465">
        <f t="shared" si="12"/>
        <v>-301.21874984793158</v>
      </c>
      <c r="F124" s="449">
        <f t="shared" si="13"/>
        <v>-5.5702196574538378E-2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682</v>
      </c>
      <c r="C125" s="465">
        <f>C48-C124</f>
        <v>5008.6902587089753</v>
      </c>
      <c r="D125" s="465">
        <f>LN_IB7-LN_ID7</f>
        <v>5400.7620975780746</v>
      </c>
      <c r="E125" s="465">
        <f t="shared" si="12"/>
        <v>392.07183886909934</v>
      </c>
      <c r="F125" s="449">
        <f t="shared" si="13"/>
        <v>7.8278316010333318E-2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683</v>
      </c>
      <c r="C126" s="465">
        <f>C21-C124</f>
        <v>2843.0452900392411</v>
      </c>
      <c r="D126" s="465">
        <f>LN_IA7-LN_ID7</f>
        <v>3519.0376510916203</v>
      </c>
      <c r="E126" s="465">
        <f t="shared" si="12"/>
        <v>675.99236105237924</v>
      </c>
      <c r="F126" s="449">
        <f t="shared" si="13"/>
        <v>0.2377705214267089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660</v>
      </c>
      <c r="C127" s="479">
        <f>C126*C123</f>
        <v>11112892.217064207</v>
      </c>
      <c r="D127" s="479">
        <f>LN_ID9*LN_ID6</f>
        <v>14986009.225928586</v>
      </c>
      <c r="E127" s="479">
        <f t="shared" si="12"/>
        <v>3873117.0088643786</v>
      </c>
      <c r="F127" s="449">
        <f t="shared" si="13"/>
        <v>0.3485246624561949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14042</v>
      </c>
      <c r="D128" s="456">
        <v>13454</v>
      </c>
      <c r="E128" s="456">
        <f t="shared" si="12"/>
        <v>-588</v>
      </c>
      <c r="F128" s="449">
        <f t="shared" si="13"/>
        <v>-4.1874376869391827E-2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644</v>
      </c>
      <c r="C129" s="465">
        <f>IF(C128=0,0,C119/C128)</f>
        <v>1505.3033755875231</v>
      </c>
      <c r="D129" s="465">
        <f>IF(LN_ID11=0,0,LN_1D2/LN_ID11)</f>
        <v>1616.3273375947674</v>
      </c>
      <c r="E129" s="465">
        <f t="shared" si="12"/>
        <v>111.02396200724434</v>
      </c>
      <c r="F129" s="449">
        <f t="shared" si="13"/>
        <v>7.3755206962125786E-2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645</v>
      </c>
      <c r="C130" s="466">
        <f>IF(C121=0,0,C128/C121)</f>
        <v>3.7737167428110725</v>
      </c>
      <c r="D130" s="466">
        <f>IF(LN_ID4=0,0,LN_ID11/LN_ID4)</f>
        <v>3.6609523809523807</v>
      </c>
      <c r="E130" s="466">
        <f t="shared" si="12"/>
        <v>-0.11276436185869176</v>
      </c>
      <c r="F130" s="449">
        <f t="shared" si="13"/>
        <v>-2.988151192680473E-2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684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647</v>
      </c>
      <c r="C133" s="448">
        <v>139462150</v>
      </c>
      <c r="D133" s="448">
        <v>155038353</v>
      </c>
      <c r="E133" s="448">
        <f t="shared" ref="E133:E141" si="14">D133-C133</f>
        <v>15576203</v>
      </c>
      <c r="F133" s="449">
        <f t="shared" ref="F133:F141" si="15">IF(C133=0,0,E133/C133)</f>
        <v>0.11168767296359622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648</v>
      </c>
      <c r="C134" s="448">
        <v>29023262</v>
      </c>
      <c r="D134" s="448">
        <v>29484033</v>
      </c>
      <c r="E134" s="448">
        <f t="shared" si="14"/>
        <v>460771</v>
      </c>
      <c r="F134" s="449">
        <f t="shared" si="15"/>
        <v>1.5875920494395152E-2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649</v>
      </c>
      <c r="C135" s="453">
        <f>IF(C133=0,0,C134/C133)</f>
        <v>0.20810852263499452</v>
      </c>
      <c r="D135" s="453">
        <f>IF(LN_ID14=0,0,LN_ID15/LN_ID14)</f>
        <v>0.19017251170102406</v>
      </c>
      <c r="E135" s="454">
        <f t="shared" si="14"/>
        <v>-1.7936010933970459E-2</v>
      </c>
      <c r="F135" s="449">
        <f t="shared" si="15"/>
        <v>-8.6185854893741032E-2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650</v>
      </c>
      <c r="C136" s="453">
        <f>IF(C118=0,0,C133/C118)</f>
        <v>2.0748086570465722</v>
      </c>
      <c r="D136" s="453">
        <f>IF(LN_ID1=0,0,LN_ID14/LN_ID1)</f>
        <v>2.1276573235342768</v>
      </c>
      <c r="E136" s="454">
        <f t="shared" si="14"/>
        <v>5.2848666487704588E-2</v>
      </c>
      <c r="F136" s="449">
        <f t="shared" si="15"/>
        <v>2.5471585684885792E-2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651</v>
      </c>
      <c r="C137" s="463">
        <f>C136*C121</f>
        <v>7720.3630128702953</v>
      </c>
      <c r="D137" s="463">
        <f>LN_ID17*LN_ID4</f>
        <v>7819.1406639884672</v>
      </c>
      <c r="E137" s="463">
        <f t="shared" si="14"/>
        <v>98.777651118171889</v>
      </c>
      <c r="F137" s="449">
        <f t="shared" si="15"/>
        <v>1.2794430903508526E-2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652</v>
      </c>
      <c r="C138" s="465">
        <f>IF(C137=0,0,C134/C137)</f>
        <v>3759.3131244756923</v>
      </c>
      <c r="D138" s="465">
        <f>IF(LN_ID18=0,0,LN_ID15/LN_ID18)</f>
        <v>3770.7510667752181</v>
      </c>
      <c r="E138" s="465">
        <f t="shared" si="14"/>
        <v>11.43794229952573</v>
      </c>
      <c r="F138" s="449">
        <f t="shared" si="15"/>
        <v>3.0425617448722013E-3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685</v>
      </c>
      <c r="C139" s="465">
        <f>C61-C138</f>
        <v>5263.9845505307449</v>
      </c>
      <c r="D139" s="465">
        <f>LN_IB18-LN_ID19</f>
        <v>5804.9216852315585</v>
      </c>
      <c r="E139" s="465">
        <f t="shared" si="14"/>
        <v>540.93713470081366</v>
      </c>
      <c r="F139" s="449">
        <f t="shared" si="15"/>
        <v>0.10276191533394095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686</v>
      </c>
      <c r="C140" s="465">
        <f>C32-C138</f>
        <v>3074.4975184535988</v>
      </c>
      <c r="D140" s="465">
        <f>LN_IA16-LN_ID19</f>
        <v>2865.3085740091469</v>
      </c>
      <c r="E140" s="465">
        <f t="shared" si="14"/>
        <v>-209.18894444445186</v>
      </c>
      <c r="F140" s="449">
        <f t="shared" si="15"/>
        <v>-6.8040043353057925E-2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663</v>
      </c>
      <c r="C141" s="441">
        <f>C140*C137</f>
        <v>23736236.924630672</v>
      </c>
      <c r="D141" s="441">
        <f>LN_ID21*LN_ID18</f>
        <v>22404250.785909731</v>
      </c>
      <c r="E141" s="441">
        <f t="shared" si="14"/>
        <v>-1331986.1387209408</v>
      </c>
      <c r="F141" s="449">
        <f t="shared" si="15"/>
        <v>-5.6116146082901726E-2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687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654</v>
      </c>
      <c r="C144" s="448">
        <f>C118+C133</f>
        <v>206679023</v>
      </c>
      <c r="D144" s="448">
        <f>LN_ID1+LN_ID14</f>
        <v>227906456</v>
      </c>
      <c r="E144" s="448">
        <f>D144-C144</f>
        <v>21227433</v>
      </c>
      <c r="F144" s="449">
        <f>IF(C144=0,0,E144/C144)</f>
        <v>0.10270724475023282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655</v>
      </c>
      <c r="C145" s="448">
        <f>C119+C134</f>
        <v>50160732</v>
      </c>
      <c r="D145" s="448">
        <f>LN_1D2+LN_ID15</f>
        <v>51230101</v>
      </c>
      <c r="E145" s="448">
        <f>D145-C145</f>
        <v>1069369</v>
      </c>
      <c r="F145" s="449">
        <f>IF(C145=0,0,E145/C145)</f>
        <v>2.131884757981602E-2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656</v>
      </c>
      <c r="C146" s="448">
        <f>C144-C145</f>
        <v>156518291</v>
      </c>
      <c r="D146" s="448">
        <f>LN_ID23-LN_ID24</f>
        <v>176676355</v>
      </c>
      <c r="E146" s="448">
        <f>D146-C146</f>
        <v>20158064</v>
      </c>
      <c r="F146" s="449">
        <f>IF(C146=0,0,E146/C146)</f>
        <v>0.12879046832935329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665</v>
      </c>
      <c r="C148" s="448">
        <f>C127+C141</f>
        <v>34849129.141694881</v>
      </c>
      <c r="D148" s="448">
        <f>LN_ID10+LN_ID22</f>
        <v>37390260.011838317</v>
      </c>
      <c r="E148" s="448">
        <f>D148-C148</f>
        <v>2541130.8701434359</v>
      </c>
      <c r="F148" s="503">
        <f>IF(C148=0,0,E148/C148)</f>
        <v>7.2918059438768765E-2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688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689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638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639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640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641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642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643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690</v>
      </c>
      <c r="C160" s="465">
        <f>C48-C159</f>
        <v>10416.354020134489</v>
      </c>
      <c r="D160" s="465">
        <f>LN_IB7-LN_IE7</f>
        <v>10507.207109155657</v>
      </c>
      <c r="E160" s="465">
        <f t="shared" si="16"/>
        <v>90.853089021167762</v>
      </c>
      <c r="F160" s="449">
        <f t="shared" si="17"/>
        <v>8.7221583334774876E-3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691</v>
      </c>
      <c r="C161" s="465">
        <f>C21-C159</f>
        <v>8250.7090514647552</v>
      </c>
      <c r="D161" s="465">
        <f>LN_IA7-LN_IE7</f>
        <v>8625.4826626692029</v>
      </c>
      <c r="E161" s="465">
        <f t="shared" si="16"/>
        <v>374.77361120444766</v>
      </c>
      <c r="F161" s="449">
        <f t="shared" si="17"/>
        <v>4.5423200462742508E-2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660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644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645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692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647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648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649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650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651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652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693</v>
      </c>
      <c r="C174" s="465">
        <f>C61-C173</f>
        <v>9023.2976750064372</v>
      </c>
      <c r="D174" s="465">
        <f>LN_IB18-LN_IE19</f>
        <v>9575.6727520067761</v>
      </c>
      <c r="E174" s="465">
        <f t="shared" si="18"/>
        <v>552.37507700033893</v>
      </c>
      <c r="F174" s="449">
        <f t="shared" si="19"/>
        <v>6.1216541545599058E-2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694</v>
      </c>
      <c r="C175" s="465">
        <f>C32-C173</f>
        <v>6833.8106429292911</v>
      </c>
      <c r="D175" s="465">
        <f>LN_IA16-LN_IE19</f>
        <v>6636.059640784365</v>
      </c>
      <c r="E175" s="465">
        <f t="shared" si="18"/>
        <v>-197.75100214492613</v>
      </c>
      <c r="F175" s="449">
        <f t="shared" si="19"/>
        <v>-2.8937149780339948E-2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663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695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654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655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656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696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697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698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638</v>
      </c>
      <c r="C188" s="448">
        <f>C118+C153</f>
        <v>67216873</v>
      </c>
      <c r="D188" s="448">
        <f>LN_ID1+LN_IE1</f>
        <v>72868103</v>
      </c>
      <c r="E188" s="448">
        <f t="shared" ref="E188:E200" si="20">D188-C188</f>
        <v>5651230</v>
      </c>
      <c r="F188" s="449">
        <f t="shared" ref="F188:F200" si="21">IF(C188=0,0,E188/C188)</f>
        <v>8.4074574549161188E-2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639</v>
      </c>
      <c r="C189" s="448">
        <f>C119+C154</f>
        <v>21137470</v>
      </c>
      <c r="D189" s="448">
        <f>LN_1D2+LN_IE2</f>
        <v>21746068</v>
      </c>
      <c r="E189" s="448">
        <f t="shared" si="20"/>
        <v>608598</v>
      </c>
      <c r="F189" s="449">
        <f t="shared" si="21"/>
        <v>2.8792376760321835E-2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640</v>
      </c>
      <c r="C190" s="453">
        <f>IF(C188=0,0,C189/C188)</f>
        <v>0.31446672623405136</v>
      </c>
      <c r="D190" s="453">
        <f>IF(LN_IF1=0,0,LN_IF2/LN_IF1)</f>
        <v>0.29843054923496498</v>
      </c>
      <c r="E190" s="454">
        <f t="shared" si="20"/>
        <v>-1.6036176999086382E-2</v>
      </c>
      <c r="F190" s="449">
        <f t="shared" si="21"/>
        <v>-5.0994829218118848E-2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3721</v>
      </c>
      <c r="D191" s="456">
        <f>LN_ID4+LN_IE4</f>
        <v>3675</v>
      </c>
      <c r="E191" s="456">
        <f t="shared" si="20"/>
        <v>-46</v>
      </c>
      <c r="F191" s="449">
        <f t="shared" si="21"/>
        <v>-1.2362268207471111E-2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641</v>
      </c>
      <c r="C192" s="459">
        <f>IF((C121+C156)=0,0,(C123+C158)/(C121+C156))</f>
        <v>1.05047</v>
      </c>
      <c r="D192" s="459">
        <f>IF((LN_ID4+LN_IE4)=0,0,(LN_ID6+LN_IE6)/(LN_ID4+LN_IE4))</f>
        <v>1.15879</v>
      </c>
      <c r="E192" s="460">
        <f t="shared" si="20"/>
        <v>0.10831999999999997</v>
      </c>
      <c r="F192" s="449">
        <f t="shared" si="21"/>
        <v>0.10311574818890588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642</v>
      </c>
      <c r="C193" s="463">
        <f>C123+C158</f>
        <v>3908.7988700000001</v>
      </c>
      <c r="D193" s="463">
        <f>LN_IF4*LN_IF5</f>
        <v>4258.5532499999999</v>
      </c>
      <c r="E193" s="463">
        <f t="shared" si="20"/>
        <v>349.75437999999986</v>
      </c>
      <c r="F193" s="449">
        <f t="shared" si="21"/>
        <v>8.9478735445909466E-2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643</v>
      </c>
      <c r="C194" s="465">
        <f>IF(C193=0,0,C189/C193)</f>
        <v>5407.6637614255142</v>
      </c>
      <c r="D194" s="465">
        <f>IF(LN_IF6=0,0,LN_IF2/LN_IF6)</f>
        <v>5106.4450115775826</v>
      </c>
      <c r="E194" s="465">
        <f t="shared" si="20"/>
        <v>-301.21874984793158</v>
      </c>
      <c r="F194" s="449">
        <f t="shared" si="21"/>
        <v>-5.5702196574538378E-2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699</v>
      </c>
      <c r="C195" s="465">
        <f>C48-C194</f>
        <v>5008.6902587089753</v>
      </c>
      <c r="D195" s="465">
        <f>LN_IB7-LN_IF7</f>
        <v>5400.7620975780746</v>
      </c>
      <c r="E195" s="465">
        <f t="shared" si="20"/>
        <v>392.07183886909934</v>
      </c>
      <c r="F195" s="449">
        <f t="shared" si="21"/>
        <v>7.8278316010333318E-2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700</v>
      </c>
      <c r="C196" s="465">
        <f>C21-C194</f>
        <v>2843.0452900392411</v>
      </c>
      <c r="D196" s="465">
        <f>LN_IA7-LN_IF7</f>
        <v>3519.0376510916203</v>
      </c>
      <c r="E196" s="465">
        <f t="shared" si="20"/>
        <v>675.99236105237924</v>
      </c>
      <c r="F196" s="449">
        <f t="shared" si="21"/>
        <v>0.2377705214267089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660</v>
      </c>
      <c r="C197" s="479">
        <f>C127+C162</f>
        <v>11112892.217064207</v>
      </c>
      <c r="D197" s="479">
        <f>LN_IF9*LN_IF6</f>
        <v>14986009.225928586</v>
      </c>
      <c r="E197" s="479">
        <f t="shared" si="20"/>
        <v>3873117.0088643786</v>
      </c>
      <c r="F197" s="449">
        <f t="shared" si="21"/>
        <v>0.3485246624561949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14042</v>
      </c>
      <c r="D198" s="456">
        <f>LN_ID11+LN_IE11</f>
        <v>13454</v>
      </c>
      <c r="E198" s="456">
        <f t="shared" si="20"/>
        <v>-588</v>
      </c>
      <c r="F198" s="449">
        <f t="shared" si="21"/>
        <v>-4.1874376869391827E-2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644</v>
      </c>
      <c r="C199" s="519">
        <f>IF(C198=0,0,C189/C198)</f>
        <v>1505.3033755875231</v>
      </c>
      <c r="D199" s="519">
        <f>IF(LN_IF11=0,0,LN_IF2/LN_IF11)</f>
        <v>1616.3273375947674</v>
      </c>
      <c r="E199" s="519">
        <f t="shared" si="20"/>
        <v>111.02396200724434</v>
      </c>
      <c r="F199" s="449">
        <f t="shared" si="21"/>
        <v>7.3755206962125786E-2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645</v>
      </c>
      <c r="C200" s="466">
        <f>IF(C191=0,0,C198/C191)</f>
        <v>3.7737167428110725</v>
      </c>
      <c r="D200" s="466">
        <f>IF(LN_IF4=0,0,LN_IF11/LN_IF4)</f>
        <v>3.6609523809523807</v>
      </c>
      <c r="E200" s="466">
        <f t="shared" si="20"/>
        <v>-0.11276436185869176</v>
      </c>
      <c r="F200" s="449">
        <f t="shared" si="21"/>
        <v>-2.988151192680473E-2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701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647</v>
      </c>
      <c r="C203" s="448">
        <f>C133+C168</f>
        <v>139462150</v>
      </c>
      <c r="D203" s="448">
        <f>LN_ID14+LN_IE14</f>
        <v>155038353</v>
      </c>
      <c r="E203" s="448">
        <f t="shared" ref="E203:E211" si="22">D203-C203</f>
        <v>15576203</v>
      </c>
      <c r="F203" s="449">
        <f t="shared" ref="F203:F211" si="23">IF(C203=0,0,E203/C203)</f>
        <v>0.11168767296359622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648</v>
      </c>
      <c r="C204" s="448">
        <f>C134+C169</f>
        <v>29023262</v>
      </c>
      <c r="D204" s="448">
        <f>LN_ID15+LN_IE15</f>
        <v>29484033</v>
      </c>
      <c r="E204" s="448">
        <f t="shared" si="22"/>
        <v>460771</v>
      </c>
      <c r="F204" s="449">
        <f t="shared" si="23"/>
        <v>1.5875920494395152E-2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649</v>
      </c>
      <c r="C205" s="453">
        <f>IF(C203=0,0,C204/C203)</f>
        <v>0.20810852263499452</v>
      </c>
      <c r="D205" s="453">
        <f>IF(LN_IF14=0,0,LN_IF15/LN_IF14)</f>
        <v>0.19017251170102406</v>
      </c>
      <c r="E205" s="454">
        <f t="shared" si="22"/>
        <v>-1.7936010933970459E-2</v>
      </c>
      <c r="F205" s="449">
        <f t="shared" si="23"/>
        <v>-8.6185854893741032E-2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650</v>
      </c>
      <c r="C206" s="453">
        <f>IF(C188=0,0,C203/C188)</f>
        <v>2.0748086570465722</v>
      </c>
      <c r="D206" s="453">
        <f>IF(LN_IF1=0,0,LN_IF14/LN_IF1)</f>
        <v>2.1276573235342768</v>
      </c>
      <c r="E206" s="454">
        <f t="shared" si="22"/>
        <v>5.2848666487704588E-2</v>
      </c>
      <c r="F206" s="449">
        <f t="shared" si="23"/>
        <v>2.5471585684885792E-2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651</v>
      </c>
      <c r="C207" s="463">
        <f>C137+C172</f>
        <v>7720.3630128702953</v>
      </c>
      <c r="D207" s="463">
        <f>LN_ID18+LN_IE18</f>
        <v>7819.1406639884672</v>
      </c>
      <c r="E207" s="463">
        <f t="shared" si="22"/>
        <v>98.777651118171889</v>
      </c>
      <c r="F207" s="449">
        <f t="shared" si="23"/>
        <v>1.2794430903508526E-2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652</v>
      </c>
      <c r="C208" s="465">
        <f>IF(C207=0,0,C204/C207)</f>
        <v>3759.3131244756923</v>
      </c>
      <c r="D208" s="465">
        <f>IF(LN_IF18=0,0,LN_IF15/LN_IF18)</f>
        <v>3770.7510667752181</v>
      </c>
      <c r="E208" s="465">
        <f t="shared" si="22"/>
        <v>11.43794229952573</v>
      </c>
      <c r="F208" s="449">
        <f t="shared" si="23"/>
        <v>3.0425617448722013E-3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702</v>
      </c>
      <c r="C209" s="465">
        <f>C61-C208</f>
        <v>5263.9845505307449</v>
      </c>
      <c r="D209" s="465">
        <f>LN_IB18-LN_IF19</f>
        <v>5804.9216852315585</v>
      </c>
      <c r="E209" s="465">
        <f t="shared" si="22"/>
        <v>540.93713470081366</v>
      </c>
      <c r="F209" s="449">
        <f t="shared" si="23"/>
        <v>0.10276191533394095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703</v>
      </c>
      <c r="C210" s="465">
        <f>C32-C208</f>
        <v>3074.4975184535988</v>
      </c>
      <c r="D210" s="465">
        <f>LN_IA16-LN_IF19</f>
        <v>2865.3085740091469</v>
      </c>
      <c r="E210" s="465">
        <f t="shared" si="22"/>
        <v>-209.18894444445186</v>
      </c>
      <c r="F210" s="449">
        <f t="shared" si="23"/>
        <v>-6.8040043353057925E-2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663</v>
      </c>
      <c r="C211" s="479">
        <f>C141+C176</f>
        <v>23736236.924630672</v>
      </c>
      <c r="D211" s="441">
        <f>LN_IF21*LN_IF18</f>
        <v>22404250.785909731</v>
      </c>
      <c r="E211" s="441">
        <f t="shared" si="22"/>
        <v>-1331986.1387209408</v>
      </c>
      <c r="F211" s="449">
        <f t="shared" si="23"/>
        <v>-5.6116146082901726E-2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704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654</v>
      </c>
      <c r="C214" s="448">
        <f>C188+C203</f>
        <v>206679023</v>
      </c>
      <c r="D214" s="448">
        <f>LN_IF1+LN_IF14</f>
        <v>227906456</v>
      </c>
      <c r="E214" s="448">
        <f>D214-C214</f>
        <v>21227433</v>
      </c>
      <c r="F214" s="449">
        <f>IF(C214=0,0,E214/C214)</f>
        <v>0.10270724475023282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655</v>
      </c>
      <c r="C215" s="448">
        <f>C189+C204</f>
        <v>50160732</v>
      </c>
      <c r="D215" s="448">
        <f>LN_IF2+LN_IF15</f>
        <v>51230101</v>
      </c>
      <c r="E215" s="448">
        <f>D215-C215</f>
        <v>1069369</v>
      </c>
      <c r="F215" s="449">
        <f>IF(C215=0,0,E215/C215)</f>
        <v>2.131884757981602E-2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656</v>
      </c>
      <c r="C216" s="448">
        <f>C214-C215</f>
        <v>156518291</v>
      </c>
      <c r="D216" s="448">
        <f>LN_IF23-LN_IF24</f>
        <v>176676355</v>
      </c>
      <c r="E216" s="448">
        <f>D216-C216</f>
        <v>20158064</v>
      </c>
      <c r="F216" s="449">
        <f>IF(C216=0,0,E216/C216)</f>
        <v>0.12879046832935329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705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706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638</v>
      </c>
      <c r="C221" s="448">
        <v>596664</v>
      </c>
      <c r="D221" s="448">
        <v>491825</v>
      </c>
      <c r="E221" s="448">
        <f t="shared" ref="E221:E230" si="24">D221-C221</f>
        <v>-104839</v>
      </c>
      <c r="F221" s="449">
        <f t="shared" ref="F221:F230" si="25">IF(C221=0,0,E221/C221)</f>
        <v>-0.17570860651891182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639</v>
      </c>
      <c r="C222" s="448">
        <v>185111</v>
      </c>
      <c r="D222" s="448">
        <v>140465</v>
      </c>
      <c r="E222" s="448">
        <f t="shared" si="24"/>
        <v>-44646</v>
      </c>
      <c r="F222" s="449">
        <f t="shared" si="25"/>
        <v>-0.24118501871849862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640</v>
      </c>
      <c r="C223" s="453">
        <f>IF(C221=0,0,C222/C221)</f>
        <v>0.31024328600351286</v>
      </c>
      <c r="D223" s="453">
        <f>IF(LN_IG1=0,0,LN_IG2/LN_IG1)</f>
        <v>0.28559955268642301</v>
      </c>
      <c r="E223" s="454">
        <f t="shared" si="24"/>
        <v>-2.4643733317089855E-2</v>
      </c>
      <c r="F223" s="449">
        <f t="shared" si="25"/>
        <v>-7.943357496803595E-2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25</v>
      </c>
      <c r="D224" s="456">
        <v>21</v>
      </c>
      <c r="E224" s="456">
        <f t="shared" si="24"/>
        <v>-4</v>
      </c>
      <c r="F224" s="449">
        <f t="shared" si="25"/>
        <v>-0.16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641</v>
      </c>
      <c r="C225" s="459">
        <v>1.14717</v>
      </c>
      <c r="D225" s="459">
        <v>0.94089999999999996</v>
      </c>
      <c r="E225" s="460">
        <f t="shared" si="24"/>
        <v>-0.20627000000000006</v>
      </c>
      <c r="F225" s="449">
        <f t="shared" si="25"/>
        <v>-0.17980770068952295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642</v>
      </c>
      <c r="C226" s="463">
        <f>C224*C225</f>
        <v>28.67925</v>
      </c>
      <c r="D226" s="463">
        <f>LN_IG3*LN_IG4</f>
        <v>19.758900000000001</v>
      </c>
      <c r="E226" s="463">
        <f t="shared" si="24"/>
        <v>-8.9203499999999991</v>
      </c>
      <c r="F226" s="449">
        <f t="shared" si="25"/>
        <v>-0.3110384685791992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643</v>
      </c>
      <c r="C227" s="465">
        <f>IF(C226=0,0,C222/C226)</f>
        <v>6454.5272278738112</v>
      </c>
      <c r="D227" s="465">
        <f>IF(LN_IG5=0,0,LN_IG2/LN_IG5)</f>
        <v>7108.9483726320796</v>
      </c>
      <c r="E227" s="465">
        <f t="shared" si="24"/>
        <v>654.42114475826838</v>
      </c>
      <c r="F227" s="449">
        <f t="shared" si="25"/>
        <v>0.10138947775015299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68</v>
      </c>
      <c r="D228" s="456">
        <v>131</v>
      </c>
      <c r="E228" s="456">
        <f t="shared" si="24"/>
        <v>63</v>
      </c>
      <c r="F228" s="449">
        <f t="shared" si="25"/>
        <v>0.92647058823529416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644</v>
      </c>
      <c r="C229" s="465">
        <f>IF(C228=0,0,C222/C228)</f>
        <v>2722.2205882352941</v>
      </c>
      <c r="D229" s="465">
        <f>IF(LN_IG6=0,0,LN_IG2/LN_IG6)</f>
        <v>1072.2519083969466</v>
      </c>
      <c r="E229" s="465">
        <f t="shared" si="24"/>
        <v>-1649.9686798383475</v>
      </c>
      <c r="F229" s="449">
        <f t="shared" si="25"/>
        <v>-0.60611130742639618</v>
      </c>
      <c r="Q229" s="421"/>
      <c r="U229" s="462"/>
    </row>
    <row r="230" spans="1:21" ht="15.75" customHeight="1" x14ac:dyDescent="0.2">
      <c r="A230" s="451">
        <v>10</v>
      </c>
      <c r="B230" s="447" t="s">
        <v>645</v>
      </c>
      <c r="C230" s="466">
        <f>IF(C224=0,0,C228/C224)</f>
        <v>2.72</v>
      </c>
      <c r="D230" s="466">
        <f>IF(LN_IG3=0,0,LN_IG6/LN_IG3)</f>
        <v>6.2380952380952381</v>
      </c>
      <c r="E230" s="466">
        <f t="shared" si="24"/>
        <v>3.5180952380952379</v>
      </c>
      <c r="F230" s="449">
        <f t="shared" si="25"/>
        <v>1.2934173669467786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707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647</v>
      </c>
      <c r="C233" s="448">
        <v>904569</v>
      </c>
      <c r="D233" s="448">
        <v>899169</v>
      </c>
      <c r="E233" s="448">
        <f>D233-C233</f>
        <v>-5400</v>
      </c>
      <c r="F233" s="449">
        <f>IF(C233=0,0,E233/C233)</f>
        <v>-5.9696938542001775E-3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648</v>
      </c>
      <c r="C234" s="448">
        <v>193957</v>
      </c>
      <c r="D234" s="448">
        <v>179457</v>
      </c>
      <c r="E234" s="448">
        <f>D234-C234</f>
        <v>-14500</v>
      </c>
      <c r="F234" s="449">
        <f>IF(C234=0,0,E234/C234)</f>
        <v>-7.475883829921065E-2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708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654</v>
      </c>
      <c r="C237" s="448">
        <f>C221+C233</f>
        <v>1501233</v>
      </c>
      <c r="D237" s="448">
        <f>LN_IG1+LN_IG9</f>
        <v>1390994</v>
      </c>
      <c r="E237" s="448">
        <f>D237-C237</f>
        <v>-110239</v>
      </c>
      <c r="F237" s="449">
        <f>IF(C237=0,0,E237/C237)</f>
        <v>-7.3432305311700447E-2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655</v>
      </c>
      <c r="C238" s="448">
        <f>C222+C234</f>
        <v>379068</v>
      </c>
      <c r="D238" s="448">
        <f>LN_IG2+LN_IG10</f>
        <v>319922</v>
      </c>
      <c r="E238" s="448">
        <f>D238-C238</f>
        <v>-59146</v>
      </c>
      <c r="F238" s="449">
        <f>IF(C238=0,0,E238/C238)</f>
        <v>-0.15603005265546024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656</v>
      </c>
      <c r="C239" s="448">
        <f>C237-C238</f>
        <v>1122165</v>
      </c>
      <c r="D239" s="448">
        <f>LN_IG13-LN_IG14</f>
        <v>1071072</v>
      </c>
      <c r="E239" s="448">
        <f>D239-C239</f>
        <v>-51093</v>
      </c>
      <c r="F239" s="449">
        <f>IF(C239=0,0,E239/C239)</f>
        <v>-4.5530737458395157E-2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709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710</v>
      </c>
      <c r="C243" s="448">
        <v>8206510</v>
      </c>
      <c r="D243" s="448">
        <v>12538000</v>
      </c>
      <c r="E243" s="441">
        <f>D243-C243</f>
        <v>4331490</v>
      </c>
      <c r="F243" s="503">
        <f>IF(C243=0,0,E243/C243)</f>
        <v>0.52781145700181931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711</v>
      </c>
      <c r="C244" s="448">
        <v>241388483</v>
      </c>
      <c r="D244" s="448">
        <v>252714644</v>
      </c>
      <c r="E244" s="441">
        <f>D244-C244</f>
        <v>11326161</v>
      </c>
      <c r="F244" s="503">
        <f>IF(C244=0,0,E244/C244)</f>
        <v>4.6920883959488659E-2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712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713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714</v>
      </c>
      <c r="C248" s="441">
        <v>3174277</v>
      </c>
      <c r="D248" s="441">
        <v>6949752</v>
      </c>
      <c r="E248" s="441">
        <f>D248-C248</f>
        <v>3775475</v>
      </c>
      <c r="F248" s="449">
        <f>IF(C248=0,0,E248/C248)</f>
        <v>1.189396829577255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715</v>
      </c>
      <c r="C249" s="441">
        <v>8179905</v>
      </c>
      <c r="D249" s="441">
        <v>6835415</v>
      </c>
      <c r="E249" s="441">
        <f>D249-C249</f>
        <v>-1344490</v>
      </c>
      <c r="F249" s="449">
        <f>IF(C249=0,0,E249/C249)</f>
        <v>-0.16436498956894977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716</v>
      </c>
      <c r="C250" s="441">
        <f>C248+C249</f>
        <v>11354182</v>
      </c>
      <c r="D250" s="441">
        <f>LN_IH4+LN_IH5</f>
        <v>13785167</v>
      </c>
      <c r="E250" s="441">
        <f>D250-C250</f>
        <v>2430985</v>
      </c>
      <c r="F250" s="449">
        <f>IF(C250=0,0,E250/C250)</f>
        <v>0.21410481177772209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717</v>
      </c>
      <c r="C251" s="441">
        <f>C250*C313</f>
        <v>3553743.260990907</v>
      </c>
      <c r="D251" s="441">
        <f>LN_IH6*LN_III10</f>
        <v>4185213.6605049209</v>
      </c>
      <c r="E251" s="441">
        <f>D251-C251</f>
        <v>631470.3995140139</v>
      </c>
      <c r="F251" s="449">
        <f>IF(C251=0,0,E251/C251)</f>
        <v>0.17769162067659836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718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654</v>
      </c>
      <c r="C254" s="441">
        <f>C188+C203</f>
        <v>206679023</v>
      </c>
      <c r="D254" s="441">
        <f>LN_IF23</f>
        <v>227906456</v>
      </c>
      <c r="E254" s="441">
        <f>D254-C254</f>
        <v>21227433</v>
      </c>
      <c r="F254" s="449">
        <f>IF(C254=0,0,E254/C254)</f>
        <v>0.10270724475023282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655</v>
      </c>
      <c r="C255" s="441">
        <f>C189+C204</f>
        <v>50160732</v>
      </c>
      <c r="D255" s="441">
        <f>LN_IF24</f>
        <v>51230101</v>
      </c>
      <c r="E255" s="441">
        <f>D255-C255</f>
        <v>1069369</v>
      </c>
      <c r="F255" s="449">
        <f>IF(C255=0,0,E255/C255)</f>
        <v>2.131884757981602E-2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719</v>
      </c>
      <c r="C256" s="441">
        <f>C254*C313</f>
        <v>64688428.032458402</v>
      </c>
      <c r="D256" s="441">
        <f>LN_IH8*LN_III10</f>
        <v>69193011.079841375</v>
      </c>
      <c r="E256" s="441">
        <f>D256-C256</f>
        <v>4504583.0473829731</v>
      </c>
      <c r="F256" s="449">
        <f>IF(C256=0,0,E256/C256)</f>
        <v>6.9635067420756147E-2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720</v>
      </c>
      <c r="C257" s="441">
        <f>C256-C255</f>
        <v>14527696.032458402</v>
      </c>
      <c r="D257" s="441">
        <f>LN_IH10-LN_IH9</f>
        <v>17962910.079841375</v>
      </c>
      <c r="E257" s="441">
        <f>D257-C257</f>
        <v>3435214.0473829731</v>
      </c>
      <c r="F257" s="449">
        <f>IF(C257=0,0,E257/C257)</f>
        <v>0.23645965882737843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721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722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306598080</v>
      </c>
      <c r="D261" s="448">
        <f>LN_IA1+LN_IB1+LN_IF1+LN_IG1</f>
        <v>315137066</v>
      </c>
      <c r="E261" s="448">
        <f t="shared" ref="E261:E274" si="26">D261-C261</f>
        <v>8538986</v>
      </c>
      <c r="F261" s="503">
        <f t="shared" ref="F261:F274" si="27">IF(C261=0,0,E261/C261)</f>
        <v>2.7850748445652367E-2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128141594</v>
      </c>
      <c r="D262" s="448">
        <f>+LN_IA2+LN_IB2+LN_IF2+LN_IG2</f>
        <v>132157545</v>
      </c>
      <c r="E262" s="448">
        <f t="shared" si="26"/>
        <v>4015951</v>
      </c>
      <c r="F262" s="503">
        <f t="shared" si="27"/>
        <v>3.133994883815789E-2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723</v>
      </c>
      <c r="C263" s="453">
        <f>IF(C261=0,0,C262/C261)</f>
        <v>0.41794649855602489</v>
      </c>
      <c r="D263" s="453">
        <f>IF(LN_IIA1=0,0,LN_IIA2/LN_IIA1)</f>
        <v>0.41936528342242041</v>
      </c>
      <c r="E263" s="454">
        <f t="shared" si="26"/>
        <v>1.4187848663955172E-3</v>
      </c>
      <c r="F263" s="458">
        <f t="shared" si="27"/>
        <v>3.3946566637053231E-3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11845</v>
      </c>
      <c r="D264" s="456">
        <f>LN_IA4+LN_IB4+LN_IF4+LN_IG3</f>
        <v>11656</v>
      </c>
      <c r="E264" s="456">
        <f t="shared" si="26"/>
        <v>-189</v>
      </c>
      <c r="F264" s="503">
        <f t="shared" si="27"/>
        <v>-1.5956099620092867E-2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724</v>
      </c>
      <c r="C265" s="525">
        <f>IF(C264=0,0,C266/C264)</f>
        <v>1.3425310527648799</v>
      </c>
      <c r="D265" s="525">
        <f>IF(LN_IIA4=0,0,LN_IIA6/LN_IIA4)</f>
        <v>1.395269993136582</v>
      </c>
      <c r="E265" s="525">
        <f t="shared" si="26"/>
        <v>5.2738940371702014E-2</v>
      </c>
      <c r="F265" s="503">
        <f t="shared" si="27"/>
        <v>3.9283218263807478E-2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725</v>
      </c>
      <c r="C266" s="463">
        <f>C20+C47+C193+C226</f>
        <v>15902.280320000002</v>
      </c>
      <c r="D266" s="463">
        <f>LN_IA6+LN_IB6+LN_IF6+LN_IG5</f>
        <v>16263.267039999999</v>
      </c>
      <c r="E266" s="463">
        <f t="shared" si="26"/>
        <v>360.98671999999715</v>
      </c>
      <c r="F266" s="503">
        <f t="shared" si="27"/>
        <v>2.2700311699699501E-2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440154258</v>
      </c>
      <c r="D267" s="448">
        <f>LN_IA11+LN_IB13+LN_IF14+LN_IG9</f>
        <v>501979305</v>
      </c>
      <c r="E267" s="448">
        <f t="shared" si="26"/>
        <v>61825047</v>
      </c>
      <c r="F267" s="503">
        <f t="shared" si="27"/>
        <v>0.14046222631339397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650</v>
      </c>
      <c r="C268" s="453">
        <f>IF(C261=0,0,C267/C261)</f>
        <v>1.4356067004724882</v>
      </c>
      <c r="D268" s="453">
        <f>IF(LN_IIA1=0,0,LN_IIA7/LN_IIA1)</f>
        <v>1.5928919798980421</v>
      </c>
      <c r="E268" s="454">
        <f t="shared" si="26"/>
        <v>0.15728527942555393</v>
      </c>
      <c r="F268" s="458">
        <f t="shared" si="27"/>
        <v>0.10956014580719639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114763653</v>
      </c>
      <c r="D269" s="448">
        <f>LN_IA12+LN_IB14+LN_IF15+LN_IG10</f>
        <v>125905005</v>
      </c>
      <c r="E269" s="448">
        <f t="shared" si="26"/>
        <v>11141352</v>
      </c>
      <c r="F269" s="503">
        <f t="shared" si="27"/>
        <v>9.708084144027726E-2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649</v>
      </c>
      <c r="C270" s="453">
        <f>IF(C267=0,0,C269/C267)</f>
        <v>0.26073507392946771</v>
      </c>
      <c r="D270" s="453">
        <f>IF(LN_IIA7=0,0,LN_IIA9/LN_IIA7)</f>
        <v>0.25081712282939633</v>
      </c>
      <c r="E270" s="454">
        <f t="shared" si="26"/>
        <v>-9.917951100071376E-3</v>
      </c>
      <c r="F270" s="458">
        <f t="shared" si="27"/>
        <v>-3.8038423256988869E-2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726</v>
      </c>
      <c r="C271" s="441">
        <f>C261+C267</f>
        <v>746752338</v>
      </c>
      <c r="D271" s="441">
        <f>LN_IIA1+LN_IIA7</f>
        <v>817116371</v>
      </c>
      <c r="E271" s="441">
        <f t="shared" si="26"/>
        <v>70364033</v>
      </c>
      <c r="F271" s="503">
        <f t="shared" si="27"/>
        <v>9.4226732772546076E-2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727</v>
      </c>
      <c r="C272" s="441">
        <f>C262+C269</f>
        <v>242905247</v>
      </c>
      <c r="D272" s="441">
        <f>LN_IIA2+LN_IIA9</f>
        <v>258062550</v>
      </c>
      <c r="E272" s="441">
        <f t="shared" si="26"/>
        <v>15157303</v>
      </c>
      <c r="F272" s="503">
        <f t="shared" si="27"/>
        <v>6.2400064169877728E-2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728</v>
      </c>
      <c r="C273" s="453">
        <f>IF(C271=0,0,C272/C271)</f>
        <v>0.32528220487473053</v>
      </c>
      <c r="D273" s="453">
        <f>IF(LN_IIA11=0,0,LN_IIA12/LN_IIA11)</f>
        <v>0.31582104968008284</v>
      </c>
      <c r="E273" s="454">
        <f t="shared" si="26"/>
        <v>-9.4611551946476857E-3</v>
      </c>
      <c r="F273" s="458">
        <f t="shared" si="27"/>
        <v>-2.9085990727009712E-2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50556</v>
      </c>
      <c r="D274" s="508">
        <f>LN_IA8+LN_IB10+LN_IF11+LN_IG6</f>
        <v>46634</v>
      </c>
      <c r="E274" s="528">
        <f t="shared" si="26"/>
        <v>-3922</v>
      </c>
      <c r="F274" s="458">
        <f t="shared" si="27"/>
        <v>-7.7577339979428755E-2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729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730</v>
      </c>
      <c r="C277" s="448">
        <f>C15+C188+C221</f>
        <v>229603208</v>
      </c>
      <c r="D277" s="448">
        <f>LN_IA1+LN_IF1+LN_IG1</f>
        <v>237589014</v>
      </c>
      <c r="E277" s="448">
        <f t="shared" ref="E277:E291" si="28">D277-C277</f>
        <v>7985806</v>
      </c>
      <c r="F277" s="503">
        <f t="shared" ref="F277:F291" si="29">IF(C277=0,0,E277/C277)</f>
        <v>3.4780899054337254E-2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731</v>
      </c>
      <c r="C278" s="448">
        <f>C16+C189+C222</f>
        <v>89177701</v>
      </c>
      <c r="D278" s="448">
        <f>LN_IA2+LN_IF2+LN_IG2</f>
        <v>93657167</v>
      </c>
      <c r="E278" s="448">
        <f t="shared" si="28"/>
        <v>4479466</v>
      </c>
      <c r="F278" s="503">
        <f t="shared" si="29"/>
        <v>5.0230785832884386E-2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732</v>
      </c>
      <c r="C279" s="453">
        <f>IF(C277=0,0,C278/C277)</f>
        <v>0.38839919431787728</v>
      </c>
      <c r="D279" s="453">
        <f>IF(D277=0,0,LN_IIB2/D277)</f>
        <v>0.39419822248178527</v>
      </c>
      <c r="E279" s="454">
        <f t="shared" si="28"/>
        <v>5.7990281639079821E-3</v>
      </c>
      <c r="F279" s="458">
        <f t="shared" si="29"/>
        <v>1.4930587521151981E-2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733</v>
      </c>
      <c r="C280" s="456">
        <f>C18+C191+C224</f>
        <v>8972</v>
      </c>
      <c r="D280" s="456">
        <f>LN_IA4+LN_IF4+LN_IG3</f>
        <v>8945</v>
      </c>
      <c r="E280" s="456">
        <f t="shared" si="28"/>
        <v>-27</v>
      </c>
      <c r="F280" s="503">
        <f t="shared" si="29"/>
        <v>-3.0093624609897457E-3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734</v>
      </c>
      <c r="C281" s="525">
        <f>IF(C280=0,0,C282/C280)</f>
        <v>1.3555098439589837</v>
      </c>
      <c r="D281" s="525">
        <f>IF(LN_IIB4=0,0,LN_IIB6/LN_IIB4)</f>
        <v>1.4085052476243713</v>
      </c>
      <c r="E281" s="525">
        <f t="shared" si="28"/>
        <v>5.2995403665387686E-2</v>
      </c>
      <c r="F281" s="503">
        <f t="shared" si="29"/>
        <v>3.9096288309206313E-2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735</v>
      </c>
      <c r="C282" s="463">
        <f>C20+C193+C226</f>
        <v>12161.634320000001</v>
      </c>
      <c r="D282" s="463">
        <f>LN_IA6+LN_IF6+LN_IG5</f>
        <v>12599.079440000001</v>
      </c>
      <c r="E282" s="463">
        <f t="shared" si="28"/>
        <v>437.44512000000032</v>
      </c>
      <c r="F282" s="503">
        <f t="shared" si="29"/>
        <v>3.5969270945814813E-2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736</v>
      </c>
      <c r="C283" s="448">
        <f>C27+C203+C233</f>
        <v>273098232</v>
      </c>
      <c r="D283" s="448">
        <f>LN_IA11+LN_IF14+LN_IG9</f>
        <v>315715111</v>
      </c>
      <c r="E283" s="448">
        <f t="shared" si="28"/>
        <v>42616879</v>
      </c>
      <c r="F283" s="503">
        <f t="shared" si="29"/>
        <v>0.15604963345203934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737</v>
      </c>
      <c r="C284" s="453">
        <f>IF(C277=0,0,C283/C277)</f>
        <v>1.189435611021602</v>
      </c>
      <c r="D284" s="453">
        <f>IF(D277=0,0,LN_IIB7/D277)</f>
        <v>1.3288287437398094</v>
      </c>
      <c r="E284" s="454">
        <f t="shared" si="28"/>
        <v>0.13939313271820741</v>
      </c>
      <c r="F284" s="458">
        <f t="shared" si="29"/>
        <v>0.11719266804067111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738</v>
      </c>
      <c r="C285" s="448">
        <f>C28+C204+C234</f>
        <v>58516408</v>
      </c>
      <c r="D285" s="448">
        <f>LN_IA12+LN_IF15+LN_IG10</f>
        <v>63552013</v>
      </c>
      <c r="E285" s="448">
        <f t="shared" si="28"/>
        <v>5035605</v>
      </c>
      <c r="F285" s="503">
        <f t="shared" si="29"/>
        <v>8.6054581477386649E-2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739</v>
      </c>
      <c r="C286" s="453">
        <f>IF(C283=0,0,C285/C283)</f>
        <v>0.21426871778503495</v>
      </c>
      <c r="D286" s="453">
        <f>IF(LN_IIB7=0,0,LN_IIB9/LN_IIB7)</f>
        <v>0.20129544258652859</v>
      </c>
      <c r="E286" s="454">
        <f t="shared" si="28"/>
        <v>-1.2973275198506357E-2</v>
      </c>
      <c r="F286" s="458">
        <f t="shared" si="29"/>
        <v>-6.0546753313387505E-2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740</v>
      </c>
      <c r="C287" s="441">
        <f>C277+C283</f>
        <v>502701440</v>
      </c>
      <c r="D287" s="441">
        <f>D277+LN_IIB7</f>
        <v>553304125</v>
      </c>
      <c r="E287" s="441">
        <f t="shared" si="28"/>
        <v>50602685</v>
      </c>
      <c r="F287" s="503">
        <f t="shared" si="29"/>
        <v>0.10066150795191675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741</v>
      </c>
      <c r="C288" s="441">
        <f>C278+C285</f>
        <v>147694109</v>
      </c>
      <c r="D288" s="441">
        <f>LN_IIB2+LN_IIB9</f>
        <v>157209180</v>
      </c>
      <c r="E288" s="441">
        <f t="shared" si="28"/>
        <v>9515071</v>
      </c>
      <c r="F288" s="503">
        <f t="shared" si="29"/>
        <v>6.4424174155788438E-2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742</v>
      </c>
      <c r="C289" s="453">
        <f>IF(C287=0,0,C288/C287)</f>
        <v>0.29380084727825723</v>
      </c>
      <c r="D289" s="453">
        <f>IF(LN_IIB11=0,0,LN_IIB12/LN_IIB11)</f>
        <v>0.28412797392392475</v>
      </c>
      <c r="E289" s="454">
        <f t="shared" si="28"/>
        <v>-9.6728733543324785E-3</v>
      </c>
      <c r="F289" s="458">
        <f t="shared" si="29"/>
        <v>-3.2923231651443646E-2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40235</v>
      </c>
      <c r="D290" s="508">
        <f>LN_IA8+LN_IF11+LN_IG6</f>
        <v>37368</v>
      </c>
      <c r="E290" s="528">
        <f t="shared" si="28"/>
        <v>-2867</v>
      </c>
      <c r="F290" s="458">
        <f t="shared" si="29"/>
        <v>-7.1256368833105502E-2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743</v>
      </c>
      <c r="C291" s="448">
        <f>C287-C288</f>
        <v>355007331</v>
      </c>
      <c r="D291" s="516">
        <f>LN_IIB11-LN_IIB12</f>
        <v>396094945</v>
      </c>
      <c r="E291" s="441">
        <f t="shared" si="28"/>
        <v>41087614</v>
      </c>
      <c r="F291" s="503">
        <f t="shared" si="29"/>
        <v>0.11573736768833091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645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636</v>
      </c>
      <c r="C294" s="466">
        <f>IF(C18=0,0,C22/C18)</f>
        <v>4.9990432453119018</v>
      </c>
      <c r="D294" s="466">
        <f>IF(LN_IA4=0,0,LN_IA8/LN_IA4)</f>
        <v>4.5309582777671942</v>
      </c>
      <c r="E294" s="466">
        <f t="shared" ref="E294:E300" si="30">D294-C294</f>
        <v>-0.46808496754470763</v>
      </c>
      <c r="F294" s="503">
        <f t="shared" ref="F294:F300" si="31">IF(C294=0,0,E294/C294)</f>
        <v>-9.3634910636885824E-2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657</v>
      </c>
      <c r="C295" s="466">
        <f>IF(C45=0,0,C51/C45)</f>
        <v>3.5924121127741038</v>
      </c>
      <c r="D295" s="466">
        <f>IF(LN_IB4=0,0,(LN_IB10)/(LN_IB4))</f>
        <v>3.4179269642198449</v>
      </c>
      <c r="E295" s="466">
        <f t="shared" si="30"/>
        <v>-0.1744851485542589</v>
      </c>
      <c r="F295" s="503">
        <f t="shared" si="31"/>
        <v>-4.857047105865573E-2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672</v>
      </c>
      <c r="C296" s="466">
        <f>IF(C86=0,0,C93/C86)</f>
        <v>2.8461538461538463</v>
      </c>
      <c r="D296" s="466">
        <f>IF(LN_IC4=0,0,LN_IC11/LN_IC4)</f>
        <v>2.536082474226804</v>
      </c>
      <c r="E296" s="466">
        <f t="shared" si="30"/>
        <v>-0.31007137192704226</v>
      </c>
      <c r="F296" s="503">
        <f t="shared" si="31"/>
        <v>-0.10894399554193376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3.7737167428110725</v>
      </c>
      <c r="D297" s="466">
        <f>IF(LN_ID4=0,0,LN_ID11/LN_ID4)</f>
        <v>3.6609523809523807</v>
      </c>
      <c r="E297" s="466">
        <f t="shared" si="30"/>
        <v>-0.11276436185869176</v>
      </c>
      <c r="F297" s="503">
        <f t="shared" si="31"/>
        <v>-2.988151192680473E-2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744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2.72</v>
      </c>
      <c r="D299" s="466">
        <f>IF(LN_IG3=0,0,LN_IG6/LN_IG3)</f>
        <v>6.2380952380952381</v>
      </c>
      <c r="E299" s="466">
        <f t="shared" si="30"/>
        <v>3.5180952380952379</v>
      </c>
      <c r="F299" s="503">
        <f t="shared" si="31"/>
        <v>1.2934173669467786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745</v>
      </c>
      <c r="C300" s="466">
        <f>IF(C264=0,0,C274/C264)</f>
        <v>4.2681300126635708</v>
      </c>
      <c r="D300" s="466">
        <f>IF(LN_IIA4=0,0,LN_IIA14/LN_IIA4)</f>
        <v>4.0008579272477691</v>
      </c>
      <c r="E300" s="466">
        <f t="shared" si="30"/>
        <v>-0.26727208541580172</v>
      </c>
      <c r="F300" s="503">
        <f t="shared" si="31"/>
        <v>-6.2620417986988128E-2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746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740</v>
      </c>
      <c r="C304" s="441">
        <f>C35+C66+C214+C221+C233</f>
        <v>746752338</v>
      </c>
      <c r="D304" s="441">
        <f>LN_IIA11</f>
        <v>817116371</v>
      </c>
      <c r="E304" s="441">
        <f t="shared" ref="E304:E316" si="32">D304-C304</f>
        <v>70364033</v>
      </c>
      <c r="F304" s="449">
        <f>IF(C304=0,0,E304/C304)</f>
        <v>9.4226732772546076E-2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743</v>
      </c>
      <c r="C305" s="441">
        <f>C291</f>
        <v>355007331</v>
      </c>
      <c r="D305" s="441">
        <f>LN_IIB14</f>
        <v>396094945</v>
      </c>
      <c r="E305" s="441">
        <f t="shared" si="32"/>
        <v>41087614</v>
      </c>
      <c r="F305" s="449">
        <f>IF(C305=0,0,E305/C305)</f>
        <v>0.11573736768833091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747</v>
      </c>
      <c r="C306" s="441">
        <f>C250</f>
        <v>11354182</v>
      </c>
      <c r="D306" s="441">
        <f>LN_IH6</f>
        <v>13785167</v>
      </c>
      <c r="E306" s="441">
        <f t="shared" si="32"/>
        <v>2430985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748</v>
      </c>
      <c r="C307" s="441">
        <f>C73-C74</f>
        <v>137485578</v>
      </c>
      <c r="D307" s="441">
        <f>LN_IB32-LN_IB33</f>
        <v>149173711</v>
      </c>
      <c r="E307" s="441">
        <f t="shared" si="32"/>
        <v>11688133</v>
      </c>
      <c r="F307" s="449">
        <f t="shared" ref="F307:F316" si="33">IF(C307=0,0,E307/C307)</f>
        <v>8.5013520472670953E-2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749</v>
      </c>
      <c r="C308" s="441">
        <v>9179375</v>
      </c>
      <c r="D308" s="441">
        <v>9983827</v>
      </c>
      <c r="E308" s="441">
        <f t="shared" si="32"/>
        <v>804452</v>
      </c>
      <c r="F308" s="449">
        <f t="shared" si="33"/>
        <v>8.7636903383944989E-2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750</v>
      </c>
      <c r="C309" s="441">
        <f>C305+C307+C308+C306</f>
        <v>513026466</v>
      </c>
      <c r="D309" s="441">
        <f>LN_III2+LN_III3+LN_III4+LN_III5</f>
        <v>569037650</v>
      </c>
      <c r="E309" s="441">
        <f t="shared" si="32"/>
        <v>56011184</v>
      </c>
      <c r="F309" s="449">
        <f t="shared" si="33"/>
        <v>0.10917796198062031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751</v>
      </c>
      <c r="C310" s="441">
        <f>C304-C309</f>
        <v>233725872</v>
      </c>
      <c r="D310" s="441">
        <f>LN_III1-LN_III6</f>
        <v>248078721</v>
      </c>
      <c r="E310" s="441">
        <f t="shared" si="32"/>
        <v>14352849</v>
      </c>
      <c r="F310" s="449">
        <f t="shared" si="33"/>
        <v>6.1408901279016298E-2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752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753</v>
      </c>
      <c r="C312" s="441">
        <f>C310+C311</f>
        <v>233725872</v>
      </c>
      <c r="D312" s="441">
        <f>LN_III7+LN_III8</f>
        <v>248078721</v>
      </c>
      <c r="E312" s="441">
        <f t="shared" si="32"/>
        <v>14352849</v>
      </c>
      <c r="F312" s="449">
        <f t="shared" si="33"/>
        <v>6.1408901279016298E-2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754</v>
      </c>
      <c r="C313" s="532">
        <f>IF(C304=0,0,C312/C304)</f>
        <v>0.31298980948085092</v>
      </c>
      <c r="D313" s="532">
        <f>IF(LN_III1=0,0,LN_III9/LN_III1)</f>
        <v>0.30360268109228716</v>
      </c>
      <c r="E313" s="532">
        <f t="shared" si="32"/>
        <v>-9.3871283885637591E-3</v>
      </c>
      <c r="F313" s="449">
        <f t="shared" si="33"/>
        <v>-2.9991801982735398E-2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717</v>
      </c>
      <c r="C314" s="441">
        <f>C306*C313</f>
        <v>3553743.260990907</v>
      </c>
      <c r="D314" s="441">
        <f>D313*LN_III5</f>
        <v>4185213.6605049209</v>
      </c>
      <c r="E314" s="441">
        <f t="shared" si="32"/>
        <v>631470.3995140139</v>
      </c>
      <c r="F314" s="449">
        <f t="shared" si="33"/>
        <v>0.17769162067659836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720</v>
      </c>
      <c r="C315" s="441">
        <f>(C214*C313)-C215</f>
        <v>14527696.032458402</v>
      </c>
      <c r="D315" s="441">
        <f>D313*LN_IH8-LN_IH9</f>
        <v>17962910.079841375</v>
      </c>
      <c r="E315" s="441">
        <f t="shared" si="32"/>
        <v>3435214.0473829731</v>
      </c>
      <c r="F315" s="449">
        <f t="shared" si="33"/>
        <v>0.23645965882737843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755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756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757</v>
      </c>
      <c r="C318" s="441">
        <f>C314+C315+C316</f>
        <v>18081439.293449309</v>
      </c>
      <c r="D318" s="441">
        <f>D314+D315+D316</f>
        <v>22148123.740346298</v>
      </c>
      <c r="E318" s="441">
        <f>D318-C318</f>
        <v>4066684.4468969889</v>
      </c>
      <c r="F318" s="449">
        <f>IF(C318=0,0,E318/C318)</f>
        <v>0.22490933276369765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758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23736236.924630672</v>
      </c>
      <c r="D322" s="441">
        <f>LN_ID22</f>
        <v>22404250.785909731</v>
      </c>
      <c r="E322" s="441">
        <f>LN_IV2-C322</f>
        <v>-1331986.1387209408</v>
      </c>
      <c r="F322" s="449">
        <f>IF(C322=0,0,E322/C322)</f>
        <v>-5.6116146082901726E-2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744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759</v>
      </c>
      <c r="C324" s="441">
        <f>C92+C106</f>
        <v>4268725.2522580437</v>
      </c>
      <c r="D324" s="441">
        <f>LN_IC10+LN_IC22</f>
        <v>4975498.9640366957</v>
      </c>
      <c r="E324" s="441">
        <f>LN_IV1-C324</f>
        <v>706773.71177865192</v>
      </c>
      <c r="F324" s="449">
        <f>IF(C324=0,0,E324/C324)</f>
        <v>0.16557020422075353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760</v>
      </c>
      <c r="C325" s="516">
        <f>C324+C322+C323</f>
        <v>28004962.176888715</v>
      </c>
      <c r="D325" s="516">
        <f>LN_IV1+LN_IV2+LN_IV3</f>
        <v>27379749.749946427</v>
      </c>
      <c r="E325" s="441">
        <f>LN_IV4-C325</f>
        <v>-625212.42694228888</v>
      </c>
      <c r="F325" s="449">
        <f>IF(C325=0,0,E325/C325)</f>
        <v>-2.2325058787554787E-2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761</v>
      </c>
      <c r="B327" s="530" t="s">
        <v>762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763</v>
      </c>
      <c r="C329" s="518">
        <v>13563930</v>
      </c>
      <c r="D329" s="518">
        <v>14458133</v>
      </c>
      <c r="E329" s="518">
        <f t="shared" ref="E329:E335" si="34">D329-C329</f>
        <v>894203</v>
      </c>
      <c r="F329" s="542">
        <f t="shared" ref="F329:F335" si="35">IF(C329=0,0,E329/C329)</f>
        <v>6.5925067439893889E-2</v>
      </c>
    </row>
    <row r="330" spans="1:22" s="420" customFormat="1" ht="15.75" customHeight="1" x14ac:dyDescent="0.2">
      <c r="A330" s="451">
        <v>2</v>
      </c>
      <c r="B330" s="447" t="s">
        <v>764</v>
      </c>
      <c r="C330" s="516">
        <v>9015555</v>
      </c>
      <c r="D330" s="516">
        <v>12200028</v>
      </c>
      <c r="E330" s="518">
        <f t="shared" si="34"/>
        <v>3184473</v>
      </c>
      <c r="F330" s="543">
        <f t="shared" si="35"/>
        <v>0.35321985168966302</v>
      </c>
    </row>
    <row r="331" spans="1:22" s="420" customFormat="1" ht="15.75" customHeight="1" x14ac:dyDescent="0.2">
      <c r="A331" s="427">
        <v>3</v>
      </c>
      <c r="B331" s="447" t="s">
        <v>765</v>
      </c>
      <c r="C331" s="516">
        <v>251920802</v>
      </c>
      <c r="D331" s="516">
        <v>270262578</v>
      </c>
      <c r="E331" s="518">
        <f t="shared" si="34"/>
        <v>18341776</v>
      </c>
      <c r="F331" s="542">
        <f t="shared" si="35"/>
        <v>7.2807707241262273E-2</v>
      </c>
    </row>
    <row r="332" spans="1:22" s="420" customFormat="1" ht="27" customHeight="1" x14ac:dyDescent="0.2">
      <c r="A332" s="451">
        <v>4</v>
      </c>
      <c r="B332" s="447" t="s">
        <v>766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767</v>
      </c>
      <c r="C333" s="516">
        <v>746752338</v>
      </c>
      <c r="D333" s="516">
        <v>817116371</v>
      </c>
      <c r="E333" s="518">
        <f t="shared" si="34"/>
        <v>70364033</v>
      </c>
      <c r="F333" s="542">
        <f t="shared" si="35"/>
        <v>9.4226732772546076E-2</v>
      </c>
    </row>
    <row r="334" spans="1:22" s="420" customFormat="1" ht="15.75" customHeight="1" x14ac:dyDescent="0.2">
      <c r="A334" s="427">
        <v>6</v>
      </c>
      <c r="B334" s="447" t="s">
        <v>768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769</v>
      </c>
      <c r="C335" s="516">
        <v>11354182</v>
      </c>
      <c r="D335" s="516">
        <v>13785167</v>
      </c>
      <c r="E335" s="516">
        <f t="shared" si="34"/>
        <v>2430985</v>
      </c>
      <c r="F335" s="542">
        <f t="shared" si="35"/>
        <v>0.21410481177772209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75" bottom="0.75" header="0.3" footer="0.3"/>
  <pageSetup scale="80" fitToHeight="0" orientation="portrait" horizontalDpi="1200" verticalDpi="1200" r:id="rId1"/>
  <headerFooter>
    <oddHeader>&amp;LOFFICE OF HEALTH CARE ACCESS&amp;CTWELVE MONTHS ACTUAL FILING&amp;RSAINT MARY`S HOSPITAL</oddHeader>
    <oddFooter>&amp;LREPORT 100&amp;CPAGE &amp;P of &amp;N&amp;R&amp;D,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tabSelected="1" zoomScale="75" zoomScaleSheetLayoutView="68" workbookViewId="0">
      <selection activeCell="H56" sqref="H5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6.140625" style="569" customWidth="1"/>
    <col min="5" max="5" width="16.5703125" style="420" bestFit="1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630</v>
      </c>
      <c r="B3" s="820"/>
      <c r="C3" s="820"/>
      <c r="D3" s="820"/>
      <c r="E3" s="820"/>
    </row>
    <row r="4" spans="1:5" s="428" customFormat="1" ht="15.75" customHeight="1" x14ac:dyDescent="0.25">
      <c r="A4" s="820" t="s">
        <v>770</v>
      </c>
      <c r="B4" s="820"/>
      <c r="C4" s="820"/>
      <c r="D4" s="820"/>
      <c r="E4" s="820"/>
    </row>
    <row r="5" spans="1:5" s="428" customFormat="1" ht="15.75" customHeight="1" x14ac:dyDescent="0.25">
      <c r="A5" s="820" t="s">
        <v>771</v>
      </c>
      <c r="B5" s="820"/>
      <c r="C5" s="820"/>
      <c r="D5" s="820"/>
      <c r="E5" s="820"/>
    </row>
    <row r="6" spans="1:5" s="428" customFormat="1" ht="15.75" customHeight="1" x14ac:dyDescent="0.25">
      <c r="A6" s="820" t="s">
        <v>772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773</v>
      </c>
      <c r="D9" s="573" t="s">
        <v>774</v>
      </c>
      <c r="E9" s="573" t="s">
        <v>775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776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777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657</v>
      </c>
      <c r="C14" s="589">
        <v>76994872</v>
      </c>
      <c r="D14" s="589">
        <v>77548052</v>
      </c>
      <c r="E14" s="590">
        <f t="shared" ref="E14:E22" si="0">D14-C14</f>
        <v>553180</v>
      </c>
    </row>
    <row r="15" spans="1:5" s="421" customFormat="1" x14ac:dyDescent="0.2">
      <c r="A15" s="588">
        <v>2</v>
      </c>
      <c r="B15" s="587" t="s">
        <v>636</v>
      </c>
      <c r="C15" s="589">
        <v>161789671</v>
      </c>
      <c r="D15" s="591">
        <v>164229086</v>
      </c>
      <c r="E15" s="590">
        <f t="shared" si="0"/>
        <v>2439415</v>
      </c>
    </row>
    <row r="16" spans="1:5" s="421" customFormat="1" x14ac:dyDescent="0.2">
      <c r="A16" s="588">
        <v>3</v>
      </c>
      <c r="B16" s="587" t="s">
        <v>778</v>
      </c>
      <c r="C16" s="589">
        <v>67216873</v>
      </c>
      <c r="D16" s="591">
        <v>72868103</v>
      </c>
      <c r="E16" s="590">
        <f t="shared" si="0"/>
        <v>5651230</v>
      </c>
    </row>
    <row r="17" spans="1:5" s="421" customFormat="1" x14ac:dyDescent="0.2">
      <c r="A17" s="588">
        <v>4</v>
      </c>
      <c r="B17" s="587" t="s">
        <v>115</v>
      </c>
      <c r="C17" s="589">
        <v>67216873</v>
      </c>
      <c r="D17" s="591">
        <v>72868103</v>
      </c>
      <c r="E17" s="590">
        <f t="shared" si="0"/>
        <v>5651230</v>
      </c>
    </row>
    <row r="18" spans="1:5" s="421" customFormat="1" x14ac:dyDescent="0.2">
      <c r="A18" s="588">
        <v>5</v>
      </c>
      <c r="B18" s="587" t="s">
        <v>744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596664</v>
      </c>
      <c r="D19" s="591">
        <v>491825</v>
      </c>
      <c r="E19" s="590">
        <f t="shared" si="0"/>
        <v>-104839</v>
      </c>
    </row>
    <row r="20" spans="1:5" s="421" customFormat="1" x14ac:dyDescent="0.2">
      <c r="A20" s="588">
        <v>7</v>
      </c>
      <c r="B20" s="587" t="s">
        <v>759</v>
      </c>
      <c r="C20" s="589">
        <v>1331888</v>
      </c>
      <c r="D20" s="591">
        <v>1753618</v>
      </c>
      <c r="E20" s="590">
        <f t="shared" si="0"/>
        <v>421730</v>
      </c>
    </row>
    <row r="21" spans="1:5" s="421" customFormat="1" x14ac:dyDescent="0.2">
      <c r="A21" s="588"/>
      <c r="B21" s="592" t="s">
        <v>779</v>
      </c>
      <c r="C21" s="593">
        <f>SUM(C15+C16+C19)</f>
        <v>229603208</v>
      </c>
      <c r="D21" s="593">
        <f>SUM(D15+D16+D19)</f>
        <v>237589014</v>
      </c>
      <c r="E21" s="593">
        <f t="shared" si="0"/>
        <v>7985806</v>
      </c>
    </row>
    <row r="22" spans="1:5" s="421" customFormat="1" x14ac:dyDescent="0.2">
      <c r="A22" s="588"/>
      <c r="B22" s="592" t="s">
        <v>465</v>
      </c>
      <c r="C22" s="593">
        <f>SUM(C14+C21)</f>
        <v>306598080</v>
      </c>
      <c r="D22" s="593">
        <f>SUM(D14+D21)</f>
        <v>315137066</v>
      </c>
      <c r="E22" s="593">
        <f t="shared" si="0"/>
        <v>8538986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780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657</v>
      </c>
      <c r="C25" s="589">
        <v>167056026</v>
      </c>
      <c r="D25" s="589">
        <v>186264194</v>
      </c>
      <c r="E25" s="590">
        <f t="shared" ref="E25:E33" si="1">D25-C25</f>
        <v>19208168</v>
      </c>
    </row>
    <row r="26" spans="1:5" s="421" customFormat="1" x14ac:dyDescent="0.2">
      <c r="A26" s="588">
        <v>2</v>
      </c>
      <c r="B26" s="587" t="s">
        <v>636</v>
      </c>
      <c r="C26" s="589">
        <v>132731513</v>
      </c>
      <c r="D26" s="591">
        <v>159777589</v>
      </c>
      <c r="E26" s="590">
        <f t="shared" si="1"/>
        <v>27046076</v>
      </c>
    </row>
    <row r="27" spans="1:5" s="421" customFormat="1" x14ac:dyDescent="0.2">
      <c r="A27" s="588">
        <v>3</v>
      </c>
      <c r="B27" s="587" t="s">
        <v>778</v>
      </c>
      <c r="C27" s="589">
        <v>139462150</v>
      </c>
      <c r="D27" s="591">
        <v>155038353</v>
      </c>
      <c r="E27" s="590">
        <f t="shared" si="1"/>
        <v>15576203</v>
      </c>
    </row>
    <row r="28" spans="1:5" s="421" customFormat="1" x14ac:dyDescent="0.2">
      <c r="A28" s="588">
        <v>4</v>
      </c>
      <c r="B28" s="587" t="s">
        <v>115</v>
      </c>
      <c r="C28" s="589">
        <v>139462150</v>
      </c>
      <c r="D28" s="591">
        <v>155038353</v>
      </c>
      <c r="E28" s="590">
        <f t="shared" si="1"/>
        <v>15576203</v>
      </c>
    </row>
    <row r="29" spans="1:5" s="421" customFormat="1" x14ac:dyDescent="0.2">
      <c r="A29" s="588">
        <v>5</v>
      </c>
      <c r="B29" s="587" t="s">
        <v>744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904569</v>
      </c>
      <c r="D30" s="591">
        <v>899169</v>
      </c>
      <c r="E30" s="590">
        <f t="shared" si="1"/>
        <v>-5400</v>
      </c>
    </row>
    <row r="31" spans="1:5" s="421" customFormat="1" x14ac:dyDescent="0.2">
      <c r="A31" s="588">
        <v>7</v>
      </c>
      <c r="B31" s="587" t="s">
        <v>759</v>
      </c>
      <c r="C31" s="590">
        <v>10625605</v>
      </c>
      <c r="D31" s="594">
        <v>12583003</v>
      </c>
      <c r="E31" s="590">
        <f t="shared" si="1"/>
        <v>1957398</v>
      </c>
    </row>
    <row r="32" spans="1:5" s="421" customFormat="1" x14ac:dyDescent="0.2">
      <c r="A32" s="588"/>
      <c r="B32" s="592" t="s">
        <v>781</v>
      </c>
      <c r="C32" s="593">
        <f>SUM(C26+C27+C30)</f>
        <v>273098232</v>
      </c>
      <c r="D32" s="593">
        <f>SUM(D26+D27+D30)</f>
        <v>315715111</v>
      </c>
      <c r="E32" s="593">
        <f t="shared" si="1"/>
        <v>42616879</v>
      </c>
    </row>
    <row r="33" spans="1:5" s="421" customFormat="1" x14ac:dyDescent="0.2">
      <c r="A33" s="588"/>
      <c r="B33" s="592" t="s">
        <v>467</v>
      </c>
      <c r="C33" s="593">
        <f>SUM(C25+C32)</f>
        <v>440154258</v>
      </c>
      <c r="D33" s="593">
        <f>SUM(D25+D32)</f>
        <v>501979305</v>
      </c>
      <c r="E33" s="593">
        <f t="shared" si="1"/>
        <v>61825047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654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782</v>
      </c>
      <c r="C36" s="590">
        <f t="shared" ref="C36:D42" si="2">C14+C25</f>
        <v>244050898</v>
      </c>
      <c r="D36" s="590">
        <f t="shared" si="2"/>
        <v>263812246</v>
      </c>
      <c r="E36" s="590">
        <f t="shared" ref="E36:E44" si="3">D36-C36</f>
        <v>19761348</v>
      </c>
    </row>
    <row r="37" spans="1:5" s="421" customFormat="1" x14ac:dyDescent="0.2">
      <c r="A37" s="588">
        <v>2</v>
      </c>
      <c r="B37" s="587" t="s">
        <v>783</v>
      </c>
      <c r="C37" s="590">
        <f t="shared" si="2"/>
        <v>294521184</v>
      </c>
      <c r="D37" s="590">
        <f t="shared" si="2"/>
        <v>324006675</v>
      </c>
      <c r="E37" s="590">
        <f t="shared" si="3"/>
        <v>29485491</v>
      </c>
    </row>
    <row r="38" spans="1:5" s="421" customFormat="1" x14ac:dyDescent="0.2">
      <c r="A38" s="588">
        <v>3</v>
      </c>
      <c r="B38" s="587" t="s">
        <v>784</v>
      </c>
      <c r="C38" s="590">
        <f t="shared" si="2"/>
        <v>206679023</v>
      </c>
      <c r="D38" s="590">
        <f t="shared" si="2"/>
        <v>227906456</v>
      </c>
      <c r="E38" s="590">
        <f t="shared" si="3"/>
        <v>21227433</v>
      </c>
    </row>
    <row r="39" spans="1:5" s="421" customFormat="1" x14ac:dyDescent="0.2">
      <c r="A39" s="588">
        <v>4</v>
      </c>
      <c r="B39" s="587" t="s">
        <v>785</v>
      </c>
      <c r="C39" s="590">
        <f t="shared" si="2"/>
        <v>206679023</v>
      </c>
      <c r="D39" s="590">
        <f t="shared" si="2"/>
        <v>227906456</v>
      </c>
      <c r="E39" s="590">
        <f t="shared" si="3"/>
        <v>21227433</v>
      </c>
    </row>
    <row r="40" spans="1:5" s="421" customFormat="1" x14ac:dyDescent="0.2">
      <c r="A40" s="588">
        <v>5</v>
      </c>
      <c r="B40" s="587" t="s">
        <v>786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787</v>
      </c>
      <c r="C41" s="590">
        <f t="shared" si="2"/>
        <v>1501233</v>
      </c>
      <c r="D41" s="590">
        <f t="shared" si="2"/>
        <v>1390994</v>
      </c>
      <c r="E41" s="590">
        <f t="shared" si="3"/>
        <v>-110239</v>
      </c>
    </row>
    <row r="42" spans="1:5" s="421" customFormat="1" x14ac:dyDescent="0.2">
      <c r="A42" s="588">
        <v>7</v>
      </c>
      <c r="B42" s="587" t="s">
        <v>788</v>
      </c>
      <c r="C42" s="590">
        <f t="shared" si="2"/>
        <v>11957493</v>
      </c>
      <c r="D42" s="590">
        <f t="shared" si="2"/>
        <v>14336621</v>
      </c>
      <c r="E42" s="590">
        <f t="shared" si="3"/>
        <v>2379128</v>
      </c>
    </row>
    <row r="43" spans="1:5" s="421" customFormat="1" x14ac:dyDescent="0.2">
      <c r="A43" s="588"/>
      <c r="B43" s="592" t="s">
        <v>789</v>
      </c>
      <c r="C43" s="593">
        <f>SUM(C37+C38+C41)</f>
        <v>502701440</v>
      </c>
      <c r="D43" s="593">
        <f>SUM(D37+D38+D41)</f>
        <v>553304125</v>
      </c>
      <c r="E43" s="593">
        <f t="shared" si="3"/>
        <v>50602685</v>
      </c>
    </row>
    <row r="44" spans="1:5" s="421" customFormat="1" x14ac:dyDescent="0.2">
      <c r="A44" s="588"/>
      <c r="B44" s="592" t="s">
        <v>726</v>
      </c>
      <c r="C44" s="593">
        <f>SUM(C36+C43)</f>
        <v>746752338</v>
      </c>
      <c r="D44" s="593">
        <f>SUM(D36+D43)</f>
        <v>817116371</v>
      </c>
      <c r="E44" s="593">
        <f t="shared" si="3"/>
        <v>70364033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790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657</v>
      </c>
      <c r="C47" s="589">
        <v>38963893</v>
      </c>
      <c r="D47" s="589">
        <v>38500378</v>
      </c>
      <c r="E47" s="590">
        <f t="shared" ref="E47:E55" si="4">D47-C47</f>
        <v>-463515</v>
      </c>
    </row>
    <row r="48" spans="1:5" s="421" customFormat="1" x14ac:dyDescent="0.2">
      <c r="A48" s="588">
        <v>2</v>
      </c>
      <c r="B48" s="587" t="s">
        <v>636</v>
      </c>
      <c r="C48" s="589">
        <v>67855120</v>
      </c>
      <c r="D48" s="591">
        <v>71770634</v>
      </c>
      <c r="E48" s="590">
        <f t="shared" si="4"/>
        <v>3915514</v>
      </c>
    </row>
    <row r="49" spans="1:5" s="421" customFormat="1" x14ac:dyDescent="0.2">
      <c r="A49" s="588">
        <v>3</v>
      </c>
      <c r="B49" s="587" t="s">
        <v>778</v>
      </c>
      <c r="C49" s="589">
        <v>21137470</v>
      </c>
      <c r="D49" s="591">
        <v>21746068</v>
      </c>
      <c r="E49" s="590">
        <f t="shared" si="4"/>
        <v>608598</v>
      </c>
    </row>
    <row r="50" spans="1:5" s="421" customFormat="1" x14ac:dyDescent="0.2">
      <c r="A50" s="588">
        <v>4</v>
      </c>
      <c r="B50" s="587" t="s">
        <v>115</v>
      </c>
      <c r="C50" s="589">
        <v>21137470</v>
      </c>
      <c r="D50" s="591">
        <v>21746068</v>
      </c>
      <c r="E50" s="590">
        <f t="shared" si="4"/>
        <v>608598</v>
      </c>
    </row>
    <row r="51" spans="1:5" s="421" customFormat="1" x14ac:dyDescent="0.2">
      <c r="A51" s="588">
        <v>5</v>
      </c>
      <c r="B51" s="587" t="s">
        <v>744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185111</v>
      </c>
      <c r="D52" s="591">
        <v>140465</v>
      </c>
      <c r="E52" s="590">
        <f t="shared" si="4"/>
        <v>-44646</v>
      </c>
    </row>
    <row r="53" spans="1:5" s="421" customFormat="1" x14ac:dyDescent="0.2">
      <c r="A53" s="588">
        <v>7</v>
      </c>
      <c r="B53" s="587" t="s">
        <v>759</v>
      </c>
      <c r="C53" s="589">
        <v>91946</v>
      </c>
      <c r="D53" s="591">
        <v>24237</v>
      </c>
      <c r="E53" s="590">
        <f t="shared" si="4"/>
        <v>-67709</v>
      </c>
    </row>
    <row r="54" spans="1:5" s="421" customFormat="1" x14ac:dyDescent="0.2">
      <c r="A54" s="588"/>
      <c r="B54" s="592" t="s">
        <v>791</v>
      </c>
      <c r="C54" s="593">
        <f>SUM(C48+C49+C52)</f>
        <v>89177701</v>
      </c>
      <c r="D54" s="593">
        <f>SUM(D48+D49+D52)</f>
        <v>93657167</v>
      </c>
      <c r="E54" s="593">
        <f t="shared" si="4"/>
        <v>4479466</v>
      </c>
    </row>
    <row r="55" spans="1:5" s="421" customFormat="1" x14ac:dyDescent="0.2">
      <c r="A55" s="588"/>
      <c r="B55" s="592" t="s">
        <v>466</v>
      </c>
      <c r="C55" s="593">
        <f>SUM(C47+C54)</f>
        <v>128141594</v>
      </c>
      <c r="D55" s="593">
        <f>SUM(D47+D54)</f>
        <v>132157545</v>
      </c>
      <c r="E55" s="593">
        <f t="shared" si="4"/>
        <v>4015951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792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657</v>
      </c>
      <c r="C58" s="589">
        <v>56247245</v>
      </c>
      <c r="D58" s="589">
        <v>62352992</v>
      </c>
      <c r="E58" s="590">
        <f t="shared" ref="E58:E66" si="5">D58-C58</f>
        <v>6105747</v>
      </c>
    </row>
    <row r="59" spans="1:5" s="421" customFormat="1" x14ac:dyDescent="0.2">
      <c r="A59" s="588">
        <v>2</v>
      </c>
      <c r="B59" s="587" t="s">
        <v>636</v>
      </c>
      <c r="C59" s="589">
        <v>29299189</v>
      </c>
      <c r="D59" s="591">
        <v>33888523</v>
      </c>
      <c r="E59" s="590">
        <f t="shared" si="5"/>
        <v>4589334</v>
      </c>
    </row>
    <row r="60" spans="1:5" s="421" customFormat="1" x14ac:dyDescent="0.2">
      <c r="A60" s="588">
        <v>3</v>
      </c>
      <c r="B60" s="587" t="s">
        <v>778</v>
      </c>
      <c r="C60" s="589">
        <f>C61+C62</f>
        <v>29023262</v>
      </c>
      <c r="D60" s="591">
        <f>D61+D62</f>
        <v>29484033</v>
      </c>
      <c r="E60" s="590">
        <f t="shared" si="5"/>
        <v>460771</v>
      </c>
    </row>
    <row r="61" spans="1:5" s="421" customFormat="1" x14ac:dyDescent="0.2">
      <c r="A61" s="588">
        <v>4</v>
      </c>
      <c r="B61" s="587" t="s">
        <v>115</v>
      </c>
      <c r="C61" s="589">
        <v>29023262</v>
      </c>
      <c r="D61" s="591">
        <v>29484033</v>
      </c>
      <c r="E61" s="590">
        <f t="shared" si="5"/>
        <v>460771</v>
      </c>
    </row>
    <row r="62" spans="1:5" s="421" customFormat="1" x14ac:dyDescent="0.2">
      <c r="A62" s="588">
        <v>5</v>
      </c>
      <c r="B62" s="587" t="s">
        <v>744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193957</v>
      </c>
      <c r="D63" s="591">
        <v>179457</v>
      </c>
      <c r="E63" s="590">
        <f t="shared" si="5"/>
        <v>-14500</v>
      </c>
    </row>
    <row r="64" spans="1:5" s="421" customFormat="1" x14ac:dyDescent="0.2">
      <c r="A64" s="588">
        <v>7</v>
      </c>
      <c r="B64" s="587" t="s">
        <v>759</v>
      </c>
      <c r="C64" s="589">
        <v>511365</v>
      </c>
      <c r="D64" s="591">
        <v>527219</v>
      </c>
      <c r="E64" s="590">
        <f t="shared" si="5"/>
        <v>15854</v>
      </c>
    </row>
    <row r="65" spans="1:5" s="421" customFormat="1" x14ac:dyDescent="0.2">
      <c r="A65" s="588"/>
      <c r="B65" s="592" t="s">
        <v>793</v>
      </c>
      <c r="C65" s="593">
        <f>SUM(C59+C60+C63)</f>
        <v>58516408</v>
      </c>
      <c r="D65" s="593">
        <f>SUM(D59+D60+D63)</f>
        <v>63552013</v>
      </c>
      <c r="E65" s="593">
        <f t="shared" si="5"/>
        <v>5035605</v>
      </c>
    </row>
    <row r="66" spans="1:5" s="421" customFormat="1" x14ac:dyDescent="0.2">
      <c r="A66" s="588"/>
      <c r="B66" s="592" t="s">
        <v>468</v>
      </c>
      <c r="C66" s="593">
        <f>SUM(C58+C65)</f>
        <v>114763653</v>
      </c>
      <c r="D66" s="593">
        <f>SUM(D58+D65)</f>
        <v>125905005</v>
      </c>
      <c r="E66" s="593">
        <f t="shared" si="5"/>
        <v>11141352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655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782</v>
      </c>
      <c r="C69" s="590">
        <f t="shared" ref="C69:D75" si="6">C47+C58</f>
        <v>95211138</v>
      </c>
      <c r="D69" s="590">
        <f t="shared" si="6"/>
        <v>100853370</v>
      </c>
      <c r="E69" s="590">
        <f t="shared" ref="E69:E77" si="7">D69-C69</f>
        <v>5642232</v>
      </c>
    </row>
    <row r="70" spans="1:5" s="421" customFormat="1" x14ac:dyDescent="0.2">
      <c r="A70" s="588">
        <v>2</v>
      </c>
      <c r="B70" s="587" t="s">
        <v>783</v>
      </c>
      <c r="C70" s="590">
        <f t="shared" si="6"/>
        <v>97154309</v>
      </c>
      <c r="D70" s="590">
        <f t="shared" si="6"/>
        <v>105659157</v>
      </c>
      <c r="E70" s="590">
        <f t="shared" si="7"/>
        <v>8504848</v>
      </c>
    </row>
    <row r="71" spans="1:5" s="421" customFormat="1" x14ac:dyDescent="0.2">
      <c r="A71" s="588">
        <v>3</v>
      </c>
      <c r="B71" s="587" t="s">
        <v>784</v>
      </c>
      <c r="C71" s="590">
        <f t="shared" si="6"/>
        <v>50160732</v>
      </c>
      <c r="D71" s="590">
        <f t="shared" si="6"/>
        <v>51230101</v>
      </c>
      <c r="E71" s="590">
        <f t="shared" si="7"/>
        <v>1069369</v>
      </c>
    </row>
    <row r="72" spans="1:5" s="421" customFormat="1" x14ac:dyDescent="0.2">
      <c r="A72" s="588">
        <v>4</v>
      </c>
      <c r="B72" s="587" t="s">
        <v>785</v>
      </c>
      <c r="C72" s="590">
        <f t="shared" si="6"/>
        <v>50160732</v>
      </c>
      <c r="D72" s="590">
        <f t="shared" si="6"/>
        <v>51230101</v>
      </c>
      <c r="E72" s="590">
        <f t="shared" si="7"/>
        <v>1069369</v>
      </c>
    </row>
    <row r="73" spans="1:5" s="421" customFormat="1" x14ac:dyDescent="0.2">
      <c r="A73" s="588">
        <v>5</v>
      </c>
      <c r="B73" s="587" t="s">
        <v>786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787</v>
      </c>
      <c r="C74" s="590">
        <f t="shared" si="6"/>
        <v>379068</v>
      </c>
      <c r="D74" s="590">
        <f t="shared" si="6"/>
        <v>319922</v>
      </c>
      <c r="E74" s="590">
        <f t="shared" si="7"/>
        <v>-59146</v>
      </c>
    </row>
    <row r="75" spans="1:5" s="421" customFormat="1" x14ac:dyDescent="0.2">
      <c r="A75" s="588">
        <v>7</v>
      </c>
      <c r="B75" s="587" t="s">
        <v>788</v>
      </c>
      <c r="C75" s="590">
        <f t="shared" si="6"/>
        <v>603311</v>
      </c>
      <c r="D75" s="590">
        <f t="shared" si="6"/>
        <v>551456</v>
      </c>
      <c r="E75" s="590">
        <f t="shared" si="7"/>
        <v>-51855</v>
      </c>
    </row>
    <row r="76" spans="1:5" s="421" customFormat="1" x14ac:dyDescent="0.2">
      <c r="A76" s="588"/>
      <c r="B76" s="592" t="s">
        <v>794</v>
      </c>
      <c r="C76" s="593">
        <f>SUM(C70+C71+C74)</f>
        <v>147694109</v>
      </c>
      <c r="D76" s="593">
        <f>SUM(D70+D71+D74)</f>
        <v>157209180</v>
      </c>
      <c r="E76" s="593">
        <f t="shared" si="7"/>
        <v>9515071</v>
      </c>
    </row>
    <row r="77" spans="1:5" s="421" customFormat="1" x14ac:dyDescent="0.2">
      <c r="A77" s="588"/>
      <c r="B77" s="592" t="s">
        <v>727</v>
      </c>
      <c r="C77" s="593">
        <f>SUM(C69+C76)</f>
        <v>242905247</v>
      </c>
      <c r="D77" s="593">
        <f>SUM(D69+D76)</f>
        <v>258062550</v>
      </c>
      <c r="E77" s="593">
        <f t="shared" si="7"/>
        <v>15157303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795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796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657</v>
      </c>
      <c r="C83" s="599">
        <f t="shared" ref="C83:D89" si="8">IF(C$44=0,0,C14/C$44)</f>
        <v>0.10310630189148468</v>
      </c>
      <c r="D83" s="599">
        <f t="shared" si="8"/>
        <v>9.4904538389183737E-2</v>
      </c>
      <c r="E83" s="599">
        <f t="shared" ref="E83:E91" si="9">D83-C83</f>
        <v>-8.2017635023009378E-3</v>
      </c>
    </row>
    <row r="84" spans="1:5" s="421" customFormat="1" x14ac:dyDescent="0.2">
      <c r="A84" s="588">
        <v>2</v>
      </c>
      <c r="B84" s="587" t="s">
        <v>636</v>
      </c>
      <c r="C84" s="599">
        <f t="shared" si="8"/>
        <v>0.21665773612884223</v>
      </c>
      <c r="D84" s="599">
        <f t="shared" si="8"/>
        <v>0.20098616528636409</v>
      </c>
      <c r="E84" s="599">
        <f t="shared" si="9"/>
        <v>-1.5671570842478139E-2</v>
      </c>
    </row>
    <row r="85" spans="1:5" s="421" customFormat="1" x14ac:dyDescent="0.2">
      <c r="A85" s="588">
        <v>3</v>
      </c>
      <c r="B85" s="587" t="s">
        <v>778</v>
      </c>
      <c r="C85" s="599">
        <f t="shared" si="8"/>
        <v>9.0012269904670858E-2</v>
      </c>
      <c r="D85" s="599">
        <f t="shared" si="8"/>
        <v>8.9177142431772424E-2</v>
      </c>
      <c r="E85" s="599">
        <f t="shared" si="9"/>
        <v>-8.351274728984337E-4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9.0012269904670858E-2</v>
      </c>
      <c r="D86" s="599">
        <f t="shared" si="8"/>
        <v>8.9177142431772424E-2</v>
      </c>
      <c r="E86" s="599">
        <f t="shared" si="9"/>
        <v>-8.351274728984337E-4</v>
      </c>
    </row>
    <row r="87" spans="1:5" s="421" customFormat="1" x14ac:dyDescent="0.2">
      <c r="A87" s="588">
        <v>5</v>
      </c>
      <c r="B87" s="587" t="s">
        <v>744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7.9901189408797008E-4</v>
      </c>
      <c r="D88" s="599">
        <f t="shared" si="8"/>
        <v>6.0190325081615581E-4</v>
      </c>
      <c r="E88" s="599">
        <f t="shared" si="9"/>
        <v>-1.9710864327181427E-4</v>
      </c>
    </row>
    <row r="89" spans="1:5" s="421" customFormat="1" x14ac:dyDescent="0.2">
      <c r="A89" s="588">
        <v>7</v>
      </c>
      <c r="B89" s="587" t="s">
        <v>759</v>
      </c>
      <c r="C89" s="599">
        <f t="shared" si="8"/>
        <v>1.783573927022643E-3</v>
      </c>
      <c r="D89" s="599">
        <f t="shared" si="8"/>
        <v>2.1461055759461707E-3</v>
      </c>
      <c r="E89" s="599">
        <f t="shared" si="9"/>
        <v>3.6253164892352768E-4</v>
      </c>
    </row>
    <row r="90" spans="1:5" s="421" customFormat="1" x14ac:dyDescent="0.2">
      <c r="A90" s="588"/>
      <c r="B90" s="592" t="s">
        <v>797</v>
      </c>
      <c r="C90" s="600">
        <f>SUM(C84+C85+C88)</f>
        <v>0.30746901792760106</v>
      </c>
      <c r="D90" s="600">
        <f>SUM(D84+D85+D88)</f>
        <v>0.29076521096895269</v>
      </c>
      <c r="E90" s="601">
        <f t="shared" si="9"/>
        <v>-1.6703806958648371E-2</v>
      </c>
    </row>
    <row r="91" spans="1:5" s="421" customFormat="1" x14ac:dyDescent="0.2">
      <c r="A91" s="588"/>
      <c r="B91" s="592" t="s">
        <v>798</v>
      </c>
      <c r="C91" s="600">
        <f>SUM(C83+C90)</f>
        <v>0.41057531981908574</v>
      </c>
      <c r="D91" s="600">
        <f>SUM(D83+D90)</f>
        <v>0.38566974935813642</v>
      </c>
      <c r="E91" s="601">
        <f t="shared" si="9"/>
        <v>-2.4905570460949322E-2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799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657</v>
      </c>
      <c r="C95" s="599">
        <f t="shared" ref="C95:D101" si="10">IF(C$44=0,0,C25/C$44)</f>
        <v>0.22371008097198619</v>
      </c>
      <c r="D95" s="599">
        <f t="shared" si="10"/>
        <v>0.22795308062674954</v>
      </c>
      <c r="E95" s="599">
        <f t="shared" ref="E95:E103" si="11">D95-C95</f>
        <v>4.2429996547633519E-3</v>
      </c>
    </row>
    <row r="96" spans="1:5" s="421" customFormat="1" x14ac:dyDescent="0.2">
      <c r="A96" s="588">
        <v>2</v>
      </c>
      <c r="B96" s="587" t="s">
        <v>636</v>
      </c>
      <c r="C96" s="599">
        <f t="shared" si="10"/>
        <v>0.17774502501791967</v>
      </c>
      <c r="D96" s="599">
        <f t="shared" si="10"/>
        <v>0.19553835251698806</v>
      </c>
      <c r="E96" s="599">
        <f t="shared" si="11"/>
        <v>1.7793327499068395E-2</v>
      </c>
    </row>
    <row r="97" spans="1:5" s="421" customFormat="1" x14ac:dyDescent="0.2">
      <c r="A97" s="588">
        <v>3</v>
      </c>
      <c r="B97" s="587" t="s">
        <v>778</v>
      </c>
      <c r="C97" s="599">
        <f t="shared" si="10"/>
        <v>0.18675823683862372</v>
      </c>
      <c r="D97" s="599">
        <f t="shared" si="10"/>
        <v>0.18973840018681989</v>
      </c>
      <c r="E97" s="599">
        <f t="shared" si="11"/>
        <v>2.9801633481961742E-3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0.18675823683862372</v>
      </c>
      <c r="D98" s="599">
        <f t="shared" si="10"/>
        <v>0.18973840018681989</v>
      </c>
      <c r="E98" s="599">
        <f t="shared" si="11"/>
        <v>2.9801633481961742E-3</v>
      </c>
    </row>
    <row r="99" spans="1:5" s="421" customFormat="1" x14ac:dyDescent="0.2">
      <c r="A99" s="588">
        <v>5</v>
      </c>
      <c r="B99" s="587" t="s">
        <v>744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1.2113373523846937E-3</v>
      </c>
      <c r="D100" s="599">
        <f t="shared" si="10"/>
        <v>1.1004173113060784E-3</v>
      </c>
      <c r="E100" s="599">
        <f t="shared" si="11"/>
        <v>-1.1092004107861536E-4</v>
      </c>
    </row>
    <row r="101" spans="1:5" s="421" customFormat="1" x14ac:dyDescent="0.2">
      <c r="A101" s="588">
        <v>7</v>
      </c>
      <c r="B101" s="587" t="s">
        <v>759</v>
      </c>
      <c r="C101" s="599">
        <f t="shared" si="10"/>
        <v>1.4229088359412676E-2</v>
      </c>
      <c r="D101" s="599">
        <f t="shared" si="10"/>
        <v>1.5399279033659209E-2</v>
      </c>
      <c r="E101" s="599">
        <f t="shared" si="11"/>
        <v>1.1701906742465334E-3</v>
      </c>
    </row>
    <row r="102" spans="1:5" s="421" customFormat="1" x14ac:dyDescent="0.2">
      <c r="A102" s="588"/>
      <c r="B102" s="592" t="s">
        <v>800</v>
      </c>
      <c r="C102" s="600">
        <f>SUM(C96+C97+C100)</f>
        <v>0.36571459920892807</v>
      </c>
      <c r="D102" s="600">
        <f>SUM(D96+D97+D100)</f>
        <v>0.38637717001511401</v>
      </c>
      <c r="E102" s="601">
        <f t="shared" si="11"/>
        <v>2.0662570806185943E-2</v>
      </c>
    </row>
    <row r="103" spans="1:5" s="421" customFormat="1" x14ac:dyDescent="0.2">
      <c r="A103" s="588"/>
      <c r="B103" s="592" t="s">
        <v>801</v>
      </c>
      <c r="C103" s="600">
        <f>SUM(C95+C102)</f>
        <v>0.58942468018091421</v>
      </c>
      <c r="D103" s="600">
        <f>SUM(D95+D102)</f>
        <v>0.61433025064186353</v>
      </c>
      <c r="E103" s="601">
        <f t="shared" si="11"/>
        <v>2.4905570460949322E-2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802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803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657</v>
      </c>
      <c r="C109" s="599">
        <f t="shared" ref="C109:D115" si="12">IF(C$77=0,0,C47/C$77)</f>
        <v>0.16040778649791784</v>
      </c>
      <c r="D109" s="599">
        <f t="shared" si="12"/>
        <v>0.14919010139208497</v>
      </c>
      <c r="E109" s="599">
        <f t="shared" ref="E109:E117" si="13">D109-C109</f>
        <v>-1.1217685105832875E-2</v>
      </c>
    </row>
    <row r="110" spans="1:5" s="421" customFormat="1" x14ac:dyDescent="0.2">
      <c r="A110" s="588">
        <v>2</v>
      </c>
      <c r="B110" s="587" t="s">
        <v>636</v>
      </c>
      <c r="C110" s="599">
        <f t="shared" si="12"/>
        <v>0.27934810317209824</v>
      </c>
      <c r="D110" s="599">
        <f t="shared" si="12"/>
        <v>0.27811332562589963</v>
      </c>
      <c r="E110" s="599">
        <f t="shared" si="13"/>
        <v>-1.2347775461986066E-3</v>
      </c>
    </row>
    <row r="111" spans="1:5" s="421" customFormat="1" x14ac:dyDescent="0.2">
      <c r="A111" s="588">
        <v>3</v>
      </c>
      <c r="B111" s="587" t="s">
        <v>778</v>
      </c>
      <c r="C111" s="599">
        <f t="shared" si="12"/>
        <v>8.701940473109665E-2</v>
      </c>
      <c r="D111" s="599">
        <f t="shared" si="12"/>
        <v>8.4266655506581647E-2</v>
      </c>
      <c r="E111" s="599">
        <f t="shared" si="13"/>
        <v>-2.7527492245150026E-3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8.701940473109665E-2</v>
      </c>
      <c r="D112" s="599">
        <f t="shared" si="12"/>
        <v>8.4266655506581647E-2</v>
      </c>
      <c r="E112" s="599">
        <f t="shared" si="13"/>
        <v>-2.7527492245150026E-3</v>
      </c>
    </row>
    <row r="113" spans="1:5" s="421" customFormat="1" x14ac:dyDescent="0.2">
      <c r="A113" s="588">
        <v>5</v>
      </c>
      <c r="B113" s="587" t="s">
        <v>744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7.6207081685641812E-4</v>
      </c>
      <c r="D114" s="599">
        <f t="shared" si="12"/>
        <v>5.4430602193150462E-4</v>
      </c>
      <c r="E114" s="599">
        <f t="shared" si="13"/>
        <v>-2.177647949249135E-4</v>
      </c>
    </row>
    <row r="115" spans="1:5" s="421" customFormat="1" x14ac:dyDescent="0.2">
      <c r="A115" s="588">
        <v>7</v>
      </c>
      <c r="B115" s="587" t="s">
        <v>759</v>
      </c>
      <c r="C115" s="599">
        <f t="shared" si="12"/>
        <v>3.7852619955961678E-4</v>
      </c>
      <c r="D115" s="599">
        <f t="shared" si="12"/>
        <v>9.3919090546071095E-5</v>
      </c>
      <c r="E115" s="599">
        <f t="shared" si="13"/>
        <v>-2.8460710901354568E-4</v>
      </c>
    </row>
    <row r="116" spans="1:5" s="421" customFormat="1" x14ac:dyDescent="0.2">
      <c r="A116" s="588"/>
      <c r="B116" s="592" t="s">
        <v>797</v>
      </c>
      <c r="C116" s="600">
        <f>SUM(C110+C111+C114)</f>
        <v>0.36712957872005131</v>
      </c>
      <c r="D116" s="600">
        <f>SUM(D110+D111+D114)</f>
        <v>0.36292428715441277</v>
      </c>
      <c r="E116" s="601">
        <f t="shared" si="13"/>
        <v>-4.2052915656385359E-3</v>
      </c>
    </row>
    <row r="117" spans="1:5" s="421" customFormat="1" x14ac:dyDescent="0.2">
      <c r="A117" s="588"/>
      <c r="B117" s="592" t="s">
        <v>798</v>
      </c>
      <c r="C117" s="600">
        <f>SUM(C109+C116)</f>
        <v>0.52753736521796912</v>
      </c>
      <c r="D117" s="600">
        <f>SUM(D109+D116)</f>
        <v>0.51211438854649771</v>
      </c>
      <c r="E117" s="601">
        <f t="shared" si="13"/>
        <v>-1.5422976671471411E-2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804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657</v>
      </c>
      <c r="C121" s="599">
        <f t="shared" ref="C121:D127" si="14">IF(C$77=0,0,C58/C$77)</f>
        <v>0.23156043640341784</v>
      </c>
      <c r="D121" s="599">
        <f t="shared" si="14"/>
        <v>0.24161968483997387</v>
      </c>
      <c r="E121" s="599">
        <f t="shared" ref="E121:E129" si="15">D121-C121</f>
        <v>1.0059248436556034E-2</v>
      </c>
    </row>
    <row r="122" spans="1:5" s="421" customFormat="1" x14ac:dyDescent="0.2">
      <c r="A122" s="588">
        <v>2</v>
      </c>
      <c r="B122" s="587" t="s">
        <v>636</v>
      </c>
      <c r="C122" s="599">
        <f t="shared" si="14"/>
        <v>0.12061982753299685</v>
      </c>
      <c r="D122" s="599">
        <f t="shared" si="14"/>
        <v>0.13131902711183782</v>
      </c>
      <c r="E122" s="599">
        <f t="shared" si="15"/>
        <v>1.0699199578840968E-2</v>
      </c>
    </row>
    <row r="123" spans="1:5" s="421" customFormat="1" x14ac:dyDescent="0.2">
      <c r="A123" s="588">
        <v>3</v>
      </c>
      <c r="B123" s="587" t="s">
        <v>778</v>
      </c>
      <c r="C123" s="599">
        <f t="shared" si="14"/>
        <v>0.11948388253630438</v>
      </c>
      <c r="D123" s="599">
        <f t="shared" si="14"/>
        <v>0.11425149832860289</v>
      </c>
      <c r="E123" s="599">
        <f t="shared" si="15"/>
        <v>-5.2323842077014876E-3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0.11948388253630438</v>
      </c>
      <c r="D124" s="599">
        <f t="shared" si="14"/>
        <v>0.11425149832860289</v>
      </c>
      <c r="E124" s="599">
        <f t="shared" si="15"/>
        <v>-5.2323842077014876E-3</v>
      </c>
    </row>
    <row r="125" spans="1:5" s="421" customFormat="1" x14ac:dyDescent="0.2">
      <c r="A125" s="588">
        <v>5</v>
      </c>
      <c r="B125" s="587" t="s">
        <v>744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7.9848830931181984E-4</v>
      </c>
      <c r="D126" s="599">
        <f t="shared" si="14"/>
        <v>6.9540117308768742E-4</v>
      </c>
      <c r="E126" s="599">
        <f t="shared" si="15"/>
        <v>-1.0308713622413242E-4</v>
      </c>
    </row>
    <row r="127" spans="1:5" s="421" customFormat="1" x14ac:dyDescent="0.2">
      <c r="A127" s="588">
        <v>7</v>
      </c>
      <c r="B127" s="587" t="s">
        <v>759</v>
      </c>
      <c r="C127" s="599">
        <f t="shared" si="14"/>
        <v>2.1052035981750528E-3</v>
      </c>
      <c r="D127" s="599">
        <f t="shared" si="14"/>
        <v>2.0429891900238914E-3</v>
      </c>
      <c r="E127" s="599">
        <f t="shared" si="15"/>
        <v>-6.2214408151161412E-5</v>
      </c>
    </row>
    <row r="128" spans="1:5" s="421" customFormat="1" x14ac:dyDescent="0.2">
      <c r="A128" s="588"/>
      <c r="B128" s="592" t="s">
        <v>800</v>
      </c>
      <c r="C128" s="600">
        <f>SUM(C122+C123+C126)</f>
        <v>0.24090219837861304</v>
      </c>
      <c r="D128" s="600">
        <f>SUM(D122+D123+D126)</f>
        <v>0.24626592661352842</v>
      </c>
      <c r="E128" s="601">
        <f t="shared" si="15"/>
        <v>5.363728234915377E-3</v>
      </c>
    </row>
    <row r="129" spans="1:5" s="421" customFormat="1" x14ac:dyDescent="0.2">
      <c r="A129" s="588"/>
      <c r="B129" s="592" t="s">
        <v>801</v>
      </c>
      <c r="C129" s="600">
        <f>SUM(C121+C128)</f>
        <v>0.47246263478203088</v>
      </c>
      <c r="D129" s="600">
        <f>SUM(D121+D128)</f>
        <v>0.48788561145350229</v>
      </c>
      <c r="E129" s="601">
        <f t="shared" si="15"/>
        <v>1.5422976671471411E-2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805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806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807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657</v>
      </c>
      <c r="C137" s="606">
        <v>2873</v>
      </c>
      <c r="D137" s="606">
        <v>2711</v>
      </c>
      <c r="E137" s="607">
        <f t="shared" ref="E137:E145" si="16">D137-C137</f>
        <v>-162</v>
      </c>
    </row>
    <row r="138" spans="1:5" s="421" customFormat="1" x14ac:dyDescent="0.2">
      <c r="A138" s="588">
        <v>2</v>
      </c>
      <c r="B138" s="587" t="s">
        <v>636</v>
      </c>
      <c r="C138" s="606">
        <v>5226</v>
      </c>
      <c r="D138" s="606">
        <v>5249</v>
      </c>
      <c r="E138" s="607">
        <f t="shared" si="16"/>
        <v>23</v>
      </c>
    </row>
    <row r="139" spans="1:5" s="421" customFormat="1" x14ac:dyDescent="0.2">
      <c r="A139" s="588">
        <v>3</v>
      </c>
      <c r="B139" s="587" t="s">
        <v>778</v>
      </c>
      <c r="C139" s="606">
        <f>C140+C141</f>
        <v>3721</v>
      </c>
      <c r="D139" s="606">
        <f>D140+D141</f>
        <v>3675</v>
      </c>
      <c r="E139" s="607">
        <f t="shared" si="16"/>
        <v>-46</v>
      </c>
    </row>
    <row r="140" spans="1:5" s="421" customFormat="1" x14ac:dyDescent="0.2">
      <c r="A140" s="588">
        <v>4</v>
      </c>
      <c r="B140" s="587" t="s">
        <v>115</v>
      </c>
      <c r="C140" s="606">
        <v>3721</v>
      </c>
      <c r="D140" s="606">
        <v>3675</v>
      </c>
      <c r="E140" s="607">
        <f t="shared" si="16"/>
        <v>-46</v>
      </c>
    </row>
    <row r="141" spans="1:5" s="421" customFormat="1" x14ac:dyDescent="0.2">
      <c r="A141" s="588">
        <v>5</v>
      </c>
      <c r="B141" s="587" t="s">
        <v>744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25</v>
      </c>
      <c r="D142" s="606">
        <v>21</v>
      </c>
      <c r="E142" s="607">
        <f t="shared" si="16"/>
        <v>-4</v>
      </c>
    </row>
    <row r="143" spans="1:5" s="421" customFormat="1" x14ac:dyDescent="0.2">
      <c r="A143" s="588">
        <v>7</v>
      </c>
      <c r="B143" s="587" t="s">
        <v>759</v>
      </c>
      <c r="C143" s="606">
        <v>78</v>
      </c>
      <c r="D143" s="606">
        <v>97</v>
      </c>
      <c r="E143" s="607">
        <f t="shared" si="16"/>
        <v>19</v>
      </c>
    </row>
    <row r="144" spans="1:5" s="421" customFormat="1" x14ac:dyDescent="0.2">
      <c r="A144" s="588"/>
      <c r="B144" s="592" t="s">
        <v>808</v>
      </c>
      <c r="C144" s="608">
        <f>SUM(C138+C139+C142)</f>
        <v>8972</v>
      </c>
      <c r="D144" s="608">
        <f>SUM(D138+D139+D142)</f>
        <v>8945</v>
      </c>
      <c r="E144" s="609">
        <f t="shared" si="16"/>
        <v>-27</v>
      </c>
    </row>
    <row r="145" spans="1:5" s="421" customFormat="1" x14ac:dyDescent="0.2">
      <c r="A145" s="588"/>
      <c r="B145" s="592" t="s">
        <v>138</v>
      </c>
      <c r="C145" s="608">
        <f>SUM(C137+C144)</f>
        <v>11845</v>
      </c>
      <c r="D145" s="608">
        <f>SUM(D137+D144)</f>
        <v>11656</v>
      </c>
      <c r="E145" s="609">
        <f t="shared" si="16"/>
        <v>-189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657</v>
      </c>
      <c r="C149" s="610">
        <v>10321</v>
      </c>
      <c r="D149" s="610">
        <v>9266</v>
      </c>
      <c r="E149" s="607">
        <f t="shared" ref="E149:E157" si="17">D149-C149</f>
        <v>-1055</v>
      </c>
    </row>
    <row r="150" spans="1:5" s="421" customFormat="1" x14ac:dyDescent="0.2">
      <c r="A150" s="588">
        <v>2</v>
      </c>
      <c r="B150" s="587" t="s">
        <v>636</v>
      </c>
      <c r="C150" s="610">
        <v>26125</v>
      </c>
      <c r="D150" s="610">
        <v>23783</v>
      </c>
      <c r="E150" s="607">
        <f t="shared" si="17"/>
        <v>-2342</v>
      </c>
    </row>
    <row r="151" spans="1:5" s="421" customFormat="1" x14ac:dyDescent="0.2">
      <c r="A151" s="588">
        <v>3</v>
      </c>
      <c r="B151" s="587" t="s">
        <v>778</v>
      </c>
      <c r="C151" s="610">
        <f>C152+C153</f>
        <v>14042</v>
      </c>
      <c r="D151" s="610">
        <f>D152+D153</f>
        <v>13454</v>
      </c>
      <c r="E151" s="607">
        <f t="shared" si="17"/>
        <v>-588</v>
      </c>
    </row>
    <row r="152" spans="1:5" s="421" customFormat="1" x14ac:dyDescent="0.2">
      <c r="A152" s="588">
        <v>4</v>
      </c>
      <c r="B152" s="587" t="s">
        <v>115</v>
      </c>
      <c r="C152" s="610">
        <v>14042</v>
      </c>
      <c r="D152" s="610">
        <v>13454</v>
      </c>
      <c r="E152" s="607">
        <f t="shared" si="17"/>
        <v>-588</v>
      </c>
    </row>
    <row r="153" spans="1:5" s="421" customFormat="1" x14ac:dyDescent="0.2">
      <c r="A153" s="588">
        <v>5</v>
      </c>
      <c r="B153" s="587" t="s">
        <v>744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68</v>
      </c>
      <c r="D154" s="610">
        <v>131</v>
      </c>
      <c r="E154" s="607">
        <f t="shared" si="17"/>
        <v>63</v>
      </c>
    </row>
    <row r="155" spans="1:5" s="421" customFormat="1" x14ac:dyDescent="0.2">
      <c r="A155" s="588">
        <v>7</v>
      </c>
      <c r="B155" s="587" t="s">
        <v>759</v>
      </c>
      <c r="C155" s="610">
        <v>222</v>
      </c>
      <c r="D155" s="610">
        <v>246</v>
      </c>
      <c r="E155" s="607">
        <f t="shared" si="17"/>
        <v>24</v>
      </c>
    </row>
    <row r="156" spans="1:5" s="421" customFormat="1" x14ac:dyDescent="0.2">
      <c r="A156" s="588"/>
      <c r="B156" s="592" t="s">
        <v>809</v>
      </c>
      <c r="C156" s="608">
        <f>SUM(C150+C151+C154)</f>
        <v>40235</v>
      </c>
      <c r="D156" s="608">
        <f>SUM(D150+D151+D154)</f>
        <v>37368</v>
      </c>
      <c r="E156" s="609">
        <f t="shared" si="17"/>
        <v>-2867</v>
      </c>
    </row>
    <row r="157" spans="1:5" s="421" customFormat="1" x14ac:dyDescent="0.2">
      <c r="A157" s="588"/>
      <c r="B157" s="592" t="s">
        <v>140</v>
      </c>
      <c r="C157" s="608">
        <f>SUM(C149+C156)</f>
        <v>50556</v>
      </c>
      <c r="D157" s="608">
        <f>SUM(D149+D156)</f>
        <v>46634</v>
      </c>
      <c r="E157" s="609">
        <f t="shared" si="17"/>
        <v>-3922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810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657</v>
      </c>
      <c r="C161" s="612">
        <f t="shared" ref="C161:D169" si="18">IF(C137=0,0,C149/C137)</f>
        <v>3.5924121127741038</v>
      </c>
      <c r="D161" s="612">
        <f t="shared" si="18"/>
        <v>3.4179269642198449</v>
      </c>
      <c r="E161" s="613">
        <f t="shared" ref="E161:E169" si="19">D161-C161</f>
        <v>-0.1744851485542589</v>
      </c>
    </row>
    <row r="162" spans="1:5" s="421" customFormat="1" x14ac:dyDescent="0.2">
      <c r="A162" s="588">
        <v>2</v>
      </c>
      <c r="B162" s="587" t="s">
        <v>636</v>
      </c>
      <c r="C162" s="612">
        <f t="shared" si="18"/>
        <v>4.9990432453119018</v>
      </c>
      <c r="D162" s="612">
        <f t="shared" si="18"/>
        <v>4.5309582777671942</v>
      </c>
      <c r="E162" s="613">
        <f t="shared" si="19"/>
        <v>-0.46808496754470763</v>
      </c>
    </row>
    <row r="163" spans="1:5" s="421" customFormat="1" x14ac:dyDescent="0.2">
      <c r="A163" s="588">
        <v>3</v>
      </c>
      <c r="B163" s="587" t="s">
        <v>778</v>
      </c>
      <c r="C163" s="612">
        <f t="shared" si="18"/>
        <v>3.7737167428110725</v>
      </c>
      <c r="D163" s="612">
        <f t="shared" si="18"/>
        <v>3.6609523809523807</v>
      </c>
      <c r="E163" s="613">
        <f t="shared" si="19"/>
        <v>-0.11276436185869176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3.7737167428110725</v>
      </c>
      <c r="D164" s="612">
        <f t="shared" si="18"/>
        <v>3.6609523809523807</v>
      </c>
      <c r="E164" s="613">
        <f t="shared" si="19"/>
        <v>-0.11276436185869176</v>
      </c>
    </row>
    <row r="165" spans="1:5" s="421" customFormat="1" x14ac:dyDescent="0.2">
      <c r="A165" s="588">
        <v>5</v>
      </c>
      <c r="B165" s="587" t="s">
        <v>744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2.72</v>
      </c>
      <c r="D166" s="612">
        <f t="shared" si="18"/>
        <v>6.2380952380952381</v>
      </c>
      <c r="E166" s="613">
        <f t="shared" si="19"/>
        <v>3.5180952380952379</v>
      </c>
    </row>
    <row r="167" spans="1:5" s="421" customFormat="1" x14ac:dyDescent="0.2">
      <c r="A167" s="588">
        <v>7</v>
      </c>
      <c r="B167" s="587" t="s">
        <v>759</v>
      </c>
      <c r="C167" s="612">
        <f t="shared" si="18"/>
        <v>2.8461538461538463</v>
      </c>
      <c r="D167" s="612">
        <f t="shared" si="18"/>
        <v>2.536082474226804</v>
      </c>
      <c r="E167" s="613">
        <f t="shared" si="19"/>
        <v>-0.31007137192704226</v>
      </c>
    </row>
    <row r="168" spans="1:5" s="421" customFormat="1" x14ac:dyDescent="0.2">
      <c r="A168" s="588"/>
      <c r="B168" s="592" t="s">
        <v>811</v>
      </c>
      <c r="C168" s="614">
        <f t="shared" si="18"/>
        <v>4.4845073562193489</v>
      </c>
      <c r="D168" s="614">
        <f t="shared" si="18"/>
        <v>4.1775293460033538</v>
      </c>
      <c r="E168" s="615">
        <f t="shared" si="19"/>
        <v>-0.30697801021599513</v>
      </c>
    </row>
    <row r="169" spans="1:5" s="421" customFormat="1" x14ac:dyDescent="0.2">
      <c r="A169" s="588"/>
      <c r="B169" s="592" t="s">
        <v>745</v>
      </c>
      <c r="C169" s="614">
        <f t="shared" si="18"/>
        <v>4.2681300126635708</v>
      </c>
      <c r="D169" s="614">
        <f t="shared" si="18"/>
        <v>4.0008579272477691</v>
      </c>
      <c r="E169" s="615">
        <f t="shared" si="19"/>
        <v>-0.26727208541580172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812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657</v>
      </c>
      <c r="C173" s="617">
        <f t="shared" ref="C173:D181" si="20">IF(C137=0,0,C203/C137)</f>
        <v>1.302</v>
      </c>
      <c r="D173" s="617">
        <f t="shared" si="20"/>
        <v>1.3515999999999999</v>
      </c>
      <c r="E173" s="618">
        <f t="shared" ref="E173:E181" si="21">D173-C173</f>
        <v>4.9599999999999866E-2</v>
      </c>
    </row>
    <row r="174" spans="1:5" s="421" customFormat="1" x14ac:dyDescent="0.2">
      <c r="A174" s="588">
        <v>2</v>
      </c>
      <c r="B174" s="587" t="s">
        <v>636</v>
      </c>
      <c r="C174" s="617">
        <f t="shared" si="20"/>
        <v>1.5737000000000003</v>
      </c>
      <c r="D174" s="617">
        <f t="shared" si="20"/>
        <v>1.58521</v>
      </c>
      <c r="E174" s="618">
        <f t="shared" si="21"/>
        <v>1.1509999999999687E-2</v>
      </c>
    </row>
    <row r="175" spans="1:5" s="421" customFormat="1" x14ac:dyDescent="0.2">
      <c r="A175" s="588">
        <v>3</v>
      </c>
      <c r="B175" s="587" t="s">
        <v>778</v>
      </c>
      <c r="C175" s="617">
        <f t="shared" si="20"/>
        <v>1.05047</v>
      </c>
      <c r="D175" s="617">
        <f t="shared" si="20"/>
        <v>1.15879</v>
      </c>
      <c r="E175" s="618">
        <f t="shared" si="21"/>
        <v>0.10831999999999997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1.05047</v>
      </c>
      <c r="D176" s="617">
        <f t="shared" si="20"/>
        <v>1.15879</v>
      </c>
      <c r="E176" s="618">
        <f t="shared" si="21"/>
        <v>0.10831999999999997</v>
      </c>
    </row>
    <row r="177" spans="1:5" s="421" customFormat="1" x14ac:dyDescent="0.2">
      <c r="A177" s="588">
        <v>5</v>
      </c>
      <c r="B177" s="587" t="s">
        <v>744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1.14717</v>
      </c>
      <c r="D178" s="617">
        <f t="shared" si="20"/>
        <v>0.94090000000000007</v>
      </c>
      <c r="E178" s="618">
        <f t="shared" si="21"/>
        <v>-0.20626999999999995</v>
      </c>
    </row>
    <row r="179" spans="1:5" s="421" customFormat="1" x14ac:dyDescent="0.2">
      <c r="A179" s="588">
        <v>7</v>
      </c>
      <c r="B179" s="587" t="s">
        <v>759</v>
      </c>
      <c r="C179" s="617">
        <f t="shared" si="20"/>
        <v>0.96269000000000005</v>
      </c>
      <c r="D179" s="617">
        <f t="shared" si="20"/>
        <v>1.08541</v>
      </c>
      <c r="E179" s="618">
        <f t="shared" si="21"/>
        <v>0.12271999999999994</v>
      </c>
    </row>
    <row r="180" spans="1:5" s="421" customFormat="1" x14ac:dyDescent="0.2">
      <c r="A180" s="588"/>
      <c r="B180" s="592" t="s">
        <v>813</v>
      </c>
      <c r="C180" s="619">
        <f t="shared" si="20"/>
        <v>1.3555098439589837</v>
      </c>
      <c r="D180" s="619">
        <f t="shared" si="20"/>
        <v>1.4085052476243713</v>
      </c>
      <c r="E180" s="620">
        <f t="shared" si="21"/>
        <v>5.2995403665387686E-2</v>
      </c>
    </row>
    <row r="181" spans="1:5" s="421" customFormat="1" x14ac:dyDescent="0.2">
      <c r="A181" s="588"/>
      <c r="B181" s="592" t="s">
        <v>724</v>
      </c>
      <c r="C181" s="619">
        <f t="shared" si="20"/>
        <v>1.3425310527648799</v>
      </c>
      <c r="D181" s="619">
        <f t="shared" si="20"/>
        <v>1.3952699931365822</v>
      </c>
      <c r="E181" s="620">
        <f t="shared" si="21"/>
        <v>5.2738940371702236E-2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814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x14ac:dyDescent="0.2">
      <c r="A185" s="588">
        <v>1</v>
      </c>
      <c r="B185" s="587" t="s">
        <v>815</v>
      </c>
      <c r="C185" s="589">
        <v>232093405</v>
      </c>
      <c r="D185" s="589">
        <v>249475625</v>
      </c>
      <c r="E185" s="590">
        <f>D185-C185</f>
        <v>17382220</v>
      </c>
    </row>
    <row r="186" spans="1:5" s="421" customFormat="1" ht="25.5" x14ac:dyDescent="0.2">
      <c r="A186" s="588">
        <v>2</v>
      </c>
      <c r="B186" s="587" t="s">
        <v>816</v>
      </c>
      <c r="C186" s="589">
        <v>94607827</v>
      </c>
      <c r="D186" s="589">
        <v>100301914</v>
      </c>
      <c r="E186" s="590">
        <f>D186-C186</f>
        <v>5694087</v>
      </c>
    </row>
    <row r="187" spans="1:5" s="421" customFormat="1" x14ac:dyDescent="0.2">
      <c r="A187" s="588"/>
      <c r="B187" s="587" t="s">
        <v>669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748</v>
      </c>
      <c r="C188" s="622">
        <f>+C185-C186</f>
        <v>137485578</v>
      </c>
      <c r="D188" s="622">
        <f>+D185-D186</f>
        <v>149173711</v>
      </c>
      <c r="E188" s="590">
        <f t="shared" ref="E188:E197" si="22">D188-C188</f>
        <v>11688133</v>
      </c>
    </row>
    <row r="189" spans="1:5" s="421" customFormat="1" x14ac:dyDescent="0.2">
      <c r="A189" s="588">
        <v>4</v>
      </c>
      <c r="B189" s="587" t="s">
        <v>671</v>
      </c>
      <c r="C189" s="623">
        <f>IF(C185=0,0,+C188/C185)</f>
        <v>0.59237175653483132</v>
      </c>
      <c r="D189" s="623">
        <f>IF(D185=0,0,+D188/D185)</f>
        <v>0.59794904211583799</v>
      </c>
      <c r="E189" s="599">
        <f t="shared" si="22"/>
        <v>5.5772855810066746E-3</v>
      </c>
    </row>
    <row r="190" spans="1:5" s="421" customFormat="1" x14ac:dyDescent="0.2">
      <c r="A190" s="588">
        <v>5</v>
      </c>
      <c r="B190" s="587" t="s">
        <v>763</v>
      </c>
      <c r="C190" s="589">
        <v>13563930</v>
      </c>
      <c r="D190" s="589">
        <v>14458133</v>
      </c>
      <c r="E190" s="622">
        <f t="shared" si="22"/>
        <v>894203</v>
      </c>
    </row>
    <row r="191" spans="1:5" s="421" customFormat="1" x14ac:dyDescent="0.2">
      <c r="A191" s="588">
        <v>6</v>
      </c>
      <c r="B191" s="587" t="s">
        <v>749</v>
      </c>
      <c r="C191" s="589">
        <v>9179375</v>
      </c>
      <c r="D191" s="589">
        <v>9983827</v>
      </c>
      <c r="E191" s="622">
        <f t="shared" si="22"/>
        <v>804452</v>
      </c>
    </row>
    <row r="192" spans="1:5" ht="29.25" x14ac:dyDescent="0.2">
      <c r="A192" s="588">
        <v>7</v>
      </c>
      <c r="B192" s="624" t="s">
        <v>817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818</v>
      </c>
      <c r="C193" s="589">
        <v>3174277</v>
      </c>
      <c r="D193" s="589">
        <v>6949752</v>
      </c>
      <c r="E193" s="622">
        <f t="shared" si="22"/>
        <v>3775475</v>
      </c>
    </row>
    <row r="194" spans="1:5" s="421" customFormat="1" x14ac:dyDescent="0.2">
      <c r="A194" s="588">
        <v>9</v>
      </c>
      <c r="B194" s="587" t="s">
        <v>819</v>
      </c>
      <c r="C194" s="589">
        <v>8179905</v>
      </c>
      <c r="D194" s="589">
        <v>6835415</v>
      </c>
      <c r="E194" s="622">
        <f t="shared" si="22"/>
        <v>-1344490</v>
      </c>
    </row>
    <row r="195" spans="1:5" s="421" customFormat="1" x14ac:dyDescent="0.2">
      <c r="A195" s="588">
        <v>10</v>
      </c>
      <c r="B195" s="587" t="s">
        <v>820</v>
      </c>
      <c r="C195" s="589">
        <f>+C193+C194</f>
        <v>11354182</v>
      </c>
      <c r="D195" s="589">
        <f>+D193+D194</f>
        <v>13785167</v>
      </c>
      <c r="E195" s="625">
        <f t="shared" si="22"/>
        <v>2430985</v>
      </c>
    </row>
    <row r="196" spans="1:5" s="421" customFormat="1" x14ac:dyDescent="0.2">
      <c r="A196" s="588">
        <v>11</v>
      </c>
      <c r="B196" s="587" t="s">
        <v>821</v>
      </c>
      <c r="C196" s="589">
        <v>8206510</v>
      </c>
      <c r="D196" s="589">
        <v>12538000</v>
      </c>
      <c r="E196" s="622">
        <f t="shared" si="22"/>
        <v>4331490</v>
      </c>
    </row>
    <row r="197" spans="1:5" s="421" customFormat="1" x14ac:dyDescent="0.2">
      <c r="A197" s="588">
        <v>12</v>
      </c>
      <c r="B197" s="587" t="s">
        <v>711</v>
      </c>
      <c r="C197" s="589">
        <v>241388483</v>
      </c>
      <c r="D197" s="589">
        <v>252714644</v>
      </c>
      <c r="E197" s="622">
        <f t="shared" si="22"/>
        <v>11326161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822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823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657</v>
      </c>
      <c r="C203" s="629">
        <v>3740.6460000000002</v>
      </c>
      <c r="D203" s="629">
        <v>3664.1875999999997</v>
      </c>
      <c r="E203" s="630">
        <f t="shared" ref="E203:E211" si="23">D203-C203</f>
        <v>-76.458400000000438</v>
      </c>
    </row>
    <row r="204" spans="1:5" s="421" customFormat="1" x14ac:dyDescent="0.2">
      <c r="A204" s="588">
        <v>2</v>
      </c>
      <c r="B204" s="587" t="s">
        <v>636</v>
      </c>
      <c r="C204" s="629">
        <v>8224.1562000000013</v>
      </c>
      <c r="D204" s="629">
        <v>8320.7672899999998</v>
      </c>
      <c r="E204" s="630">
        <f t="shared" si="23"/>
        <v>96.611089999998512</v>
      </c>
    </row>
    <row r="205" spans="1:5" s="421" customFormat="1" x14ac:dyDescent="0.2">
      <c r="A205" s="588">
        <v>3</v>
      </c>
      <c r="B205" s="587" t="s">
        <v>778</v>
      </c>
      <c r="C205" s="629">
        <f>C206+C207</f>
        <v>3908.7988700000001</v>
      </c>
      <c r="D205" s="629">
        <f>D206+D207</f>
        <v>4258.5532499999999</v>
      </c>
      <c r="E205" s="630">
        <f t="shared" si="23"/>
        <v>349.75437999999986</v>
      </c>
    </row>
    <row r="206" spans="1:5" s="421" customFormat="1" x14ac:dyDescent="0.2">
      <c r="A206" s="588">
        <v>4</v>
      </c>
      <c r="B206" s="587" t="s">
        <v>115</v>
      </c>
      <c r="C206" s="629">
        <v>3908.7988700000001</v>
      </c>
      <c r="D206" s="629">
        <v>4258.5532499999999</v>
      </c>
      <c r="E206" s="630">
        <f t="shared" si="23"/>
        <v>349.75437999999986</v>
      </c>
    </row>
    <row r="207" spans="1:5" s="421" customFormat="1" x14ac:dyDescent="0.2">
      <c r="A207" s="588">
        <v>5</v>
      </c>
      <c r="B207" s="587" t="s">
        <v>744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28.67925</v>
      </c>
      <c r="D208" s="629">
        <v>19.758900000000001</v>
      </c>
      <c r="E208" s="630">
        <f t="shared" si="23"/>
        <v>-8.9203499999999991</v>
      </c>
    </row>
    <row r="209" spans="1:5" s="421" customFormat="1" x14ac:dyDescent="0.2">
      <c r="A209" s="588">
        <v>7</v>
      </c>
      <c r="B209" s="587" t="s">
        <v>759</v>
      </c>
      <c r="C209" s="629">
        <v>75.089820000000003</v>
      </c>
      <c r="D209" s="629">
        <v>105.28476999999999</v>
      </c>
      <c r="E209" s="630">
        <f t="shared" si="23"/>
        <v>30.194949999999992</v>
      </c>
    </row>
    <row r="210" spans="1:5" s="421" customFormat="1" x14ac:dyDescent="0.2">
      <c r="A210" s="588"/>
      <c r="B210" s="592" t="s">
        <v>824</v>
      </c>
      <c r="C210" s="631">
        <f>C204+C205+C208</f>
        <v>12161.634320000001</v>
      </c>
      <c r="D210" s="631">
        <f>D204+D205+D208</f>
        <v>12599.079440000001</v>
      </c>
      <c r="E210" s="632">
        <f t="shared" si="23"/>
        <v>437.44512000000032</v>
      </c>
    </row>
    <row r="211" spans="1:5" s="421" customFormat="1" x14ac:dyDescent="0.2">
      <c r="A211" s="588"/>
      <c r="B211" s="592" t="s">
        <v>725</v>
      </c>
      <c r="C211" s="631">
        <f>C210+C203</f>
        <v>15902.280320000002</v>
      </c>
      <c r="D211" s="631">
        <f>D210+D203</f>
        <v>16263.267040000001</v>
      </c>
      <c r="E211" s="632">
        <f t="shared" si="23"/>
        <v>360.98671999999897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825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657</v>
      </c>
      <c r="C215" s="633">
        <f>IF(C14*C137=0,0,C25/C14*C137)</f>
        <v>6233.5575114405028</v>
      </c>
      <c r="D215" s="633">
        <f>IF(D14*D137=0,0,D25/D14*D137)</f>
        <v>6511.6043138517516</v>
      </c>
      <c r="E215" s="633">
        <f t="shared" ref="E215:E223" si="24">D215-C215</f>
        <v>278.04680241124879</v>
      </c>
    </row>
    <row r="216" spans="1:5" s="421" customFormat="1" x14ac:dyDescent="0.2">
      <c r="A216" s="588">
        <v>2</v>
      </c>
      <c r="B216" s="587" t="s">
        <v>636</v>
      </c>
      <c r="C216" s="633">
        <f>IF(C15*C138=0,0,C26/C15*C138)</f>
        <v>4287.3867203673344</v>
      </c>
      <c r="D216" s="633">
        <f>IF(D15*D138=0,0,D26/D15*D138)</f>
        <v>5106.7236936397494</v>
      </c>
      <c r="E216" s="633">
        <f t="shared" si="24"/>
        <v>819.33697327241498</v>
      </c>
    </row>
    <row r="217" spans="1:5" s="421" customFormat="1" x14ac:dyDescent="0.2">
      <c r="A217" s="588">
        <v>3</v>
      </c>
      <c r="B217" s="587" t="s">
        <v>778</v>
      </c>
      <c r="C217" s="633">
        <f>C218+C219</f>
        <v>7720.3630128702953</v>
      </c>
      <c r="D217" s="633">
        <f>D218+D219</f>
        <v>7819.1406639884672</v>
      </c>
      <c r="E217" s="633">
        <f t="shared" si="24"/>
        <v>98.777651118171889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7720.3630128702953</v>
      </c>
      <c r="D218" s="633">
        <f t="shared" si="25"/>
        <v>7819.1406639884672</v>
      </c>
      <c r="E218" s="633">
        <f t="shared" si="24"/>
        <v>98.777651118171889</v>
      </c>
    </row>
    <row r="219" spans="1:5" s="421" customFormat="1" x14ac:dyDescent="0.2">
      <c r="A219" s="588">
        <v>5</v>
      </c>
      <c r="B219" s="587" t="s">
        <v>744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37.901105144603996</v>
      </c>
      <c r="D220" s="633">
        <f t="shared" si="25"/>
        <v>38.392820617089413</v>
      </c>
      <c r="E220" s="633">
        <f t="shared" si="24"/>
        <v>0.49171547248541714</v>
      </c>
    </row>
    <row r="221" spans="1:5" s="421" customFormat="1" x14ac:dyDescent="0.2">
      <c r="A221" s="588">
        <v>7</v>
      </c>
      <c r="B221" s="587" t="s">
        <v>759</v>
      </c>
      <c r="C221" s="633">
        <f t="shared" si="25"/>
        <v>622.27243582042934</v>
      </c>
      <c r="D221" s="633">
        <f t="shared" si="25"/>
        <v>696.01891118818344</v>
      </c>
      <c r="E221" s="633">
        <f t="shared" si="24"/>
        <v>73.746475367754101</v>
      </c>
    </row>
    <row r="222" spans="1:5" s="421" customFormat="1" x14ac:dyDescent="0.2">
      <c r="A222" s="588"/>
      <c r="B222" s="592" t="s">
        <v>826</v>
      </c>
      <c r="C222" s="634">
        <f>C216+C218+C219+C220</f>
        <v>12045.650838382233</v>
      </c>
      <c r="D222" s="634">
        <f>D216+D218+D219+D220</f>
        <v>12964.257178245305</v>
      </c>
      <c r="E222" s="634">
        <f t="shared" si="24"/>
        <v>918.60633986307221</v>
      </c>
    </row>
    <row r="223" spans="1:5" s="421" customFormat="1" x14ac:dyDescent="0.2">
      <c r="A223" s="588"/>
      <c r="B223" s="592" t="s">
        <v>827</v>
      </c>
      <c r="C223" s="634">
        <f>C215+C222</f>
        <v>18279.208349822737</v>
      </c>
      <c r="D223" s="634">
        <f>D215+D222</f>
        <v>19475.861492097058</v>
      </c>
      <c r="E223" s="634">
        <f t="shared" si="24"/>
        <v>1196.653142274321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828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657</v>
      </c>
      <c r="C227" s="636">
        <f t="shared" ref="C227:D235" si="26">IF(C203=0,0,C47/C203)</f>
        <v>10416.354020134489</v>
      </c>
      <c r="D227" s="636">
        <f t="shared" si="26"/>
        <v>10507.207109155657</v>
      </c>
      <c r="E227" s="636">
        <f t="shared" ref="E227:E235" si="27">D227-C227</f>
        <v>90.853089021167762</v>
      </c>
    </row>
    <row r="228" spans="1:5" s="421" customFormat="1" x14ac:dyDescent="0.2">
      <c r="A228" s="588">
        <v>2</v>
      </c>
      <c r="B228" s="587" t="s">
        <v>636</v>
      </c>
      <c r="C228" s="636">
        <f t="shared" si="26"/>
        <v>8250.7090514647552</v>
      </c>
      <c r="D228" s="636">
        <f t="shared" si="26"/>
        <v>8625.4826626692029</v>
      </c>
      <c r="E228" s="636">
        <f t="shared" si="27"/>
        <v>374.77361120444766</v>
      </c>
    </row>
    <row r="229" spans="1:5" s="421" customFormat="1" x14ac:dyDescent="0.2">
      <c r="A229" s="588">
        <v>3</v>
      </c>
      <c r="B229" s="587" t="s">
        <v>778</v>
      </c>
      <c r="C229" s="636">
        <f t="shared" si="26"/>
        <v>5407.6637614255142</v>
      </c>
      <c r="D229" s="636">
        <f t="shared" si="26"/>
        <v>5106.4450115775826</v>
      </c>
      <c r="E229" s="636">
        <f t="shared" si="27"/>
        <v>-301.21874984793158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5407.6637614255142</v>
      </c>
      <c r="D230" s="636">
        <f t="shared" si="26"/>
        <v>5106.4450115775826</v>
      </c>
      <c r="E230" s="636">
        <f t="shared" si="27"/>
        <v>-301.21874984793158</v>
      </c>
    </row>
    <row r="231" spans="1:5" s="421" customFormat="1" x14ac:dyDescent="0.2">
      <c r="A231" s="588">
        <v>5</v>
      </c>
      <c r="B231" s="587" t="s">
        <v>744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6454.5272278738112</v>
      </c>
      <c r="D232" s="636">
        <f t="shared" si="26"/>
        <v>7108.9483726320796</v>
      </c>
      <c r="E232" s="636">
        <f t="shared" si="27"/>
        <v>654.42114475826838</v>
      </c>
    </row>
    <row r="233" spans="1:5" s="421" customFormat="1" x14ac:dyDescent="0.2">
      <c r="A233" s="588">
        <v>7</v>
      </c>
      <c r="B233" s="587" t="s">
        <v>759</v>
      </c>
      <c r="C233" s="636">
        <f t="shared" si="26"/>
        <v>1224.4802291442434</v>
      </c>
      <c r="D233" s="636">
        <f t="shared" si="26"/>
        <v>230.20423561736422</v>
      </c>
      <c r="E233" s="636">
        <f t="shared" si="27"/>
        <v>-994.27599352687912</v>
      </c>
    </row>
    <row r="234" spans="1:5" x14ac:dyDescent="0.2">
      <c r="A234" s="588"/>
      <c r="B234" s="592" t="s">
        <v>829</v>
      </c>
      <c r="C234" s="637">
        <f t="shared" si="26"/>
        <v>7332.7069909794818</v>
      </c>
      <c r="D234" s="637">
        <f t="shared" si="26"/>
        <v>7433.6515970090577</v>
      </c>
      <c r="E234" s="637">
        <f t="shared" si="27"/>
        <v>100.94460602957588</v>
      </c>
    </row>
    <row r="235" spans="1:5" s="421" customFormat="1" x14ac:dyDescent="0.2">
      <c r="A235" s="588"/>
      <c r="B235" s="592" t="s">
        <v>830</v>
      </c>
      <c r="C235" s="637">
        <f t="shared" si="26"/>
        <v>8058.0640902700416</v>
      </c>
      <c r="D235" s="637">
        <f t="shared" si="26"/>
        <v>8126.1375512653449</v>
      </c>
      <c r="E235" s="637">
        <f t="shared" si="27"/>
        <v>68.073460995303321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831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657</v>
      </c>
      <c r="C239" s="636">
        <f t="shared" ref="C239:D247" si="28">IF(C215=0,0,C58/C215)</f>
        <v>9023.2976750064372</v>
      </c>
      <c r="D239" s="636">
        <f t="shared" si="28"/>
        <v>9575.6727520067761</v>
      </c>
      <c r="E239" s="638">
        <f t="shared" ref="E239:E247" si="29">D239-C239</f>
        <v>552.37507700033893</v>
      </c>
    </row>
    <row r="240" spans="1:5" s="421" customFormat="1" x14ac:dyDescent="0.2">
      <c r="A240" s="588">
        <v>2</v>
      </c>
      <c r="B240" s="587" t="s">
        <v>636</v>
      </c>
      <c r="C240" s="636">
        <f t="shared" si="28"/>
        <v>6833.8106429292911</v>
      </c>
      <c r="D240" s="636">
        <f t="shared" si="28"/>
        <v>6636.059640784365</v>
      </c>
      <c r="E240" s="638">
        <f t="shared" si="29"/>
        <v>-197.75100214492613</v>
      </c>
    </row>
    <row r="241" spans="1:5" x14ac:dyDescent="0.2">
      <c r="A241" s="588">
        <v>3</v>
      </c>
      <c r="B241" s="587" t="s">
        <v>778</v>
      </c>
      <c r="C241" s="636">
        <f t="shared" si="28"/>
        <v>3759.3131244756923</v>
      </c>
      <c r="D241" s="636">
        <f t="shared" si="28"/>
        <v>3770.7510667752181</v>
      </c>
      <c r="E241" s="638">
        <f t="shared" si="29"/>
        <v>11.43794229952573</v>
      </c>
    </row>
    <row r="242" spans="1:5" x14ac:dyDescent="0.2">
      <c r="A242" s="588">
        <v>4</v>
      </c>
      <c r="B242" s="587" t="s">
        <v>115</v>
      </c>
      <c r="C242" s="636">
        <f t="shared" si="28"/>
        <v>3759.3131244756923</v>
      </c>
      <c r="D242" s="636">
        <f t="shared" si="28"/>
        <v>3770.7510667752181</v>
      </c>
      <c r="E242" s="638">
        <f t="shared" si="29"/>
        <v>11.43794229952573</v>
      </c>
    </row>
    <row r="243" spans="1:5" x14ac:dyDescent="0.2">
      <c r="A243" s="588">
        <v>5</v>
      </c>
      <c r="B243" s="587" t="s">
        <v>744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5117.4497223760709</v>
      </c>
      <c r="D244" s="636">
        <f t="shared" si="28"/>
        <v>4674.2332841291709</v>
      </c>
      <c r="E244" s="638">
        <f t="shared" si="29"/>
        <v>-443.2164382469</v>
      </c>
    </row>
    <row r="245" spans="1:5" x14ac:dyDescent="0.2">
      <c r="A245" s="588">
        <v>7</v>
      </c>
      <c r="B245" s="587" t="s">
        <v>759</v>
      </c>
      <c r="C245" s="636">
        <f t="shared" si="28"/>
        <v>821.77028993064039</v>
      </c>
      <c r="D245" s="636">
        <f t="shared" si="28"/>
        <v>757.4779815967604</v>
      </c>
      <c r="E245" s="638">
        <f t="shared" si="29"/>
        <v>-64.292308333879987</v>
      </c>
    </row>
    <row r="246" spans="1:5" ht="25.5" x14ac:dyDescent="0.2">
      <c r="A246" s="588"/>
      <c r="B246" s="592" t="s">
        <v>832</v>
      </c>
      <c r="C246" s="637">
        <f t="shared" si="28"/>
        <v>4857.8867829659694</v>
      </c>
      <c r="D246" s="637">
        <f t="shared" si="28"/>
        <v>4902.0944375157542</v>
      </c>
      <c r="E246" s="639">
        <f t="shared" si="29"/>
        <v>44.20765454978482</v>
      </c>
    </row>
    <row r="247" spans="1:5" x14ac:dyDescent="0.2">
      <c r="A247" s="588"/>
      <c r="B247" s="592" t="s">
        <v>833</v>
      </c>
      <c r="C247" s="637">
        <f t="shared" si="28"/>
        <v>6278.3710762349792</v>
      </c>
      <c r="D247" s="637">
        <f t="shared" si="28"/>
        <v>6464.6693575578111</v>
      </c>
      <c r="E247" s="639">
        <f t="shared" si="29"/>
        <v>186.29828132283183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761</v>
      </c>
      <c r="B249" s="626" t="s">
        <v>758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23736236.924630672</v>
      </c>
      <c r="D251" s="622">
        <f>((IF((IF(D15=0,0,D26/D15)*D138)=0,0,D59/(IF(D15=0,0,D26/D15)*D138)))-(IF((IF(D17=0,0,D28/D17)*D140)=0,0,D61/(IF(D17=0,0,D28/D17)*D140))))*(IF(D17=0,0,D28/D17)*D140)</f>
        <v>22404250.785909731</v>
      </c>
      <c r="E251" s="622">
        <f>D251-C251</f>
        <v>-1331986.1387209408</v>
      </c>
    </row>
    <row r="252" spans="1:5" x14ac:dyDescent="0.2">
      <c r="A252" s="588">
        <v>2</v>
      </c>
      <c r="B252" s="587" t="s">
        <v>744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759</v>
      </c>
      <c r="C253" s="622">
        <f>IF(C233=0,0,(C228-C233)*C209+IF(C221=0,0,(C240-C245)*C221))</f>
        <v>4268725.2522580437</v>
      </c>
      <c r="D253" s="622">
        <f>IF(D233=0,0,(D228-D233)*D209+IF(D221=0,0,(D240-D245)*D221))</f>
        <v>4975498.9640366957</v>
      </c>
      <c r="E253" s="622">
        <f>D253-C253</f>
        <v>706773.71177865192</v>
      </c>
    </row>
    <row r="254" spans="1:5" ht="15" customHeight="1" x14ac:dyDescent="0.2">
      <c r="A254" s="588"/>
      <c r="B254" s="592" t="s">
        <v>760</v>
      </c>
      <c r="C254" s="640">
        <f>+C251+C252+C253</f>
        <v>28004962.176888715</v>
      </c>
      <c r="D254" s="640">
        <f>+D251+D252+D253</f>
        <v>27379749.749946427</v>
      </c>
      <c r="E254" s="640">
        <f>D254-C254</f>
        <v>-625212.42694228888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834</v>
      </c>
      <c r="B256" s="626" t="s">
        <v>835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726</v>
      </c>
      <c r="C258" s="622">
        <f>+C44</f>
        <v>746752338</v>
      </c>
      <c r="D258" s="625">
        <f>+D44</f>
        <v>817116371</v>
      </c>
      <c r="E258" s="622">
        <f t="shared" ref="E258:E271" si="30">D258-C258</f>
        <v>70364033</v>
      </c>
    </row>
    <row r="259" spans="1:5" x14ac:dyDescent="0.2">
      <c r="A259" s="588">
        <v>2</v>
      </c>
      <c r="B259" s="587" t="s">
        <v>743</v>
      </c>
      <c r="C259" s="622">
        <f>+(C43-C76)</f>
        <v>355007331</v>
      </c>
      <c r="D259" s="625">
        <f>+(D43-D76)</f>
        <v>396094945</v>
      </c>
      <c r="E259" s="622">
        <f t="shared" si="30"/>
        <v>41087614</v>
      </c>
    </row>
    <row r="260" spans="1:5" x14ac:dyDescent="0.2">
      <c r="A260" s="588">
        <v>3</v>
      </c>
      <c r="B260" s="587" t="s">
        <v>747</v>
      </c>
      <c r="C260" s="622">
        <f>C195</f>
        <v>11354182</v>
      </c>
      <c r="D260" s="622">
        <f>D195</f>
        <v>13785167</v>
      </c>
      <c r="E260" s="622">
        <f t="shared" si="30"/>
        <v>2430985</v>
      </c>
    </row>
    <row r="261" spans="1:5" x14ac:dyDescent="0.2">
      <c r="A261" s="588">
        <v>4</v>
      </c>
      <c r="B261" s="587" t="s">
        <v>748</v>
      </c>
      <c r="C261" s="622">
        <f>C188</f>
        <v>137485578</v>
      </c>
      <c r="D261" s="622">
        <f>D188</f>
        <v>149173711</v>
      </c>
      <c r="E261" s="622">
        <f t="shared" si="30"/>
        <v>11688133</v>
      </c>
    </row>
    <row r="262" spans="1:5" x14ac:dyDescent="0.2">
      <c r="A262" s="588">
        <v>5</v>
      </c>
      <c r="B262" s="587" t="s">
        <v>749</v>
      </c>
      <c r="C262" s="622">
        <f>C191</f>
        <v>9179375</v>
      </c>
      <c r="D262" s="622">
        <f>D191</f>
        <v>9983827</v>
      </c>
      <c r="E262" s="622">
        <f t="shared" si="30"/>
        <v>804452</v>
      </c>
    </row>
    <row r="263" spans="1:5" x14ac:dyDescent="0.2">
      <c r="A263" s="588">
        <v>6</v>
      </c>
      <c r="B263" s="587" t="s">
        <v>750</v>
      </c>
      <c r="C263" s="622">
        <f>+C259+C260+C261+C262</f>
        <v>513026466</v>
      </c>
      <c r="D263" s="622">
        <f>+D259+D260+D261+D262</f>
        <v>569037650</v>
      </c>
      <c r="E263" s="622">
        <f t="shared" si="30"/>
        <v>56011184</v>
      </c>
    </row>
    <row r="264" spans="1:5" x14ac:dyDescent="0.2">
      <c r="A264" s="588">
        <v>7</v>
      </c>
      <c r="B264" s="587" t="s">
        <v>655</v>
      </c>
      <c r="C264" s="622">
        <f>+C258-C263</f>
        <v>233725872</v>
      </c>
      <c r="D264" s="622">
        <f>+D258-D263</f>
        <v>248078721</v>
      </c>
      <c r="E264" s="622">
        <f t="shared" si="30"/>
        <v>14352849</v>
      </c>
    </row>
    <row r="265" spans="1:5" x14ac:dyDescent="0.2">
      <c r="A265" s="588">
        <v>8</v>
      </c>
      <c r="B265" s="587" t="s">
        <v>836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837</v>
      </c>
      <c r="C266" s="622">
        <f>+C264+C265</f>
        <v>233725872</v>
      </c>
      <c r="D266" s="622">
        <f>+D264+D265</f>
        <v>248078721</v>
      </c>
      <c r="E266" s="641">
        <f t="shared" si="30"/>
        <v>14352849</v>
      </c>
    </row>
    <row r="267" spans="1:5" x14ac:dyDescent="0.2">
      <c r="A267" s="588">
        <v>10</v>
      </c>
      <c r="B267" s="587" t="s">
        <v>838</v>
      </c>
      <c r="C267" s="642">
        <f>IF(C258=0,0,C266/C258)</f>
        <v>0.31298980948085092</v>
      </c>
      <c r="D267" s="642">
        <f>IF(D258=0,0,D266/D258)</f>
        <v>0.30360268109228716</v>
      </c>
      <c r="E267" s="643">
        <f t="shared" si="30"/>
        <v>-9.3871283885637591E-3</v>
      </c>
    </row>
    <row r="268" spans="1:5" x14ac:dyDescent="0.2">
      <c r="A268" s="588">
        <v>11</v>
      </c>
      <c r="B268" s="587" t="s">
        <v>717</v>
      </c>
      <c r="C268" s="622">
        <f>+C260*C267</f>
        <v>3553743.260990907</v>
      </c>
      <c r="D268" s="644">
        <f>+D260*D267</f>
        <v>4185213.6605049209</v>
      </c>
      <c r="E268" s="622">
        <f t="shared" si="30"/>
        <v>631470.3995140139</v>
      </c>
    </row>
    <row r="269" spans="1:5" x14ac:dyDescent="0.2">
      <c r="A269" s="588">
        <v>12</v>
      </c>
      <c r="B269" s="587" t="s">
        <v>839</v>
      </c>
      <c r="C269" s="622">
        <f>((C17+C18+C28+C29)*C267)-(C50+C51+C61+C62)</f>
        <v>14527696.032458402</v>
      </c>
      <c r="D269" s="644">
        <f>((D17+D18+D28+D29)*D267)-(D50+D51+D61+D62)</f>
        <v>17962910.079841375</v>
      </c>
      <c r="E269" s="622">
        <f t="shared" si="30"/>
        <v>3435214.0473829731</v>
      </c>
    </row>
    <row r="270" spans="1:5" s="648" customFormat="1" x14ac:dyDescent="0.2">
      <c r="A270" s="645">
        <v>13</v>
      </c>
      <c r="B270" s="646" t="s">
        <v>840</v>
      </c>
      <c r="C270" s="647">
        <v>0</v>
      </c>
      <c r="D270" s="647">
        <v>0</v>
      </c>
      <c r="E270" s="622">
        <f t="shared" si="30"/>
        <v>0</v>
      </c>
    </row>
    <row r="271" spans="1:5" x14ac:dyDescent="0.2">
      <c r="A271" s="588">
        <v>14</v>
      </c>
      <c r="B271" s="587" t="s">
        <v>841</v>
      </c>
      <c r="C271" s="622">
        <f>+C268+C269+C270</f>
        <v>18081439.293449309</v>
      </c>
      <c r="D271" s="622">
        <f>+D268+D269+D270</f>
        <v>22148123.740346298</v>
      </c>
      <c r="E271" s="625">
        <f t="shared" si="30"/>
        <v>4066684.4468969889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842</v>
      </c>
      <c r="B273" s="626" t="s">
        <v>843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844</v>
      </c>
      <c r="C275" s="425"/>
      <c r="D275" s="425"/>
      <c r="E275" s="596"/>
    </row>
    <row r="276" spans="1:5" x14ac:dyDescent="0.2">
      <c r="A276" s="588">
        <v>1</v>
      </c>
      <c r="B276" s="587" t="s">
        <v>657</v>
      </c>
      <c r="C276" s="623">
        <f t="shared" ref="C276:D284" si="31">IF(C14=0,0,+C47/C14)</f>
        <v>0.50605828658303376</v>
      </c>
      <c r="D276" s="623">
        <f t="shared" si="31"/>
        <v>0.49647124598307124</v>
      </c>
      <c r="E276" s="650">
        <f t="shared" ref="E276:E284" si="32">D276-C276</f>
        <v>-9.5870405999625152E-3</v>
      </c>
    </row>
    <row r="277" spans="1:5" x14ac:dyDescent="0.2">
      <c r="A277" s="588">
        <v>2</v>
      </c>
      <c r="B277" s="587" t="s">
        <v>636</v>
      </c>
      <c r="C277" s="623">
        <f t="shared" si="31"/>
        <v>0.4194032881122553</v>
      </c>
      <c r="D277" s="623">
        <f t="shared" si="31"/>
        <v>0.43701536523195411</v>
      </c>
      <c r="E277" s="650">
        <f t="shared" si="32"/>
        <v>1.761207711969881E-2</v>
      </c>
    </row>
    <row r="278" spans="1:5" x14ac:dyDescent="0.2">
      <c r="A278" s="588">
        <v>3</v>
      </c>
      <c r="B278" s="587" t="s">
        <v>778</v>
      </c>
      <c r="C278" s="623">
        <f t="shared" si="31"/>
        <v>0.31446672623405136</v>
      </c>
      <c r="D278" s="623">
        <f t="shared" si="31"/>
        <v>0.29843054923496498</v>
      </c>
      <c r="E278" s="650">
        <f t="shared" si="32"/>
        <v>-1.6036176999086382E-2</v>
      </c>
    </row>
    <row r="279" spans="1:5" x14ac:dyDescent="0.2">
      <c r="A279" s="588">
        <v>4</v>
      </c>
      <c r="B279" s="587" t="s">
        <v>115</v>
      </c>
      <c r="C279" s="623">
        <f t="shared" si="31"/>
        <v>0.31446672623405136</v>
      </c>
      <c r="D279" s="623">
        <f t="shared" si="31"/>
        <v>0.29843054923496498</v>
      </c>
      <c r="E279" s="650">
        <f t="shared" si="32"/>
        <v>-1.6036176999086382E-2</v>
      </c>
    </row>
    <row r="280" spans="1:5" x14ac:dyDescent="0.2">
      <c r="A280" s="588">
        <v>5</v>
      </c>
      <c r="B280" s="587" t="s">
        <v>744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0.31024328600351286</v>
      </c>
      <c r="D281" s="623">
        <f t="shared" si="31"/>
        <v>0.28559955268642301</v>
      </c>
      <c r="E281" s="650">
        <f t="shared" si="32"/>
        <v>-2.4643733317089855E-2</v>
      </c>
    </row>
    <row r="282" spans="1:5" x14ac:dyDescent="0.2">
      <c r="A282" s="588">
        <v>7</v>
      </c>
      <c r="B282" s="587" t="s">
        <v>759</v>
      </c>
      <c r="C282" s="623">
        <f t="shared" si="31"/>
        <v>6.903433321720745E-2</v>
      </c>
      <c r="D282" s="623">
        <f t="shared" si="31"/>
        <v>1.3821140065852427E-2</v>
      </c>
      <c r="E282" s="650">
        <f t="shared" si="32"/>
        <v>-5.5213193151355019E-2</v>
      </c>
    </row>
    <row r="283" spans="1:5" ht="29.25" customHeight="1" x14ac:dyDescent="0.2">
      <c r="A283" s="588"/>
      <c r="B283" s="592" t="s">
        <v>845</v>
      </c>
      <c r="C283" s="651">
        <f t="shared" si="31"/>
        <v>0.38839919431787728</v>
      </c>
      <c r="D283" s="651">
        <f t="shared" si="31"/>
        <v>0.39419822248178527</v>
      </c>
      <c r="E283" s="652">
        <f t="shared" si="32"/>
        <v>5.7990281639079821E-3</v>
      </c>
    </row>
    <row r="284" spans="1:5" x14ac:dyDescent="0.2">
      <c r="A284" s="588"/>
      <c r="B284" s="592" t="s">
        <v>846</v>
      </c>
      <c r="C284" s="651">
        <f t="shared" si="31"/>
        <v>0.41794649855602489</v>
      </c>
      <c r="D284" s="651">
        <f t="shared" si="31"/>
        <v>0.41936528342242041</v>
      </c>
      <c r="E284" s="652">
        <f t="shared" si="32"/>
        <v>1.4187848663955172E-3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847</v>
      </c>
      <c r="C286" s="596"/>
      <c r="D286" s="596"/>
      <c r="E286" s="596"/>
    </row>
    <row r="287" spans="1:5" x14ac:dyDescent="0.2">
      <c r="A287" s="588">
        <v>1</v>
      </c>
      <c r="B287" s="587" t="s">
        <v>657</v>
      </c>
      <c r="C287" s="623">
        <f t="shared" ref="C287:D295" si="33">IF(C25=0,0,+C58/C25)</f>
        <v>0.33669689353199389</v>
      </c>
      <c r="D287" s="623">
        <f t="shared" si="33"/>
        <v>0.33475565357451365</v>
      </c>
      <c r="E287" s="650">
        <f t="shared" ref="E287:E295" si="34">D287-C287</f>
        <v>-1.9412399574802452E-3</v>
      </c>
    </row>
    <row r="288" spans="1:5" x14ac:dyDescent="0.2">
      <c r="A288" s="588">
        <v>2</v>
      </c>
      <c r="B288" s="587" t="s">
        <v>636</v>
      </c>
      <c r="C288" s="623">
        <f t="shared" si="33"/>
        <v>0.22074026233694782</v>
      </c>
      <c r="D288" s="623">
        <f t="shared" si="33"/>
        <v>0.2120980996903139</v>
      </c>
      <c r="E288" s="650">
        <f t="shared" si="34"/>
        <v>-8.6421626466339219E-3</v>
      </c>
    </row>
    <row r="289" spans="1:5" x14ac:dyDescent="0.2">
      <c r="A289" s="588">
        <v>3</v>
      </c>
      <c r="B289" s="587" t="s">
        <v>778</v>
      </c>
      <c r="C289" s="623">
        <f t="shared" si="33"/>
        <v>0.20810852263499452</v>
      </c>
      <c r="D289" s="623">
        <f t="shared" si="33"/>
        <v>0.19017251170102406</v>
      </c>
      <c r="E289" s="650">
        <f t="shared" si="34"/>
        <v>-1.7936010933970459E-2</v>
      </c>
    </row>
    <row r="290" spans="1:5" x14ac:dyDescent="0.2">
      <c r="A290" s="588">
        <v>4</v>
      </c>
      <c r="B290" s="587" t="s">
        <v>115</v>
      </c>
      <c r="C290" s="623">
        <f t="shared" si="33"/>
        <v>0.20810852263499452</v>
      </c>
      <c r="D290" s="623">
        <f t="shared" si="33"/>
        <v>0.19017251170102406</v>
      </c>
      <c r="E290" s="650">
        <f t="shared" si="34"/>
        <v>-1.7936010933970459E-2</v>
      </c>
    </row>
    <row r="291" spans="1:5" x14ac:dyDescent="0.2">
      <c r="A291" s="588">
        <v>5</v>
      </c>
      <c r="B291" s="587" t="s">
        <v>744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0.21441924275538959</v>
      </c>
      <c r="D292" s="623">
        <f t="shared" si="33"/>
        <v>0.19958094640718263</v>
      </c>
      <c r="E292" s="650">
        <f t="shared" si="34"/>
        <v>-1.4838296348206964E-2</v>
      </c>
    </row>
    <row r="293" spans="1:5" x14ac:dyDescent="0.2">
      <c r="A293" s="588">
        <v>7</v>
      </c>
      <c r="B293" s="587" t="s">
        <v>759</v>
      </c>
      <c r="C293" s="623">
        <f t="shared" si="33"/>
        <v>4.8125730252536206E-2</v>
      </c>
      <c r="D293" s="623">
        <f t="shared" si="33"/>
        <v>4.1899298601454679E-2</v>
      </c>
      <c r="E293" s="650">
        <f t="shared" si="34"/>
        <v>-6.2264316510815265E-3</v>
      </c>
    </row>
    <row r="294" spans="1:5" ht="29.25" customHeight="1" x14ac:dyDescent="0.2">
      <c r="A294" s="588"/>
      <c r="B294" s="592" t="s">
        <v>848</v>
      </c>
      <c r="C294" s="651">
        <f t="shared" si="33"/>
        <v>0.21426871778503495</v>
      </c>
      <c r="D294" s="651">
        <f t="shared" si="33"/>
        <v>0.20129544258652859</v>
      </c>
      <c r="E294" s="652">
        <f t="shared" si="34"/>
        <v>-1.2973275198506357E-2</v>
      </c>
    </row>
    <row r="295" spans="1:5" x14ac:dyDescent="0.2">
      <c r="A295" s="588"/>
      <c r="B295" s="592" t="s">
        <v>849</v>
      </c>
      <c r="C295" s="651">
        <f t="shared" si="33"/>
        <v>0.26073507392946771</v>
      </c>
      <c r="D295" s="651">
        <f t="shared" si="33"/>
        <v>0.25081712282939633</v>
      </c>
      <c r="E295" s="652">
        <f t="shared" si="34"/>
        <v>-9.917951100071376E-3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850</v>
      </c>
      <c r="B297" s="579" t="s">
        <v>851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852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655</v>
      </c>
      <c r="C301" s="590">
        <f>+C48+C47+C50+C51+C52+C59+C58+C61+C62+C63</f>
        <v>242905247</v>
      </c>
      <c r="D301" s="590">
        <f>+D48+D47+D50+D51+D52+D59+D58+D61+D62+D63</f>
        <v>258062550</v>
      </c>
      <c r="E301" s="590">
        <f>D301-C301</f>
        <v>15157303</v>
      </c>
    </row>
    <row r="302" spans="1:5" ht="25.5" x14ac:dyDescent="0.2">
      <c r="A302" s="588">
        <v>2</v>
      </c>
      <c r="B302" s="587" t="s">
        <v>853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854</v>
      </c>
      <c r="C303" s="593">
        <f>+C301+C302</f>
        <v>242905247</v>
      </c>
      <c r="D303" s="593">
        <f>+D301+D302</f>
        <v>258062550</v>
      </c>
      <c r="E303" s="593">
        <f>D303-C303</f>
        <v>15157303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855</v>
      </c>
      <c r="C305" s="589">
        <v>9015555</v>
      </c>
      <c r="D305" s="654">
        <v>12200028</v>
      </c>
      <c r="E305" s="655">
        <f>D305-C305</f>
        <v>3184473</v>
      </c>
    </row>
    <row r="306" spans="1:5" x14ac:dyDescent="0.2">
      <c r="A306" s="588">
        <v>4</v>
      </c>
      <c r="B306" s="592" t="s">
        <v>856</v>
      </c>
      <c r="C306" s="593">
        <f>+C303+C305+C194+C190-C191</f>
        <v>264485262</v>
      </c>
      <c r="D306" s="593">
        <f>+D303+D305</f>
        <v>270262578</v>
      </c>
      <c r="E306" s="656">
        <f>D306-C306</f>
        <v>5777316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857</v>
      </c>
      <c r="C308" s="589">
        <v>251920802</v>
      </c>
      <c r="D308" s="589">
        <v>270262578</v>
      </c>
      <c r="E308" s="590">
        <f>D308-C308</f>
        <v>18341776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858</v>
      </c>
      <c r="C310" s="657">
        <f>C306-C308</f>
        <v>12564460</v>
      </c>
      <c r="D310" s="658">
        <f>D306-D308</f>
        <v>0</v>
      </c>
      <c r="E310" s="656">
        <f>D310-C310</f>
        <v>-12564460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859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860</v>
      </c>
      <c r="C314" s="590">
        <f>+C14+C15+C16+C19+C25+C26+C27+C30</f>
        <v>746752338</v>
      </c>
      <c r="D314" s="590">
        <f>+D14+D15+D16+D19+D25+D26+D27+D30</f>
        <v>817116371</v>
      </c>
      <c r="E314" s="590">
        <f>D314-C314</f>
        <v>70364033</v>
      </c>
    </row>
    <row r="315" spans="1:5" x14ac:dyDescent="0.2">
      <c r="A315" s="588">
        <v>2</v>
      </c>
      <c r="B315" s="659" t="s">
        <v>861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862</v>
      </c>
      <c r="C316" s="657">
        <f>C314+C315</f>
        <v>746752338</v>
      </c>
      <c r="D316" s="657">
        <f>D314+D315</f>
        <v>817116371</v>
      </c>
      <c r="E316" s="593">
        <f>D316-C316</f>
        <v>70364033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863</v>
      </c>
      <c r="C318" s="589">
        <v>746752338</v>
      </c>
      <c r="D318" s="589">
        <v>817116371</v>
      </c>
      <c r="E318" s="590">
        <f>D318-C318</f>
        <v>70364033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858</v>
      </c>
      <c r="C320" s="657">
        <f>C316-C318</f>
        <v>0</v>
      </c>
      <c r="D320" s="657">
        <f>D316-D318</f>
        <v>0</v>
      </c>
      <c r="E320" s="593">
        <f>D320-C320</f>
        <v>0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864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865</v>
      </c>
      <c r="C324" s="589">
        <f>+C193+C194</f>
        <v>11354182</v>
      </c>
      <c r="D324" s="589">
        <f>+D193+D194</f>
        <v>13785167</v>
      </c>
      <c r="E324" s="590">
        <f>D324-C324</f>
        <v>2430985</v>
      </c>
    </row>
    <row r="325" spans="1:5" x14ac:dyDescent="0.2">
      <c r="A325" s="588">
        <v>2</v>
      </c>
      <c r="B325" s="587" t="s">
        <v>866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867</v>
      </c>
      <c r="C326" s="657">
        <f>C324+C325</f>
        <v>11354182</v>
      </c>
      <c r="D326" s="657">
        <f>D324+D325</f>
        <v>13785167</v>
      </c>
      <c r="E326" s="593">
        <f>D326-C326</f>
        <v>2430985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868</v>
      </c>
      <c r="C328" s="589">
        <v>11354182</v>
      </c>
      <c r="D328" s="589">
        <v>13785167</v>
      </c>
      <c r="E328" s="590">
        <f>D328-C328</f>
        <v>2430985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869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25" right="0.25" top="0.75" bottom="0.75" header="0.3" footer="0.3"/>
  <pageSetup scale="74" fitToHeight="0" orientation="portrait" horizontalDpi="1200" verticalDpi="1200" r:id="rId1"/>
  <headerFooter>
    <oddHeader>&amp;LOFFICE OF HEALTH CARE ACCESS&amp;CTWELVE MONTHS ACTUAL FILING&amp;RSAINT MARY`S HOSPITAL</oddHeader>
    <oddFooter>&amp;LREPORT 100&amp;CPAGE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tabSelected="1" zoomScaleSheetLayoutView="75" workbookViewId="0">
      <selection activeCell="H56" sqref="H56"/>
    </sheetView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630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870</v>
      </c>
      <c r="B5" s="824"/>
      <c r="C5" s="825"/>
      <c r="D5" s="661"/>
    </row>
    <row r="6" spans="1:58" s="662" customFormat="1" ht="15.75" customHeight="1" x14ac:dyDescent="0.25">
      <c r="A6" s="823" t="s">
        <v>871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872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873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777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657</v>
      </c>
      <c r="C14" s="589">
        <v>77548052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636</v>
      </c>
      <c r="C15" s="591">
        <v>164229086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778</v>
      </c>
      <c r="C16" s="591">
        <v>72868103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72868103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744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491825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759</v>
      </c>
      <c r="C20" s="591">
        <v>1753618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779</v>
      </c>
      <c r="C21" s="593">
        <f>SUM(C15+C16+C19)</f>
        <v>237589014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315137066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780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657</v>
      </c>
      <c r="C25" s="589">
        <v>186264194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636</v>
      </c>
      <c r="C26" s="591">
        <v>159777589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778</v>
      </c>
      <c r="C27" s="591">
        <v>155038353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155038353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744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899169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759</v>
      </c>
      <c r="C31" s="594">
        <v>12583003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781</v>
      </c>
      <c r="C32" s="593">
        <f>SUM(C26+C27+C30)</f>
        <v>315715111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501979305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654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874</v>
      </c>
      <c r="C36" s="590">
        <f>SUM(C14+C25)</f>
        <v>263812246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875</v>
      </c>
      <c r="C37" s="594">
        <f>SUM(C21+C32)</f>
        <v>553304125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654</v>
      </c>
      <c r="C38" s="593">
        <f>SUM(+C36+C37)</f>
        <v>817116371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790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657</v>
      </c>
      <c r="C41" s="589">
        <v>38500378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636</v>
      </c>
      <c r="C42" s="591">
        <v>71770634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778</v>
      </c>
      <c r="C43" s="591">
        <v>21746068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21746068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744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140465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759</v>
      </c>
      <c r="C47" s="591">
        <v>24237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791</v>
      </c>
      <c r="C48" s="593">
        <f>SUM(C42+C43+C46)</f>
        <v>93657167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132157545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792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657</v>
      </c>
      <c r="C52" s="589">
        <v>62352992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636</v>
      </c>
      <c r="C53" s="591">
        <v>33888523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778</v>
      </c>
      <c r="C54" s="591">
        <v>29484033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29484033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744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179457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759</v>
      </c>
      <c r="C58" s="591">
        <v>527219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793</v>
      </c>
      <c r="C59" s="593">
        <f>SUM(C53+C54+C57)</f>
        <v>63552013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125905005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655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876</v>
      </c>
      <c r="C63" s="590">
        <f>SUM(C41+C52)</f>
        <v>100853370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877</v>
      </c>
      <c r="C64" s="594">
        <f>SUM(C48+C59)</f>
        <v>157209180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655</v>
      </c>
      <c r="C65" s="593">
        <f>SUM(+C63+C64)</f>
        <v>258062550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878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879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657</v>
      </c>
      <c r="C70" s="606">
        <v>2711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636</v>
      </c>
      <c r="C71" s="606">
        <v>5249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778</v>
      </c>
      <c r="C72" s="606">
        <v>3675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3675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744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21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759</v>
      </c>
      <c r="C76" s="621">
        <v>97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808</v>
      </c>
      <c r="C77" s="608">
        <f>SUM(C71+C72+C75)</f>
        <v>8945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11656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812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657</v>
      </c>
      <c r="C81" s="617">
        <v>1.3515999999999999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636</v>
      </c>
      <c r="C82" s="617">
        <v>1.58521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778</v>
      </c>
      <c r="C83" s="617">
        <f>((C73*C84)+(C74*C85))/(C73+C74)</f>
        <v>1.15879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1.15879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744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0.94089999999999996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759</v>
      </c>
      <c r="C87" s="617">
        <v>1.08541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813</v>
      </c>
      <c r="C88" s="619">
        <f>((C71*C82)+(C73*C84)+(C74*C85)+(C75*C86))/(C71+C73+C74+C75)</f>
        <v>1.4085052476243713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724</v>
      </c>
      <c r="C89" s="619">
        <f>((C70*C81)+(C71*C82)+(C73*C84)+(C74*C85)+(C75*C86))/(C70+C71+C73+C74+C75)</f>
        <v>1.395269993136582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814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815</v>
      </c>
      <c r="C92" s="589">
        <v>249475625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816</v>
      </c>
      <c r="C93" s="622">
        <v>100301914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669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748</v>
      </c>
      <c r="C95" s="589">
        <f>+C92-C93</f>
        <v>149173711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671</v>
      </c>
      <c r="C96" s="681">
        <f>(+C92-C93)/C92</f>
        <v>0.59794904211583799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763</v>
      </c>
      <c r="C98" s="589">
        <v>14458133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749</v>
      </c>
      <c r="C99" s="589">
        <v>9983827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880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818</v>
      </c>
      <c r="C103" s="589">
        <v>6949752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819</v>
      </c>
      <c r="C104" s="589">
        <v>6835415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820</v>
      </c>
      <c r="C105" s="654">
        <f>+C103+C104</f>
        <v>13785167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821</v>
      </c>
      <c r="C107" s="589">
        <v>12538000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711</v>
      </c>
      <c r="C108" s="589">
        <v>252714644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851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852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655</v>
      </c>
      <c r="C114" s="590">
        <f>+C65</f>
        <v>258062550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853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854</v>
      </c>
      <c r="C116" s="593">
        <f>+C114+C115</f>
        <v>258062550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855</v>
      </c>
      <c r="C118" s="654">
        <v>12200028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856</v>
      </c>
      <c r="C119" s="656">
        <f>+C116+C118</f>
        <v>270262578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857</v>
      </c>
      <c r="C121" s="589">
        <v>270262578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858</v>
      </c>
      <c r="C123" s="658">
        <f>C119-C121</f>
        <v>0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859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860</v>
      </c>
      <c r="C127" s="590">
        <f>C38</f>
        <v>817116371</v>
      </c>
      <c r="D127" s="664"/>
      <c r="AR127" s="485"/>
    </row>
    <row r="128" spans="1:58" s="421" customFormat="1" ht="12.75" x14ac:dyDescent="0.2">
      <c r="A128" s="588">
        <v>2</v>
      </c>
      <c r="B128" s="659" t="s">
        <v>861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862</v>
      </c>
      <c r="C129" s="657">
        <f>C127+C128</f>
        <v>817116371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863</v>
      </c>
      <c r="C131" s="589">
        <v>817116371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858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864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865</v>
      </c>
      <c r="C137" s="589">
        <f>C105</f>
        <v>13785167</v>
      </c>
      <c r="D137" s="664"/>
      <c r="AR137" s="485"/>
    </row>
    <row r="138" spans="1:44" s="421" customFormat="1" ht="12.75" x14ac:dyDescent="0.2">
      <c r="A138" s="588">
        <v>2</v>
      </c>
      <c r="B138" s="669" t="s">
        <v>881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867</v>
      </c>
      <c r="C139" s="657">
        <f>C137+C138</f>
        <v>13785167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882</v>
      </c>
      <c r="C141" s="589">
        <v>13785167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869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25" right="0.25" top="0.75" bottom="0.75" header="0.3" footer="0.3"/>
  <pageSetup scale="79" fitToHeight="0" orientation="portrait" horizontalDpi="1200" verticalDpi="1200" r:id="rId1"/>
  <headerFooter>
    <oddHeader>&amp;LOFFICE OF HEALTH CARE ACCESS&amp;CTWELVE MONTHS ACTUAL FILING&amp;RSAINT MARY`S HOSPITAL</oddHeader>
    <oddFooter>&amp;LREPORT 100&amp;CPAGE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tabSelected="1" zoomScale="75" zoomScaleSheetLayoutView="90" workbookViewId="0">
      <selection activeCell="H56" sqref="H56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5" width="16.42578125" style="365" bestFit="1" customWidth="1"/>
    <col min="6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630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883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633</v>
      </c>
      <c r="D8" s="177" t="s">
        <v>633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884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885</v>
      </c>
      <c r="C12" s="185">
        <v>902</v>
      </c>
      <c r="D12" s="185">
        <v>2970</v>
      </c>
      <c r="E12" s="185">
        <f>+D12-C12</f>
        <v>2068</v>
      </c>
      <c r="F12" s="77">
        <f>IF(C12=0,0,+E12/C12)</f>
        <v>2.2926829268292681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886</v>
      </c>
      <c r="C13" s="185">
        <v>879</v>
      </c>
      <c r="D13" s="185">
        <v>2894</v>
      </c>
      <c r="E13" s="185">
        <f>+D13-C13</f>
        <v>2015</v>
      </c>
      <c r="F13" s="77">
        <f>IF(C13=0,0,+E13/C13)</f>
        <v>2.2923777019340159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887</v>
      </c>
      <c r="C15" s="76">
        <v>3174277</v>
      </c>
      <c r="D15" s="76">
        <v>6949752</v>
      </c>
      <c r="E15" s="76">
        <f>+D15-C15</f>
        <v>3775475</v>
      </c>
      <c r="F15" s="77">
        <f>IF(C15=0,0,+E15/C15)</f>
        <v>1.189396829577255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888</v>
      </c>
      <c r="C16" s="79">
        <f>IF(C13=0,0,+C15/+C13)</f>
        <v>3611.236632536974</v>
      </c>
      <c r="D16" s="79">
        <f>IF(D13=0,0,+D15/+D13)</f>
        <v>2401.4346924671736</v>
      </c>
      <c r="E16" s="79">
        <f>+D16-C16</f>
        <v>-1209.8019400698004</v>
      </c>
      <c r="F16" s="80">
        <f>IF(C16=0,0,+E16/C16)</f>
        <v>-0.33501043082294157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889</v>
      </c>
      <c r="C18" s="704">
        <v>0.33779599999999999</v>
      </c>
      <c r="D18" s="704">
        <v>0.31973699999999999</v>
      </c>
      <c r="E18" s="704">
        <f>+D18-C18</f>
        <v>-1.8058999999999992E-2</v>
      </c>
      <c r="F18" s="77">
        <f>IF(C18=0,0,+E18/C18)</f>
        <v>-5.3461260642517945E-2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890</v>
      </c>
      <c r="C19" s="79">
        <f>+C15*C18</f>
        <v>1072258.0734919999</v>
      </c>
      <c r="D19" s="79">
        <f>+D15*D18</f>
        <v>2222092.8552239998</v>
      </c>
      <c r="E19" s="79">
        <f>+D19-C19</f>
        <v>1149834.7817319999</v>
      </c>
      <c r="F19" s="80">
        <f>IF(C19=0,0,+E19/C19)</f>
        <v>1.0723489150213228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891</v>
      </c>
      <c r="C20" s="79">
        <f>IF(C13=0,0,+C19/C13)</f>
        <v>1219.8612895244594</v>
      </c>
      <c r="D20" s="79">
        <f>IF(D13=0,0,+D19/D13)</f>
        <v>767.82752426537661</v>
      </c>
      <c r="E20" s="79">
        <f>+D20-C20</f>
        <v>-452.03376525908277</v>
      </c>
      <c r="F20" s="80">
        <f>IF(C20=0,0,+E20/C20)</f>
        <v>-0.37056161150527195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892</v>
      </c>
      <c r="C22" s="76">
        <v>1158143</v>
      </c>
      <c r="D22" s="76">
        <v>1558496</v>
      </c>
      <c r="E22" s="76">
        <f>+D22-C22</f>
        <v>400353</v>
      </c>
      <c r="F22" s="77">
        <f>IF(C22=0,0,+E22/C22)</f>
        <v>0.34568529102192042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893</v>
      </c>
      <c r="C23" s="185">
        <v>1083233</v>
      </c>
      <c r="D23" s="185">
        <v>1855927</v>
      </c>
      <c r="E23" s="185">
        <f>+D23-C23</f>
        <v>772694</v>
      </c>
      <c r="F23" s="77">
        <f>IF(C23=0,0,+E23/C23)</f>
        <v>0.71332206459736736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894</v>
      </c>
      <c r="C24" s="185">
        <v>932901</v>
      </c>
      <c r="D24" s="185">
        <v>3535329</v>
      </c>
      <c r="E24" s="185">
        <f>+D24-C24</f>
        <v>2602428</v>
      </c>
      <c r="F24" s="77">
        <f>IF(C24=0,0,+E24/C24)</f>
        <v>2.7896079005167751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895</v>
      </c>
      <c r="C25" s="79">
        <f>+C22+C23+C24</f>
        <v>3174277</v>
      </c>
      <c r="D25" s="79">
        <f>+D22+D23+D24</f>
        <v>6949752</v>
      </c>
      <c r="E25" s="79">
        <f>+E22+E23+E24</f>
        <v>3775475</v>
      </c>
      <c r="F25" s="80">
        <f>IF(C25=0,0,+E25/C25)</f>
        <v>1.189396829577255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896</v>
      </c>
      <c r="C27" s="185">
        <v>165</v>
      </c>
      <c r="D27" s="185">
        <v>194</v>
      </c>
      <c r="E27" s="185">
        <f>+D27-C27</f>
        <v>29</v>
      </c>
      <c r="F27" s="77">
        <f>IF(C27=0,0,+E27/C27)</f>
        <v>0.17575757575757575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897</v>
      </c>
      <c r="C28" s="185">
        <v>49</v>
      </c>
      <c r="D28" s="185">
        <v>71</v>
      </c>
      <c r="E28" s="185">
        <f>+D28-C28</f>
        <v>22</v>
      </c>
      <c r="F28" s="77">
        <f>IF(C28=0,0,+E28/C28)</f>
        <v>0.44897959183673469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898</v>
      </c>
      <c r="C29" s="185">
        <v>666</v>
      </c>
      <c r="D29" s="185">
        <v>2311</v>
      </c>
      <c r="E29" s="185">
        <f>+D29-C29</f>
        <v>1645</v>
      </c>
      <c r="F29" s="77">
        <f>IF(C29=0,0,+E29/C29)</f>
        <v>2.46996996996997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899</v>
      </c>
      <c r="C30" s="185">
        <v>506</v>
      </c>
      <c r="D30" s="185">
        <v>1638</v>
      </c>
      <c r="E30" s="185">
        <f>+D30-C30</f>
        <v>1132</v>
      </c>
      <c r="F30" s="77">
        <f>IF(C30=0,0,+E30/C30)</f>
        <v>2.2371541501976284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900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901</v>
      </c>
      <c r="C33" s="76">
        <v>81799</v>
      </c>
      <c r="D33" s="76">
        <v>170885</v>
      </c>
      <c r="E33" s="76">
        <f>+D33-C33</f>
        <v>89086</v>
      </c>
      <c r="F33" s="77">
        <f>IF(C33=0,0,+E33/C33)</f>
        <v>1.0890842186334797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902</v>
      </c>
      <c r="C34" s="185">
        <v>1885598</v>
      </c>
      <c r="D34" s="185">
        <v>2508748</v>
      </c>
      <c r="E34" s="185">
        <f>+D34-C34</f>
        <v>623150</v>
      </c>
      <c r="F34" s="77">
        <f>IF(C34=0,0,+E34/C34)</f>
        <v>0.3304787128539593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903</v>
      </c>
      <c r="C35" s="185">
        <v>6212508</v>
      </c>
      <c r="D35" s="185">
        <v>4155782</v>
      </c>
      <c r="E35" s="185">
        <f>+D35-C35</f>
        <v>-2056726</v>
      </c>
      <c r="F35" s="77">
        <f>IF(C35=0,0,+E35/C35)</f>
        <v>-0.33106210889386378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904</v>
      </c>
      <c r="C36" s="79">
        <f>+C33+C34+C35</f>
        <v>8179905</v>
      </c>
      <c r="D36" s="79">
        <f>+D33+D34+D35</f>
        <v>6835415</v>
      </c>
      <c r="E36" s="79">
        <f>+E33+E34+E35</f>
        <v>-1344490</v>
      </c>
      <c r="F36" s="80">
        <f>IF(C36=0,0,+E36/C36)</f>
        <v>-0.16436498956894977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905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906</v>
      </c>
      <c r="C39" s="76">
        <f>+C25</f>
        <v>3174277</v>
      </c>
      <c r="D39" s="76">
        <f>+D25</f>
        <v>6949752</v>
      </c>
      <c r="E39" s="76">
        <f>+D39-C39</f>
        <v>3775475</v>
      </c>
      <c r="F39" s="77">
        <f>IF(C39=0,0,+E39/C39)</f>
        <v>1.189396829577255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907</v>
      </c>
      <c r="C40" s="185">
        <f>+C36</f>
        <v>8179905</v>
      </c>
      <c r="D40" s="185">
        <f>+D36</f>
        <v>6835415</v>
      </c>
      <c r="E40" s="185">
        <f>+D40-C40</f>
        <v>-1344490</v>
      </c>
      <c r="F40" s="77">
        <f>IF(C40=0,0,+E40/C40)</f>
        <v>-0.16436498956894977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908</v>
      </c>
      <c r="C41" s="79">
        <f>+C39+C40</f>
        <v>11354182</v>
      </c>
      <c r="D41" s="79">
        <f>+D39+D40</f>
        <v>13785167</v>
      </c>
      <c r="E41" s="79">
        <f>+E39+E40</f>
        <v>2430985</v>
      </c>
      <c r="F41" s="80">
        <f>IF(C41=0,0,+E41/C41)</f>
        <v>0.21410481177772209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909</v>
      </c>
      <c r="C43" s="76">
        <f t="shared" ref="C43:D45" si="0">+C22+C33</f>
        <v>1239942</v>
      </c>
      <c r="D43" s="76">
        <f t="shared" si="0"/>
        <v>1729381</v>
      </c>
      <c r="E43" s="76">
        <f>+D43-C43</f>
        <v>489439</v>
      </c>
      <c r="F43" s="77">
        <f>IF(C43=0,0,+E43/C43)</f>
        <v>0.39472733402046223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910</v>
      </c>
      <c r="C44" s="185">
        <f t="shared" si="0"/>
        <v>2968831</v>
      </c>
      <c r="D44" s="185">
        <f t="shared" si="0"/>
        <v>4364675</v>
      </c>
      <c r="E44" s="185">
        <f>+D44-C44</f>
        <v>1395844</v>
      </c>
      <c r="F44" s="77">
        <f>IF(C44=0,0,+E44/C44)</f>
        <v>0.47016620346526966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911</v>
      </c>
      <c r="C45" s="185">
        <f t="shared" si="0"/>
        <v>7145409</v>
      </c>
      <c r="D45" s="185">
        <f t="shared" si="0"/>
        <v>7691111</v>
      </c>
      <c r="E45" s="185">
        <f>+D45-C45</f>
        <v>545702</v>
      </c>
      <c r="F45" s="77">
        <f>IF(C45=0,0,+E45/C45)</f>
        <v>7.6370995698076899E-2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908</v>
      </c>
      <c r="C46" s="79">
        <f>+C43+C44+C45</f>
        <v>11354182</v>
      </c>
      <c r="D46" s="79">
        <f>+D43+D44+D45</f>
        <v>13785167</v>
      </c>
      <c r="E46" s="79">
        <f>+E43+E44+E45</f>
        <v>2430985</v>
      </c>
      <c r="F46" s="80">
        <f>IF(C46=0,0,+E46/C46)</f>
        <v>0.21410481177772209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912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rintOptions gridLines="1"/>
  <pageMargins left="0.25" right="0.25" top="0.75" bottom="0.75" header="0.3" footer="0.3"/>
  <pageSetup scale="75" fitToHeight="0" orientation="portrait" horizontalDpi="1200" verticalDpi="1200" r:id="rId1"/>
  <headerFooter>
    <oddHeader>&amp;LOFFICE OF HEALTH CARE ACCESS&amp;CTWELVE MONTHS ACTUAL FILING&amp;RSAINT MARY`S HOSPITAL</oddHeader>
    <oddFooter>&amp;LREPORT 100&amp;CPAGE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tabSelected="1" zoomScale="75" zoomScaleSheetLayoutView="90" workbookViewId="0">
      <selection activeCell="H56" sqref="H56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5" width="16.42578125" style="365" bestFit="1" customWidth="1"/>
    <col min="6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630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913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914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915</v>
      </c>
      <c r="D10" s="177" t="s">
        <v>915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916</v>
      </c>
      <c r="D11" s="693" t="s">
        <v>916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917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232093405</v>
      </c>
      <c r="D15" s="76">
        <v>249475625</v>
      </c>
      <c r="E15" s="76">
        <f>+D15-C15</f>
        <v>17382220</v>
      </c>
      <c r="F15" s="77">
        <f>IF(C15=0,0,E15/C15)</f>
        <v>7.4893209481760162E-2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918</v>
      </c>
      <c r="C17" s="76">
        <v>137485578</v>
      </c>
      <c r="D17" s="76">
        <v>149173711</v>
      </c>
      <c r="E17" s="76">
        <f>+D17-C17</f>
        <v>11688133</v>
      </c>
      <c r="F17" s="77">
        <f>IF(C17=0,0,E17/C17)</f>
        <v>8.5013520472670953E-2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919</v>
      </c>
      <c r="C19" s="79">
        <f>+C15-C17</f>
        <v>94607827</v>
      </c>
      <c r="D19" s="79">
        <f>+D15-D17</f>
        <v>100301914</v>
      </c>
      <c r="E19" s="79">
        <f>+D19-C19</f>
        <v>5694087</v>
      </c>
      <c r="F19" s="80">
        <f>IF(C19=0,0,E19/C19)</f>
        <v>6.0186214825545037E-2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920</v>
      </c>
      <c r="C21" s="720">
        <f>IF(C15=0,0,C17/C15)</f>
        <v>0.59237175653483132</v>
      </c>
      <c r="D21" s="720">
        <f>IF(D15=0,0,D17/D15)</f>
        <v>0.59794904211583799</v>
      </c>
      <c r="E21" s="720">
        <f>+D21-C21</f>
        <v>5.5772855810066746E-3</v>
      </c>
      <c r="F21" s="80">
        <f>IF(C21=0,0,E21/C21)</f>
        <v>9.4151780861934653E-3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921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rintOptions gridLines="1"/>
  <pageMargins left="0.25" right="0.25" top="0.75" bottom="0.75" header="0.3" footer="0.3"/>
  <pageSetup scale="69" fitToHeight="0" orientation="portrait" horizontalDpi="1200" verticalDpi="1200" r:id="rId1"/>
  <headerFooter>
    <oddHeader>&amp;LOFFICE OF HEALTH CARE ACCESS&amp;CTWELVE MONTHS ACTUAL FILING&amp;RSAINT MARY`S HOSPITAL</oddHeader>
    <oddFooter>&amp;LREPORT 100&amp;CPAGE &amp;P of &amp;N&amp;R&amp;D,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tabSelected="1" zoomScale="75" workbookViewId="0">
      <selection activeCell="H56" sqref="H56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4" width="18.85546875" style="733" customWidth="1"/>
    <col min="5" max="5" width="23.140625" style="733" bestFit="1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922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923</v>
      </c>
      <c r="B6" s="734" t="s">
        <v>924</v>
      </c>
      <c r="C6" s="734" t="s">
        <v>925</v>
      </c>
      <c r="D6" s="734" t="s">
        <v>926</v>
      </c>
      <c r="E6" s="734" t="s">
        <v>927</v>
      </c>
    </row>
    <row r="7" spans="1:6" ht="37.5" customHeight="1" x14ac:dyDescent="0.25">
      <c r="A7" s="735" t="s">
        <v>8</v>
      </c>
      <c r="B7" s="736" t="s">
        <v>9</v>
      </c>
      <c r="C7" s="737" t="s">
        <v>928</v>
      </c>
      <c r="D7" s="737" t="s">
        <v>929</v>
      </c>
      <c r="E7" s="737" t="s">
        <v>930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931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932</v>
      </c>
      <c r="C10" s="744">
        <v>284206299</v>
      </c>
      <c r="D10" s="744">
        <v>306598080</v>
      </c>
      <c r="E10" s="744">
        <v>315137066</v>
      </c>
    </row>
    <row r="11" spans="1:6" ht="26.1" customHeight="1" x14ac:dyDescent="0.25">
      <c r="A11" s="742">
        <v>2</v>
      </c>
      <c r="B11" s="743" t="s">
        <v>933</v>
      </c>
      <c r="C11" s="744">
        <v>379762392</v>
      </c>
      <c r="D11" s="744">
        <v>440154258</v>
      </c>
      <c r="E11" s="744">
        <v>501979305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663968691</v>
      </c>
      <c r="D12" s="744">
        <f>+D11+D10</f>
        <v>746752338</v>
      </c>
      <c r="E12" s="744">
        <f>+E11+E10</f>
        <v>817116371</v>
      </c>
    </row>
    <row r="13" spans="1:6" ht="26.1" customHeight="1" x14ac:dyDescent="0.25">
      <c r="A13" s="742">
        <v>4</v>
      </c>
      <c r="B13" s="743" t="s">
        <v>507</v>
      </c>
      <c r="C13" s="744">
        <v>238729196</v>
      </c>
      <c r="D13" s="744">
        <v>251920803</v>
      </c>
      <c r="E13" s="744">
        <v>270262578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934</v>
      </c>
      <c r="C16" s="744">
        <v>227226738</v>
      </c>
      <c r="D16" s="744">
        <v>241388483</v>
      </c>
      <c r="E16" s="744">
        <v>252714644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935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50924</v>
      </c>
      <c r="D19" s="747">
        <v>50556</v>
      </c>
      <c r="E19" s="747">
        <v>46634</v>
      </c>
    </row>
    <row r="20" spans="1:5" ht="26.1" customHeight="1" x14ac:dyDescent="0.25">
      <c r="A20" s="742">
        <v>2</v>
      </c>
      <c r="B20" s="743" t="s">
        <v>381</v>
      </c>
      <c r="C20" s="748">
        <v>11642</v>
      </c>
      <c r="D20" s="748">
        <v>11845</v>
      </c>
      <c r="E20" s="748">
        <v>11656</v>
      </c>
    </row>
    <row r="21" spans="1:5" ht="26.1" customHeight="1" x14ac:dyDescent="0.25">
      <c r="A21" s="742">
        <v>3</v>
      </c>
      <c r="B21" s="743" t="s">
        <v>936</v>
      </c>
      <c r="C21" s="749">
        <f>IF(C20=0,0,+C19/C20)</f>
        <v>4.3741625150317818</v>
      </c>
      <c r="D21" s="749">
        <f>IF(D20=0,0,+D19/D20)</f>
        <v>4.2681300126635708</v>
      </c>
      <c r="E21" s="749">
        <f>IF(E20=0,0,+E19/E20)</f>
        <v>4.0008579272477691</v>
      </c>
    </row>
    <row r="22" spans="1:5" ht="26.1" customHeight="1" x14ac:dyDescent="0.25">
      <c r="A22" s="742">
        <v>4</v>
      </c>
      <c r="B22" s="743" t="s">
        <v>937</v>
      </c>
      <c r="C22" s="748">
        <f>IF(C10=0,0,C19*(C12/C10))</f>
        <v>118969.71228102161</v>
      </c>
      <c r="D22" s="748">
        <f>IF(D10=0,0,D19*(D12/D10))</f>
        <v>123134.53234908712</v>
      </c>
      <c r="E22" s="748">
        <f>IF(E10=0,0,E19*(E12/E10))</f>
        <v>120916.92459056529</v>
      </c>
    </row>
    <row r="23" spans="1:5" ht="26.1" customHeight="1" x14ac:dyDescent="0.25">
      <c r="A23" s="742">
        <v>0</v>
      </c>
      <c r="B23" s="743" t="s">
        <v>938</v>
      </c>
      <c r="C23" s="748">
        <f>IF(C10=0,0,C20*(C12/C10))</f>
        <v>27198.283527917163</v>
      </c>
      <c r="D23" s="748">
        <f>IF(D10=0,0,D20*(D12/D10))</f>
        <v>28849.761367096624</v>
      </c>
      <c r="E23" s="748">
        <f>IF(E10=0,0,E20*(E12/E10))</f>
        <v>30222.748917691577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939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1.3322283542346676</v>
      </c>
      <c r="D26" s="750">
        <v>1.3425310527648799</v>
      </c>
      <c r="E26" s="750">
        <v>1.395269993136582</v>
      </c>
    </row>
    <row r="27" spans="1:5" ht="26.1" customHeight="1" x14ac:dyDescent="0.25">
      <c r="A27" s="742">
        <v>2</v>
      </c>
      <c r="B27" s="743" t="s">
        <v>940</v>
      </c>
      <c r="C27" s="748">
        <f>C19*C26</f>
        <v>67842.396711046211</v>
      </c>
      <c r="D27" s="748">
        <f>D19*D26</f>
        <v>67872.999903581265</v>
      </c>
      <c r="E27" s="748">
        <f>E19*E26</f>
        <v>65067.020859931363</v>
      </c>
    </row>
    <row r="28" spans="1:5" ht="26.1" customHeight="1" x14ac:dyDescent="0.25">
      <c r="A28" s="742">
        <v>3</v>
      </c>
      <c r="B28" s="743" t="s">
        <v>941</v>
      </c>
      <c r="C28" s="748">
        <f>C20*C26</f>
        <v>15509.8025</v>
      </c>
      <c r="D28" s="748">
        <f>D20*D26</f>
        <v>15902.280320000003</v>
      </c>
      <c r="E28" s="748">
        <f>E20*E26</f>
        <v>16263.267039999999</v>
      </c>
    </row>
    <row r="29" spans="1:5" ht="26.1" customHeight="1" x14ac:dyDescent="0.25">
      <c r="A29" s="742">
        <v>4</v>
      </c>
      <c r="B29" s="743" t="s">
        <v>942</v>
      </c>
      <c r="C29" s="748">
        <f>C22*C26</f>
        <v>158494.82399591734</v>
      </c>
      <c r="D29" s="748">
        <f>D22*D26</f>
        <v>165311.93334633109</v>
      </c>
      <c r="E29" s="748">
        <f>E22*E26</f>
        <v>168711.75654357462</v>
      </c>
    </row>
    <row r="30" spans="1:5" ht="26.1" customHeight="1" x14ac:dyDescent="0.25">
      <c r="A30" s="742">
        <v>5</v>
      </c>
      <c r="B30" s="743" t="s">
        <v>943</v>
      </c>
      <c r="C30" s="748">
        <f>C23*C26</f>
        <v>36234.324502404954</v>
      </c>
      <c r="D30" s="748">
        <f>D23*D26</f>
        <v>38731.70050018379</v>
      </c>
      <c r="E30" s="748">
        <f>E23*E26</f>
        <v>42168.894674956166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944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945</v>
      </c>
      <c r="C33" s="744">
        <f>IF(C19=0,0,C12/C19)</f>
        <v>13038.423749116329</v>
      </c>
      <c r="D33" s="744">
        <f>IF(D19=0,0,D12/D19)</f>
        <v>14770.795513885592</v>
      </c>
      <c r="E33" s="744">
        <f>IF(E19=0,0,E12/E19)</f>
        <v>17521.901852725478</v>
      </c>
    </row>
    <row r="34" spans="1:5" ht="26.1" customHeight="1" x14ac:dyDescent="0.25">
      <c r="A34" s="742">
        <v>2</v>
      </c>
      <c r="B34" s="743" t="s">
        <v>946</v>
      </c>
      <c r="C34" s="744">
        <f>IF(C20=0,0,C12/C20)</f>
        <v>57032.184418484794</v>
      </c>
      <c r="D34" s="744">
        <f>IF(D20=0,0,D12/D20)</f>
        <v>63043.675643731534</v>
      </c>
      <c r="E34" s="744">
        <f>IF(E20=0,0,E12/E20)</f>
        <v>70102.639927934113</v>
      </c>
    </row>
    <row r="35" spans="1:5" ht="26.1" customHeight="1" x14ac:dyDescent="0.25">
      <c r="A35" s="742">
        <v>3</v>
      </c>
      <c r="B35" s="743" t="s">
        <v>947</v>
      </c>
      <c r="C35" s="744">
        <f>IF(C22=0,0,C12/C22)</f>
        <v>5580.9892977770796</v>
      </c>
      <c r="D35" s="744">
        <f>IF(D22=0,0,D12/D22)</f>
        <v>6064.5240920958931</v>
      </c>
      <c r="E35" s="744">
        <f>IF(E22=0,0,E12/E22)</f>
        <v>6757.6674958185022</v>
      </c>
    </row>
    <row r="36" spans="1:5" ht="26.1" customHeight="1" x14ac:dyDescent="0.25">
      <c r="A36" s="742">
        <v>4</v>
      </c>
      <c r="B36" s="743" t="s">
        <v>948</v>
      </c>
      <c r="C36" s="744">
        <f>IF(C23=0,0,C12/C23)</f>
        <v>24412.154183130046</v>
      </c>
      <c r="D36" s="744">
        <f>IF(D23=0,0,D12/D23)</f>
        <v>25884.17728999578</v>
      </c>
      <c r="E36" s="744">
        <f>IF(E23=0,0,E12/E23)</f>
        <v>27036.467570350036</v>
      </c>
    </row>
    <row r="37" spans="1:5" ht="26.1" customHeight="1" x14ac:dyDescent="0.25">
      <c r="A37" s="742">
        <v>5</v>
      </c>
      <c r="B37" s="743" t="s">
        <v>949</v>
      </c>
      <c r="C37" s="744">
        <f>IF(C29=0,0,C12/C29)</f>
        <v>4189.2137185319261</v>
      </c>
      <c r="D37" s="744">
        <f>IF(D29=0,0,D12/D29)</f>
        <v>4517.2318953861741</v>
      </c>
      <c r="E37" s="744">
        <f>IF(E29=0,0,E12/E29)</f>
        <v>4843.2687071748696</v>
      </c>
    </row>
    <row r="38" spans="1:5" ht="26.1" customHeight="1" x14ac:dyDescent="0.25">
      <c r="A38" s="742">
        <v>6</v>
      </c>
      <c r="B38" s="743" t="s">
        <v>950</v>
      </c>
      <c r="C38" s="744">
        <f>IF(C30=0,0,C12/C30)</f>
        <v>18324.301615059248</v>
      </c>
      <c r="D38" s="744">
        <f>IF(D30=0,0,D12/D30)</f>
        <v>19280.133026858879</v>
      </c>
      <c r="E38" s="744">
        <f>IF(E30=0,0,E12/E30)</f>
        <v>19377.230000891632</v>
      </c>
    </row>
    <row r="39" spans="1:5" ht="26.1" customHeight="1" x14ac:dyDescent="0.25">
      <c r="A39" s="742">
        <v>7</v>
      </c>
      <c r="B39" s="743" t="s">
        <v>951</v>
      </c>
      <c r="C39" s="744">
        <f>IF(C22=0,0,C10/C22)</f>
        <v>2388.8962455306987</v>
      </c>
      <c r="D39" s="744">
        <f>IF(D22=0,0,D10/D22)</f>
        <v>2489.9439186628219</v>
      </c>
      <c r="E39" s="744">
        <f>IF(E22=0,0,E10/E22)</f>
        <v>2606.2279293579468</v>
      </c>
    </row>
    <row r="40" spans="1:5" ht="26.1" customHeight="1" x14ac:dyDescent="0.25">
      <c r="A40" s="742">
        <v>8</v>
      </c>
      <c r="B40" s="743" t="s">
        <v>952</v>
      </c>
      <c r="C40" s="744">
        <f>IF(C23=0,0,C10/C23)</f>
        <v>10449.420409500543</v>
      </c>
      <c r="D40" s="744">
        <f>IF(D23=0,0,D10/D23)</f>
        <v>10627.404369093932</v>
      </c>
      <c r="E40" s="744">
        <f>IF(E23=0,0,E10/E23)</f>
        <v>10427.147671386281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953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954</v>
      </c>
      <c r="C43" s="744">
        <f>IF(C19=0,0,C13/C19)</f>
        <v>4687.9505930406094</v>
      </c>
      <c r="D43" s="744">
        <f>IF(D19=0,0,D13/D19)</f>
        <v>4983.0050439117022</v>
      </c>
      <c r="E43" s="744">
        <f>IF(E19=0,0,E13/E19)</f>
        <v>5795.3977355577472</v>
      </c>
    </row>
    <row r="44" spans="1:5" ht="26.1" customHeight="1" x14ac:dyDescent="0.25">
      <c r="A44" s="742">
        <v>2</v>
      </c>
      <c r="B44" s="743" t="s">
        <v>955</v>
      </c>
      <c r="C44" s="744">
        <f>IF(C20=0,0,C13/C20)</f>
        <v>20505.857756399244</v>
      </c>
      <c r="D44" s="744">
        <f>IF(D20=0,0,D13/D20)</f>
        <v>21268.113381173491</v>
      </c>
      <c r="E44" s="744">
        <f>IF(E20=0,0,E13/E20)</f>
        <v>23186.562971859985</v>
      </c>
    </row>
    <row r="45" spans="1:5" ht="26.1" customHeight="1" x14ac:dyDescent="0.25">
      <c r="A45" s="742">
        <v>3</v>
      </c>
      <c r="B45" s="743" t="s">
        <v>956</v>
      </c>
      <c r="C45" s="744">
        <f>IF(C22=0,0,C13/C22)</f>
        <v>2006.6384243755356</v>
      </c>
      <c r="D45" s="744">
        <f>IF(D22=0,0,D13/D22)</f>
        <v>2045.8988895641642</v>
      </c>
      <c r="E45" s="744">
        <f>IF(E22=0,0,E13/E22)</f>
        <v>2235.1095921032679</v>
      </c>
    </row>
    <row r="46" spans="1:5" ht="26.1" customHeight="1" x14ac:dyDescent="0.25">
      <c r="A46" s="742">
        <v>4</v>
      </c>
      <c r="B46" s="743" t="s">
        <v>957</v>
      </c>
      <c r="C46" s="744">
        <f>IF(C23=0,0,C13/C23)</f>
        <v>8777.362577125903</v>
      </c>
      <c r="D46" s="744">
        <f>IF(D23=0,0,D13/D23)</f>
        <v>8732.1624534238817</v>
      </c>
      <c r="E46" s="744">
        <f>IF(E23=0,0,E13/E23)</f>
        <v>8942.3559298338878</v>
      </c>
    </row>
    <row r="47" spans="1:5" ht="26.1" customHeight="1" x14ac:dyDescent="0.25">
      <c r="A47" s="742">
        <v>5</v>
      </c>
      <c r="B47" s="743" t="s">
        <v>958</v>
      </c>
      <c r="C47" s="744">
        <f>IF(C29=0,0,C13/C29)</f>
        <v>1506.2270803628855</v>
      </c>
      <c r="D47" s="744">
        <f>IF(D29=0,0,D13/D29)</f>
        <v>1523.9117824133239</v>
      </c>
      <c r="E47" s="744">
        <f>IF(E29=0,0,E13/E29)</f>
        <v>1601.9190573135725</v>
      </c>
    </row>
    <row r="48" spans="1:5" ht="26.1" customHeight="1" x14ac:dyDescent="0.25">
      <c r="A48" s="742">
        <v>6</v>
      </c>
      <c r="B48" s="743" t="s">
        <v>959</v>
      </c>
      <c r="C48" s="744">
        <f>IF(C30=0,0,C13/C30)</f>
        <v>6588.482034049096</v>
      </c>
      <c r="D48" s="744">
        <f>IF(D30=0,0,D13/D30)</f>
        <v>6504.2536151699451</v>
      </c>
      <c r="E48" s="744">
        <f>IF(E30=0,0,E13/E30)</f>
        <v>6409.0505592622803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960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961</v>
      </c>
      <c r="C51" s="744">
        <f>IF(C19=0,0,C16/C19)</f>
        <v>4462.0756028591622</v>
      </c>
      <c r="D51" s="744">
        <f>IF(D19=0,0,D16/D19)</f>
        <v>4774.6752709866287</v>
      </c>
      <c r="E51" s="744">
        <f>IF(E19=0,0,E16/E19)</f>
        <v>5419.1071750225155</v>
      </c>
    </row>
    <row r="52" spans="1:6" ht="26.1" customHeight="1" x14ac:dyDescent="0.25">
      <c r="A52" s="742">
        <v>2</v>
      </c>
      <c r="B52" s="743" t="s">
        <v>962</v>
      </c>
      <c r="C52" s="744">
        <f>IF(C20=0,0,C16/C20)</f>
        <v>19517.843841264388</v>
      </c>
      <c r="D52" s="744">
        <f>IF(D20=0,0,D16/D20)</f>
        <v>20378.934824820601</v>
      </c>
      <c r="E52" s="744">
        <f>IF(E20=0,0,E16/E20)</f>
        <v>21681.077899794098</v>
      </c>
    </row>
    <row r="53" spans="1:6" ht="26.1" customHeight="1" x14ac:dyDescent="0.25">
      <c r="A53" s="742">
        <v>3</v>
      </c>
      <c r="B53" s="743" t="s">
        <v>963</v>
      </c>
      <c r="C53" s="744">
        <f>IF(C22=0,0,C16/C22)</f>
        <v>1909.9545055909819</v>
      </c>
      <c r="D53" s="744">
        <f>IF(D22=0,0,D16/D22)</f>
        <v>1960.3638264176147</v>
      </c>
      <c r="E53" s="744">
        <f>IF(E22=0,0,E16/E22)</f>
        <v>2089.9857059358123</v>
      </c>
    </row>
    <row r="54" spans="1:6" ht="26.1" customHeight="1" x14ac:dyDescent="0.25">
      <c r="A54" s="742">
        <v>4</v>
      </c>
      <c r="B54" s="743" t="s">
        <v>964</v>
      </c>
      <c r="C54" s="744">
        <f>IF(C23=0,0,C16/C23)</f>
        <v>8354.4514037721328</v>
      </c>
      <c r="D54" s="744">
        <f>IF(D23=0,0,D16/D23)</f>
        <v>8367.087683273021</v>
      </c>
      <c r="E54" s="744">
        <f>IF(E23=0,0,E16/E23)</f>
        <v>8361.7358794278207</v>
      </c>
    </row>
    <row r="55" spans="1:6" ht="26.1" customHeight="1" x14ac:dyDescent="0.25">
      <c r="A55" s="742">
        <v>5</v>
      </c>
      <c r="B55" s="743" t="s">
        <v>965</v>
      </c>
      <c r="C55" s="744">
        <f>IF(C29=0,0,C16/C29)</f>
        <v>1433.6539974696784</v>
      </c>
      <c r="D55" s="744">
        <f>IF(D29=0,0,D16/D29)</f>
        <v>1460.1999874642283</v>
      </c>
      <c r="E55" s="744">
        <f>IF(E29=0,0,E16/E29)</f>
        <v>1497.907728408537</v>
      </c>
    </row>
    <row r="56" spans="1:6" ht="26.1" customHeight="1" x14ac:dyDescent="0.25">
      <c r="A56" s="742">
        <v>6</v>
      </c>
      <c r="B56" s="743" t="s">
        <v>966</v>
      </c>
      <c r="C56" s="744">
        <f>IF(C30=0,0,C16/C30)</f>
        <v>6271.035575257335</v>
      </c>
      <c r="D56" s="744">
        <f>IF(D30=0,0,D16/D30)</f>
        <v>6232.3233909870432</v>
      </c>
      <c r="E56" s="744">
        <f>IF(E30=0,0,E16/E30)</f>
        <v>5992.916009488994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967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968</v>
      </c>
      <c r="C59" s="752">
        <v>32118192</v>
      </c>
      <c r="D59" s="752">
        <v>32984221</v>
      </c>
      <c r="E59" s="752">
        <v>33797299</v>
      </c>
    </row>
    <row r="60" spans="1:6" ht="26.1" customHeight="1" x14ac:dyDescent="0.25">
      <c r="A60" s="742">
        <v>2</v>
      </c>
      <c r="B60" s="743" t="s">
        <v>969</v>
      </c>
      <c r="C60" s="752">
        <v>6966676</v>
      </c>
      <c r="D60" s="752">
        <v>7751649</v>
      </c>
      <c r="E60" s="752">
        <v>7850173</v>
      </c>
    </row>
    <row r="61" spans="1:6" ht="26.1" customHeight="1" x14ac:dyDescent="0.25">
      <c r="A61" s="753">
        <v>3</v>
      </c>
      <c r="B61" s="754" t="s">
        <v>970</v>
      </c>
      <c r="C61" s="755">
        <f>C59+C60</f>
        <v>39084868</v>
      </c>
      <c r="D61" s="755">
        <f>D59+D60</f>
        <v>40735870</v>
      </c>
      <c r="E61" s="755">
        <f>E59+E60</f>
        <v>41647472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971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972</v>
      </c>
      <c r="C64" s="744">
        <v>3880024</v>
      </c>
      <c r="D64" s="744">
        <v>3794093</v>
      </c>
      <c r="E64" s="752">
        <v>3788870</v>
      </c>
      <c r="F64" s="756"/>
    </row>
    <row r="65" spans="1:6" ht="26.1" customHeight="1" x14ac:dyDescent="0.25">
      <c r="A65" s="742">
        <v>2</v>
      </c>
      <c r="B65" s="743" t="s">
        <v>973</v>
      </c>
      <c r="C65" s="752">
        <v>1070317</v>
      </c>
      <c r="D65" s="752">
        <v>1114917</v>
      </c>
      <c r="E65" s="752">
        <v>1090866</v>
      </c>
      <c r="F65" s="756"/>
    </row>
    <row r="66" spans="1:6" ht="26.1" customHeight="1" x14ac:dyDescent="0.25">
      <c r="A66" s="753">
        <v>3</v>
      </c>
      <c r="B66" s="754" t="s">
        <v>974</v>
      </c>
      <c r="C66" s="757">
        <f>C64+C65</f>
        <v>4950341</v>
      </c>
      <c r="D66" s="757">
        <f>D64+D65</f>
        <v>4909010</v>
      </c>
      <c r="E66" s="757">
        <f>E64+E65</f>
        <v>4879736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975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976</v>
      </c>
      <c r="C69" s="752">
        <v>49351637</v>
      </c>
      <c r="D69" s="752">
        <v>52014621</v>
      </c>
      <c r="E69" s="752">
        <v>54522428</v>
      </c>
    </row>
    <row r="70" spans="1:6" ht="26.1" customHeight="1" x14ac:dyDescent="0.25">
      <c r="A70" s="742">
        <v>2</v>
      </c>
      <c r="B70" s="743" t="s">
        <v>977</v>
      </c>
      <c r="C70" s="752">
        <v>16524669</v>
      </c>
      <c r="D70" s="752">
        <v>18695393</v>
      </c>
      <c r="E70" s="752">
        <v>19044853</v>
      </c>
    </row>
    <row r="71" spans="1:6" ht="26.1" customHeight="1" x14ac:dyDescent="0.25">
      <c r="A71" s="753">
        <v>3</v>
      </c>
      <c r="B71" s="754" t="s">
        <v>978</v>
      </c>
      <c r="C71" s="755">
        <f>C69+C70</f>
        <v>65876306</v>
      </c>
      <c r="D71" s="755">
        <f>D69+D70</f>
        <v>70710014</v>
      </c>
      <c r="E71" s="755">
        <f>E69+E70</f>
        <v>73567281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979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980</v>
      </c>
      <c r="C75" s="744">
        <f t="shared" ref="C75:E76" si="0">+C59+C64+C69</f>
        <v>85349853</v>
      </c>
      <c r="D75" s="744">
        <f t="shared" si="0"/>
        <v>88792935</v>
      </c>
      <c r="E75" s="744">
        <f t="shared" si="0"/>
        <v>92108597</v>
      </c>
    </row>
    <row r="76" spans="1:6" ht="26.1" customHeight="1" x14ac:dyDescent="0.25">
      <c r="A76" s="742">
        <v>2</v>
      </c>
      <c r="B76" s="743" t="s">
        <v>981</v>
      </c>
      <c r="C76" s="744">
        <f t="shared" si="0"/>
        <v>24561662</v>
      </c>
      <c r="D76" s="744">
        <f t="shared" si="0"/>
        <v>27561959</v>
      </c>
      <c r="E76" s="744">
        <f t="shared" si="0"/>
        <v>27985892</v>
      </c>
    </row>
    <row r="77" spans="1:6" ht="26.1" customHeight="1" x14ac:dyDescent="0.25">
      <c r="A77" s="753">
        <v>3</v>
      </c>
      <c r="B77" s="754" t="s">
        <v>979</v>
      </c>
      <c r="C77" s="757">
        <f>C75+C76</f>
        <v>109911515</v>
      </c>
      <c r="D77" s="757">
        <f>D75+D76</f>
        <v>116354894</v>
      </c>
      <c r="E77" s="757">
        <f>E75+E76</f>
        <v>120094489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982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373.1</v>
      </c>
      <c r="D80" s="749">
        <v>389.3</v>
      </c>
      <c r="E80" s="749">
        <v>393.1</v>
      </c>
    </row>
    <row r="81" spans="1:5" ht="26.1" customHeight="1" x14ac:dyDescent="0.25">
      <c r="A81" s="742">
        <v>2</v>
      </c>
      <c r="B81" s="743" t="s">
        <v>617</v>
      </c>
      <c r="C81" s="749">
        <v>57.3</v>
      </c>
      <c r="D81" s="749">
        <v>56</v>
      </c>
      <c r="E81" s="749">
        <v>54.6</v>
      </c>
    </row>
    <row r="82" spans="1:5" ht="26.1" customHeight="1" x14ac:dyDescent="0.25">
      <c r="A82" s="742">
        <v>3</v>
      </c>
      <c r="B82" s="743" t="s">
        <v>983</v>
      </c>
      <c r="C82" s="749">
        <v>885</v>
      </c>
      <c r="D82" s="749">
        <v>938.9</v>
      </c>
      <c r="E82" s="749">
        <v>950.6</v>
      </c>
    </row>
    <row r="83" spans="1:5" ht="26.1" customHeight="1" x14ac:dyDescent="0.25">
      <c r="A83" s="753">
        <v>4</v>
      </c>
      <c r="B83" s="754" t="s">
        <v>982</v>
      </c>
      <c r="C83" s="759">
        <f>C80+C81+C82</f>
        <v>1315.4</v>
      </c>
      <c r="D83" s="759">
        <f>D80+D81+D82</f>
        <v>1384.2</v>
      </c>
      <c r="E83" s="759">
        <f>E80+E81+E82</f>
        <v>1398.3000000000002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984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985</v>
      </c>
      <c r="C86" s="752">
        <f>IF(C80=0,0,C59/C80)</f>
        <v>86084.674350040194</v>
      </c>
      <c r="D86" s="752">
        <f>IF(D80=0,0,D59/D80)</f>
        <v>84726.99974312869</v>
      </c>
      <c r="E86" s="752">
        <f>IF(E80=0,0,E59/E80)</f>
        <v>85976.339353853982</v>
      </c>
    </row>
    <row r="87" spans="1:5" ht="26.1" customHeight="1" x14ac:dyDescent="0.25">
      <c r="A87" s="742">
        <v>2</v>
      </c>
      <c r="B87" s="743" t="s">
        <v>986</v>
      </c>
      <c r="C87" s="752">
        <f>IF(C80=0,0,C60/C80)</f>
        <v>18672.409541677833</v>
      </c>
      <c r="D87" s="752">
        <f>IF(D80=0,0,D60/D80)</f>
        <v>19911.762137169277</v>
      </c>
      <c r="E87" s="752">
        <f>IF(E80=0,0,E60/E80)</f>
        <v>19969.913508013226</v>
      </c>
    </row>
    <row r="88" spans="1:5" ht="26.1" customHeight="1" x14ac:dyDescent="0.25">
      <c r="A88" s="753">
        <v>3</v>
      </c>
      <c r="B88" s="754" t="s">
        <v>987</v>
      </c>
      <c r="C88" s="755">
        <f>+C86+C87</f>
        <v>104757.08389171802</v>
      </c>
      <c r="D88" s="755">
        <f>+D86+D87</f>
        <v>104638.76188029797</v>
      </c>
      <c r="E88" s="755">
        <f>+E86+E87</f>
        <v>105946.25286186721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988</v>
      </c>
    </row>
    <row r="91" spans="1:5" ht="26.1" customHeight="1" x14ac:dyDescent="0.25">
      <c r="A91" s="742">
        <v>1</v>
      </c>
      <c r="B91" s="743" t="s">
        <v>989</v>
      </c>
      <c r="C91" s="744">
        <f>IF(C81=0,0,C64/C81)</f>
        <v>67714.205933682373</v>
      </c>
      <c r="D91" s="744">
        <f>IF(D81=0,0,D64/D81)</f>
        <v>67751.66071428571</v>
      </c>
      <c r="E91" s="744">
        <f>IF(E81=0,0,E64/E81)</f>
        <v>69393.22344322344</v>
      </c>
    </row>
    <row r="92" spans="1:5" ht="26.1" customHeight="1" x14ac:dyDescent="0.25">
      <c r="A92" s="742">
        <v>2</v>
      </c>
      <c r="B92" s="743" t="s">
        <v>990</v>
      </c>
      <c r="C92" s="744">
        <f>IF(C81=0,0,C65/C81)</f>
        <v>18679.179755671903</v>
      </c>
      <c r="D92" s="744">
        <f>IF(D81=0,0,D65/D81)</f>
        <v>19909.232142857141</v>
      </c>
      <c r="E92" s="744">
        <f>IF(E81=0,0,E65/E81)</f>
        <v>19979.23076923077</v>
      </c>
    </row>
    <row r="93" spans="1:5" ht="26.1" customHeight="1" x14ac:dyDescent="0.25">
      <c r="A93" s="753">
        <v>3</v>
      </c>
      <c r="B93" s="754" t="s">
        <v>991</v>
      </c>
      <c r="C93" s="757">
        <f>+C91+C92</f>
        <v>86393.385689354269</v>
      </c>
      <c r="D93" s="757">
        <f>+D91+D92</f>
        <v>87660.892857142855</v>
      </c>
      <c r="E93" s="757">
        <f>+E91+E92</f>
        <v>89372.454212454206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992</v>
      </c>
      <c r="B95" s="745" t="s">
        <v>993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994</v>
      </c>
      <c r="C96" s="752">
        <f>IF(C82=0,0,C69/C82)</f>
        <v>55764.561581920905</v>
      </c>
      <c r="D96" s="752">
        <f>IF(D82=0,0,D69/D82)</f>
        <v>55399.532431568856</v>
      </c>
      <c r="E96" s="752">
        <f>IF(E82=0,0,E69/E82)</f>
        <v>57355.804754891644</v>
      </c>
    </row>
    <row r="97" spans="1:5" ht="26.1" customHeight="1" x14ac:dyDescent="0.25">
      <c r="A97" s="742">
        <v>2</v>
      </c>
      <c r="B97" s="743" t="s">
        <v>995</v>
      </c>
      <c r="C97" s="752">
        <f>IF(C82=0,0,C70/C82)</f>
        <v>18671.942372881356</v>
      </c>
      <c r="D97" s="752">
        <f>IF(D82=0,0,D70/D82)</f>
        <v>19912.017254233677</v>
      </c>
      <c r="E97" s="752">
        <f>IF(E82=0,0,E70/E82)</f>
        <v>20034.560277719334</v>
      </c>
    </row>
    <row r="98" spans="1:5" ht="26.1" customHeight="1" x14ac:dyDescent="0.25">
      <c r="A98" s="753">
        <v>3</v>
      </c>
      <c r="B98" s="754" t="s">
        <v>996</v>
      </c>
      <c r="C98" s="757">
        <f>+C96+C97</f>
        <v>74436.503954802261</v>
      </c>
      <c r="D98" s="757">
        <f>+D96+D97</f>
        <v>75311.549685802529</v>
      </c>
      <c r="E98" s="757">
        <f>+E96+E97</f>
        <v>77390.365032610978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997</v>
      </c>
      <c r="B100" s="745" t="s">
        <v>998</v>
      </c>
    </row>
    <row r="101" spans="1:5" ht="26.1" customHeight="1" x14ac:dyDescent="0.25">
      <c r="A101" s="742">
        <v>1</v>
      </c>
      <c r="B101" s="743" t="s">
        <v>999</v>
      </c>
      <c r="C101" s="744">
        <f>IF(C83=0,0,C75/C83)</f>
        <v>64885.094267903296</v>
      </c>
      <c r="D101" s="744">
        <f>IF(D83=0,0,D75/D83)</f>
        <v>64147.475075856091</v>
      </c>
      <c r="E101" s="744">
        <f>IF(E83=0,0,E75/E83)</f>
        <v>65871.842237002071</v>
      </c>
    </row>
    <row r="102" spans="1:5" ht="26.1" customHeight="1" x14ac:dyDescent="0.25">
      <c r="A102" s="742">
        <v>2</v>
      </c>
      <c r="B102" s="743" t="s">
        <v>1000</v>
      </c>
      <c r="C102" s="761">
        <f>IF(C83=0,0,C76/C83)</f>
        <v>18672.390147483653</v>
      </c>
      <c r="D102" s="761">
        <f>IF(D83=0,0,D76/D83)</f>
        <v>19911.832827626065</v>
      </c>
      <c r="E102" s="761">
        <f>IF(E83=0,0,E76/E83)</f>
        <v>20014.225845669738</v>
      </c>
    </row>
    <row r="103" spans="1:5" ht="26.1" customHeight="1" x14ac:dyDescent="0.25">
      <c r="A103" s="753">
        <v>3</v>
      </c>
      <c r="B103" s="754" t="s">
        <v>998</v>
      </c>
      <c r="C103" s="757">
        <f>+C101+C102</f>
        <v>83557.484415386949</v>
      </c>
      <c r="D103" s="757">
        <f>+D101+D102</f>
        <v>84059.307903482157</v>
      </c>
      <c r="E103" s="757">
        <f>+E101+E102</f>
        <v>85886.068082671816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1001</v>
      </c>
      <c r="B107" s="736" t="s">
        <v>1002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1003</v>
      </c>
      <c r="C108" s="744">
        <f>IF(C19=0,0,C77/C19)</f>
        <v>2158.3441010132747</v>
      </c>
      <c r="D108" s="744">
        <f>IF(D19=0,0,D77/D19)</f>
        <v>2301.5051428119314</v>
      </c>
      <c r="E108" s="744">
        <f>IF(E19=0,0,E77/E19)</f>
        <v>2575.2560149247329</v>
      </c>
    </row>
    <row r="109" spans="1:5" ht="26.1" customHeight="1" x14ac:dyDescent="0.25">
      <c r="A109" s="742">
        <v>2</v>
      </c>
      <c r="B109" s="743" t="s">
        <v>1004</v>
      </c>
      <c r="C109" s="744">
        <f>IF(C20=0,0,C77/C20)</f>
        <v>9440.947861192235</v>
      </c>
      <c r="D109" s="744">
        <f>IF(D20=0,0,D77/D20)</f>
        <v>9823.1231743351618</v>
      </c>
      <c r="E109" s="744">
        <f>IF(E20=0,0,E77/E20)</f>
        <v>10303.233442004119</v>
      </c>
    </row>
    <row r="110" spans="1:5" ht="26.1" customHeight="1" x14ac:dyDescent="0.25">
      <c r="A110" s="742">
        <v>3</v>
      </c>
      <c r="B110" s="743" t="s">
        <v>1005</v>
      </c>
      <c r="C110" s="744">
        <f>IF(C22=0,0,C77/C22)</f>
        <v>923.86131640274129</v>
      </c>
      <c r="D110" s="744">
        <f>IF(D22=0,0,D77/D22)</f>
        <v>944.94121007527917</v>
      </c>
      <c r="E110" s="744">
        <f>IF(E22=0,0,E77/E22)</f>
        <v>993.19834180905502</v>
      </c>
    </row>
    <row r="111" spans="1:5" ht="26.1" customHeight="1" x14ac:dyDescent="0.25">
      <c r="A111" s="742">
        <v>4</v>
      </c>
      <c r="B111" s="743" t="s">
        <v>1006</v>
      </c>
      <c r="C111" s="744">
        <f>IF(C23=0,0,C77/C23)</f>
        <v>4041.119539296787</v>
      </c>
      <c r="D111" s="744">
        <f>IF(D23=0,0,D77/D23)</f>
        <v>4033.131938924932</v>
      </c>
      <c r="E111" s="744">
        <f>IF(E23=0,0,E77/E23)</f>
        <v>3973.6454591560978</v>
      </c>
    </row>
    <row r="112" spans="1:5" ht="26.1" customHeight="1" x14ac:dyDescent="0.25">
      <c r="A112" s="742">
        <v>5</v>
      </c>
      <c r="B112" s="743" t="s">
        <v>1007</v>
      </c>
      <c r="C112" s="744">
        <f>IF(C29=0,0,C77/C29)</f>
        <v>693.47069026576673</v>
      </c>
      <c r="D112" s="744">
        <f>IF(D29=0,0,D77/D29)</f>
        <v>703.85054269636225</v>
      </c>
      <c r="E112" s="744">
        <f>IF(E29=0,0,E77/E29)</f>
        <v>711.83236699324016</v>
      </c>
    </row>
    <row r="113" spans="1:7" ht="25.5" customHeight="1" x14ac:dyDescent="0.25">
      <c r="A113" s="742">
        <v>6</v>
      </c>
      <c r="B113" s="743" t="s">
        <v>1008</v>
      </c>
      <c r="C113" s="744">
        <f>IF(C30=0,0,C77/C30)</f>
        <v>3033.3534986337313</v>
      </c>
      <c r="D113" s="744">
        <f>IF(D30=0,0,D77/D30)</f>
        <v>3004.1256257118862</v>
      </c>
      <c r="E113" s="744">
        <f>IF(E30=0,0,E77/E30)</f>
        <v>2847.9401683564483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75" bottom="0.75" header="0.3" footer="0.3"/>
  <pageSetup scale="66" fitToHeight="0" orientation="portrait" horizontalDpi="1200" verticalDpi="1200" r:id="rId1"/>
  <headerFooter>
    <oddHeader>&amp;LOFFICE OF HEALTH CARE ACCESS&amp;CTWELVE MONTHS ACTUAL FILING&amp;RSAINT MARY`S HOSPITAL</oddHeader>
    <oddFooter>&amp;LREPORT 100&amp;CPAGE &amp;P of &amp;N&amp;R&amp;D,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G8" sqref="G8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5" width="16.42578125" style="91" bestFit="1" customWidth="1"/>
    <col min="6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746752338</v>
      </c>
      <c r="D12" s="76">
        <v>817116371</v>
      </c>
      <c r="E12" s="76">
        <f t="shared" ref="E12:E21" si="0">D12-C12</f>
        <v>70364033</v>
      </c>
      <c r="F12" s="77">
        <f t="shared" ref="F12:F21" si="1">IF(C12=0,0,E12/C12)</f>
        <v>9.4226732772546076E-2</v>
      </c>
    </row>
    <row r="13" spans="1:8" ht="23.1" customHeight="1" x14ac:dyDescent="0.2">
      <c r="A13" s="74">
        <v>2</v>
      </c>
      <c r="B13" s="75" t="s">
        <v>72</v>
      </c>
      <c r="C13" s="76">
        <v>483477353</v>
      </c>
      <c r="D13" s="76">
        <v>533068626</v>
      </c>
      <c r="E13" s="76">
        <f t="shared" si="0"/>
        <v>49591273</v>
      </c>
      <c r="F13" s="77">
        <f t="shared" si="1"/>
        <v>0.10257207021649264</v>
      </c>
    </row>
    <row r="14" spans="1:8" ht="23.1" customHeight="1" x14ac:dyDescent="0.2">
      <c r="A14" s="74">
        <v>3</v>
      </c>
      <c r="B14" s="75" t="s">
        <v>73</v>
      </c>
      <c r="C14" s="76">
        <v>3174277</v>
      </c>
      <c r="D14" s="76">
        <v>6949752</v>
      </c>
      <c r="E14" s="76">
        <f t="shared" si="0"/>
        <v>3775475</v>
      </c>
      <c r="F14" s="77">
        <f t="shared" si="1"/>
        <v>1.189396829577255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260100708</v>
      </c>
      <c r="D16" s="79">
        <f>D12-D13-D14-D15</f>
        <v>277097993</v>
      </c>
      <c r="E16" s="79">
        <f t="shared" si="0"/>
        <v>16997285</v>
      </c>
      <c r="F16" s="80">
        <f t="shared" si="1"/>
        <v>6.534886094965954E-2</v>
      </c>
    </row>
    <row r="17" spans="1:7" ht="23.1" customHeight="1" x14ac:dyDescent="0.2">
      <c r="A17" s="74">
        <v>5</v>
      </c>
      <c r="B17" s="75" t="s">
        <v>76</v>
      </c>
      <c r="C17" s="76">
        <v>8179905</v>
      </c>
      <c r="D17" s="76">
        <v>6835415</v>
      </c>
      <c r="E17" s="76">
        <f t="shared" si="0"/>
        <v>-1344490</v>
      </c>
      <c r="F17" s="77">
        <f t="shared" si="1"/>
        <v>-0.16436498956894977</v>
      </c>
      <c r="G17" s="65"/>
    </row>
    <row r="18" spans="1:7" ht="31.5" customHeight="1" x14ac:dyDescent="0.25">
      <c r="A18" s="71"/>
      <c r="B18" s="81" t="s">
        <v>77</v>
      </c>
      <c r="C18" s="79">
        <f>C16-C17</f>
        <v>251920803</v>
      </c>
      <c r="D18" s="79">
        <f>D16-D17</f>
        <v>270262578</v>
      </c>
      <c r="E18" s="79">
        <f t="shared" si="0"/>
        <v>18341775</v>
      </c>
      <c r="F18" s="80">
        <f t="shared" si="1"/>
        <v>7.2807702982750494E-2</v>
      </c>
    </row>
    <row r="19" spans="1:7" ht="23.1" customHeight="1" x14ac:dyDescent="0.2">
      <c r="A19" s="74">
        <v>6</v>
      </c>
      <c r="B19" s="75" t="s">
        <v>78</v>
      </c>
      <c r="C19" s="76">
        <v>8206509</v>
      </c>
      <c r="D19" s="76">
        <v>12538000</v>
      </c>
      <c r="E19" s="76">
        <f t="shared" si="0"/>
        <v>4331491</v>
      </c>
      <c r="F19" s="77">
        <f t="shared" si="1"/>
        <v>0.52781164317251095</v>
      </c>
      <c r="G19" s="65"/>
    </row>
    <row r="20" spans="1:7" ht="33" customHeight="1" x14ac:dyDescent="0.2">
      <c r="A20" s="74">
        <v>7</v>
      </c>
      <c r="B20" s="82" t="s">
        <v>79</v>
      </c>
      <c r="C20" s="76">
        <v>0</v>
      </c>
      <c r="D20" s="76">
        <v>0</v>
      </c>
      <c r="E20" s="76">
        <f t="shared" si="0"/>
        <v>0</v>
      </c>
      <c r="F20" s="77">
        <f t="shared" si="1"/>
        <v>0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260127312</v>
      </c>
      <c r="D21" s="79">
        <f>SUM(D18:D20)</f>
        <v>282800578</v>
      </c>
      <c r="E21" s="79">
        <f t="shared" si="0"/>
        <v>22673266</v>
      </c>
      <c r="F21" s="80">
        <f t="shared" si="1"/>
        <v>8.7162189259080952E-2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88792935</v>
      </c>
      <c r="D24" s="76">
        <v>92108597</v>
      </c>
      <c r="E24" s="76">
        <f t="shared" ref="E24:E33" si="2">D24-C24</f>
        <v>3315662</v>
      </c>
      <c r="F24" s="77">
        <f t="shared" ref="F24:F33" si="3">IF(C24=0,0,E24/C24)</f>
        <v>3.7341506956606402E-2</v>
      </c>
    </row>
    <row r="25" spans="1:7" ht="23.1" customHeight="1" x14ac:dyDescent="0.2">
      <c r="A25" s="74">
        <v>2</v>
      </c>
      <c r="B25" s="75" t="s">
        <v>83</v>
      </c>
      <c r="C25" s="76">
        <v>27561959</v>
      </c>
      <c r="D25" s="76">
        <v>27985892</v>
      </c>
      <c r="E25" s="76">
        <f t="shared" si="2"/>
        <v>423933</v>
      </c>
      <c r="F25" s="77">
        <f t="shared" si="3"/>
        <v>1.5381091017514394E-2</v>
      </c>
    </row>
    <row r="26" spans="1:7" ht="23.1" customHeight="1" x14ac:dyDescent="0.2">
      <c r="A26" s="74">
        <v>3</v>
      </c>
      <c r="B26" s="75" t="s">
        <v>84</v>
      </c>
      <c r="C26" s="76">
        <v>6098792</v>
      </c>
      <c r="D26" s="76">
        <v>5026083</v>
      </c>
      <c r="E26" s="76">
        <f t="shared" si="2"/>
        <v>-1072709</v>
      </c>
      <c r="F26" s="77">
        <f t="shared" si="3"/>
        <v>-0.17588876616877572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41889763</v>
      </c>
      <c r="D27" s="76">
        <v>40401037</v>
      </c>
      <c r="E27" s="76">
        <f t="shared" si="2"/>
        <v>-1488726</v>
      </c>
      <c r="F27" s="77">
        <f t="shared" si="3"/>
        <v>-3.5539136375634307E-2</v>
      </c>
    </row>
    <row r="28" spans="1:7" ht="23.1" customHeight="1" x14ac:dyDescent="0.2">
      <c r="A28" s="74">
        <v>5</v>
      </c>
      <c r="B28" s="75" t="s">
        <v>86</v>
      </c>
      <c r="C28" s="76">
        <v>11023394</v>
      </c>
      <c r="D28" s="76">
        <v>12141411</v>
      </c>
      <c r="E28" s="76">
        <f t="shared" si="2"/>
        <v>1118017</v>
      </c>
      <c r="F28" s="77">
        <f t="shared" si="3"/>
        <v>0.10142221170721105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962851</v>
      </c>
      <c r="D30" s="76">
        <v>197037</v>
      </c>
      <c r="E30" s="76">
        <f t="shared" si="2"/>
        <v>-765814</v>
      </c>
      <c r="F30" s="77">
        <f t="shared" si="3"/>
        <v>-0.79536086061083178</v>
      </c>
    </row>
    <row r="31" spans="1:7" ht="23.1" customHeight="1" x14ac:dyDescent="0.2">
      <c r="A31" s="74">
        <v>8</v>
      </c>
      <c r="B31" s="75" t="s">
        <v>89</v>
      </c>
      <c r="C31" s="76">
        <v>3338483</v>
      </c>
      <c r="D31" s="76">
        <v>4550896</v>
      </c>
      <c r="E31" s="76">
        <f t="shared" si="2"/>
        <v>1212413</v>
      </c>
      <c r="F31" s="77">
        <f t="shared" si="3"/>
        <v>0.36316284971347768</v>
      </c>
    </row>
    <row r="32" spans="1:7" ht="23.1" customHeight="1" x14ac:dyDescent="0.2">
      <c r="A32" s="74">
        <v>9</v>
      </c>
      <c r="B32" s="75" t="s">
        <v>90</v>
      </c>
      <c r="C32" s="76">
        <v>61720306</v>
      </c>
      <c r="D32" s="76">
        <v>70303691</v>
      </c>
      <c r="E32" s="76">
        <f t="shared" si="2"/>
        <v>8583385</v>
      </c>
      <c r="F32" s="77">
        <f t="shared" si="3"/>
        <v>0.1390690609991467</v>
      </c>
    </row>
    <row r="33" spans="1:6" ht="23.1" customHeight="1" x14ac:dyDescent="0.25">
      <c r="A33" s="71"/>
      <c r="B33" s="78" t="s">
        <v>91</v>
      </c>
      <c r="C33" s="79">
        <f>SUM(C24:C32)</f>
        <v>241388483</v>
      </c>
      <c r="D33" s="79">
        <f>SUM(D24:D32)</f>
        <v>252714644</v>
      </c>
      <c r="E33" s="79">
        <f t="shared" si="2"/>
        <v>11326161</v>
      </c>
      <c r="F33" s="80">
        <f t="shared" si="3"/>
        <v>4.6920883959488659E-2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18738829</v>
      </c>
      <c r="D35" s="79">
        <f>+D21-D33</f>
        <v>30085934</v>
      </c>
      <c r="E35" s="79">
        <f>D35-C35</f>
        <v>11347105</v>
      </c>
      <c r="F35" s="80">
        <f>IF(C35=0,0,E35/C35)</f>
        <v>0.60553970581619587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1314984</v>
      </c>
      <c r="D38" s="76">
        <v>915402</v>
      </c>
      <c r="E38" s="76">
        <f>D38-C38</f>
        <v>-399582</v>
      </c>
      <c r="F38" s="77">
        <f>IF(C38=0,0,E38/C38)</f>
        <v>-0.3038683360405906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1206847</v>
      </c>
      <c r="D40" s="76">
        <v>136833</v>
      </c>
      <c r="E40" s="76">
        <f>D40-C40</f>
        <v>-1070014</v>
      </c>
      <c r="F40" s="77">
        <f>IF(C40=0,0,E40/C40)</f>
        <v>-0.88661943063205195</v>
      </c>
    </row>
    <row r="41" spans="1:6" ht="23.1" customHeight="1" x14ac:dyDescent="0.25">
      <c r="A41" s="83"/>
      <c r="B41" s="78" t="s">
        <v>97</v>
      </c>
      <c r="C41" s="79">
        <f>SUM(C38:C40)</f>
        <v>2521831</v>
      </c>
      <c r="D41" s="79">
        <f>SUM(D38:D40)</f>
        <v>1052235</v>
      </c>
      <c r="E41" s="79">
        <f>D41-C41</f>
        <v>-1469596</v>
      </c>
      <c r="F41" s="80">
        <f>IF(C41=0,0,E41/C41)</f>
        <v>-0.58274959741552868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21260660</v>
      </c>
      <c r="D43" s="79">
        <f>D35+D41</f>
        <v>31138169</v>
      </c>
      <c r="E43" s="79">
        <f>D43-C43</f>
        <v>9877509</v>
      </c>
      <c r="F43" s="80">
        <f>IF(C43=0,0,E43/C43)</f>
        <v>0.46459089228650474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21260660</v>
      </c>
      <c r="D50" s="79">
        <f>D43+D48</f>
        <v>31138169</v>
      </c>
      <c r="E50" s="79">
        <f>D50-C50</f>
        <v>9877509</v>
      </c>
      <c r="F50" s="80">
        <f>IF(C50=0,0,E50/C50)</f>
        <v>0.46459089228650474</v>
      </c>
    </row>
    <row r="51" spans="1:6" ht="23.1" customHeight="1" x14ac:dyDescent="0.2">
      <c r="A51" s="85"/>
      <c r="B51" s="75" t="s">
        <v>104</v>
      </c>
      <c r="C51" s="76">
        <v>6089000</v>
      </c>
      <c r="D51" s="76">
        <v>1</v>
      </c>
      <c r="E51" s="76">
        <f>D51-C51</f>
        <v>-6088999</v>
      </c>
      <c r="F51" s="77">
        <f>IF(C51=0,0,E51/C51)</f>
        <v>-0.99999983576942031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75" bottom="0.75" header="0.3" footer="0.3"/>
  <pageSetup scale="62" fitToWidth="0" orientation="portrait" horizontalDpi="1200" verticalDpi="1200" r:id="rId1"/>
  <headerFooter>
    <oddHeader>&amp;LOFFICE OF HEALTH CARE ACCESS&amp;CTWELVE MONTHS ACTUAL FILING&amp;RSAINT MARY`S HOSPITAL</oddHeader>
    <oddFooter>&amp;LREPORT 100&amp;CPAGE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tabSelected="1" zoomScale="75" workbookViewId="0">
      <selection activeCell="H56" sqref="H56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5" width="16.42578125" style="96" bestFit="1" customWidth="1"/>
    <col min="6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120222002</v>
      </c>
      <c r="D14" s="113">
        <v>122221443</v>
      </c>
      <c r="E14" s="113">
        <f t="shared" ref="E14:E25" si="0">D14-C14</f>
        <v>1999441</v>
      </c>
      <c r="F14" s="114">
        <f t="shared" ref="F14:F25" si="1">IF(C14=0,0,E14/C14)</f>
        <v>1.663124026166192E-2</v>
      </c>
    </row>
    <row r="15" spans="1:6" x14ac:dyDescent="0.2">
      <c r="A15" s="115">
        <v>2</v>
      </c>
      <c r="B15" s="116" t="s">
        <v>114</v>
      </c>
      <c r="C15" s="113">
        <v>41567669</v>
      </c>
      <c r="D15" s="113">
        <v>42007643</v>
      </c>
      <c r="E15" s="113">
        <f t="shared" si="0"/>
        <v>439974</v>
      </c>
      <c r="F15" s="114">
        <f t="shared" si="1"/>
        <v>1.0584524236853406E-2</v>
      </c>
    </row>
    <row r="16" spans="1:6" x14ac:dyDescent="0.2">
      <c r="A16" s="115">
        <v>3</v>
      </c>
      <c r="B16" s="116" t="s">
        <v>115</v>
      </c>
      <c r="C16" s="113">
        <v>67216873</v>
      </c>
      <c r="D16" s="113">
        <v>72868103</v>
      </c>
      <c r="E16" s="113">
        <f t="shared" si="0"/>
        <v>5651230</v>
      </c>
      <c r="F16" s="114">
        <f t="shared" si="1"/>
        <v>8.4074574549161188E-2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596664</v>
      </c>
      <c r="D18" s="113">
        <v>491825</v>
      </c>
      <c r="E18" s="113">
        <f t="shared" si="0"/>
        <v>-104839</v>
      </c>
      <c r="F18" s="114">
        <f t="shared" si="1"/>
        <v>-0.17570860651891182</v>
      </c>
    </row>
    <row r="19" spans="1:6" x14ac:dyDescent="0.2">
      <c r="A19" s="115">
        <v>6</v>
      </c>
      <c r="B19" s="116" t="s">
        <v>118</v>
      </c>
      <c r="C19" s="113">
        <v>5285842</v>
      </c>
      <c r="D19" s="113">
        <v>6868575</v>
      </c>
      <c r="E19" s="113">
        <f t="shared" si="0"/>
        <v>1582733</v>
      </c>
      <c r="F19" s="114">
        <f t="shared" si="1"/>
        <v>0.29942873812724635</v>
      </c>
    </row>
    <row r="20" spans="1:6" x14ac:dyDescent="0.2">
      <c r="A20" s="115">
        <v>7</v>
      </c>
      <c r="B20" s="116" t="s">
        <v>119</v>
      </c>
      <c r="C20" s="113">
        <v>62781051</v>
      </c>
      <c r="D20" s="113">
        <v>61172978</v>
      </c>
      <c r="E20" s="113">
        <f t="shared" si="0"/>
        <v>-1608073</v>
      </c>
      <c r="F20" s="114">
        <f t="shared" si="1"/>
        <v>-2.5613986615165139E-2</v>
      </c>
    </row>
    <row r="21" spans="1:6" x14ac:dyDescent="0.2">
      <c r="A21" s="115">
        <v>8</v>
      </c>
      <c r="B21" s="116" t="s">
        <v>120</v>
      </c>
      <c r="C21" s="113">
        <v>7596091</v>
      </c>
      <c r="D21" s="113">
        <v>7752881</v>
      </c>
      <c r="E21" s="113">
        <f t="shared" si="0"/>
        <v>156790</v>
      </c>
      <c r="F21" s="114">
        <f t="shared" si="1"/>
        <v>2.0640879631378825E-2</v>
      </c>
    </row>
    <row r="22" spans="1:6" x14ac:dyDescent="0.2">
      <c r="A22" s="115">
        <v>9</v>
      </c>
      <c r="B22" s="116" t="s">
        <v>121</v>
      </c>
      <c r="C22" s="113">
        <v>1331888</v>
      </c>
      <c r="D22" s="113">
        <v>1753618</v>
      </c>
      <c r="E22" s="113">
        <f t="shared" si="0"/>
        <v>421730</v>
      </c>
      <c r="F22" s="114">
        <f t="shared" si="1"/>
        <v>0.31664073856059971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306598080</v>
      </c>
      <c r="D25" s="119">
        <f>SUM(D14:D24)</f>
        <v>315137066</v>
      </c>
      <c r="E25" s="119">
        <f t="shared" si="0"/>
        <v>8538986</v>
      </c>
      <c r="F25" s="120">
        <f t="shared" si="1"/>
        <v>2.7850748445652367E-2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93562518</v>
      </c>
      <c r="D27" s="113">
        <v>112456384</v>
      </c>
      <c r="E27" s="113">
        <f t="shared" ref="E27:E38" si="2">D27-C27</f>
        <v>18893866</v>
      </c>
      <c r="F27" s="114">
        <f t="shared" ref="F27:F38" si="3">IF(C27=0,0,E27/C27)</f>
        <v>0.20193840871191604</v>
      </c>
    </row>
    <row r="28" spans="1:6" x14ac:dyDescent="0.2">
      <c r="A28" s="115">
        <v>2</v>
      </c>
      <c r="B28" s="116" t="s">
        <v>114</v>
      </c>
      <c r="C28" s="113">
        <v>39168995</v>
      </c>
      <c r="D28" s="113">
        <v>47321205</v>
      </c>
      <c r="E28" s="113">
        <f t="shared" si="2"/>
        <v>8152210</v>
      </c>
      <c r="F28" s="114">
        <f t="shared" si="3"/>
        <v>0.20812915930061518</v>
      </c>
    </row>
    <row r="29" spans="1:6" x14ac:dyDescent="0.2">
      <c r="A29" s="115">
        <v>3</v>
      </c>
      <c r="B29" s="116" t="s">
        <v>115</v>
      </c>
      <c r="C29" s="113">
        <v>139462150</v>
      </c>
      <c r="D29" s="113">
        <v>155038353</v>
      </c>
      <c r="E29" s="113">
        <f t="shared" si="2"/>
        <v>15576203</v>
      </c>
      <c r="F29" s="114">
        <f t="shared" si="3"/>
        <v>0.11168767296359622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904569</v>
      </c>
      <c r="D31" s="113">
        <v>899169</v>
      </c>
      <c r="E31" s="113">
        <f t="shared" si="2"/>
        <v>-5400</v>
      </c>
      <c r="F31" s="114">
        <f t="shared" si="3"/>
        <v>-5.9696938542001775E-3</v>
      </c>
    </row>
    <row r="32" spans="1:6" x14ac:dyDescent="0.2">
      <c r="A32" s="115">
        <v>6</v>
      </c>
      <c r="B32" s="116" t="s">
        <v>118</v>
      </c>
      <c r="C32" s="113">
        <v>10758245</v>
      </c>
      <c r="D32" s="113">
        <v>15590060</v>
      </c>
      <c r="E32" s="113">
        <f t="shared" si="2"/>
        <v>4831815</v>
      </c>
      <c r="F32" s="114">
        <f t="shared" si="3"/>
        <v>0.44912669306192599</v>
      </c>
    </row>
    <row r="33" spans="1:6" x14ac:dyDescent="0.2">
      <c r="A33" s="115">
        <v>7</v>
      </c>
      <c r="B33" s="116" t="s">
        <v>119</v>
      </c>
      <c r="C33" s="113">
        <v>137796815</v>
      </c>
      <c r="D33" s="113">
        <v>150896235</v>
      </c>
      <c r="E33" s="113">
        <f t="shared" si="2"/>
        <v>13099420</v>
      </c>
      <c r="F33" s="114">
        <f t="shared" si="3"/>
        <v>9.5063300265684658E-2</v>
      </c>
    </row>
    <row r="34" spans="1:6" x14ac:dyDescent="0.2">
      <c r="A34" s="115">
        <v>8</v>
      </c>
      <c r="B34" s="116" t="s">
        <v>120</v>
      </c>
      <c r="C34" s="113">
        <v>7875361</v>
      </c>
      <c r="D34" s="113">
        <v>7194896</v>
      </c>
      <c r="E34" s="113">
        <f t="shared" si="2"/>
        <v>-680465</v>
      </c>
      <c r="F34" s="114">
        <f t="shared" si="3"/>
        <v>-8.6404293085739187E-2</v>
      </c>
    </row>
    <row r="35" spans="1:6" x14ac:dyDescent="0.2">
      <c r="A35" s="115">
        <v>9</v>
      </c>
      <c r="B35" s="116" t="s">
        <v>121</v>
      </c>
      <c r="C35" s="113">
        <v>10625605</v>
      </c>
      <c r="D35" s="113">
        <v>12583003</v>
      </c>
      <c r="E35" s="113">
        <f t="shared" si="2"/>
        <v>1957398</v>
      </c>
      <c r="F35" s="114">
        <f t="shared" si="3"/>
        <v>0.1842152046871684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440154258</v>
      </c>
      <c r="D38" s="119">
        <f>SUM(D27:D37)</f>
        <v>501979305</v>
      </c>
      <c r="E38" s="119">
        <f t="shared" si="2"/>
        <v>61825047</v>
      </c>
      <c r="F38" s="120">
        <f t="shared" si="3"/>
        <v>0.14046222631339397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213784520</v>
      </c>
      <c r="D41" s="119">
        <f t="shared" si="4"/>
        <v>234677827</v>
      </c>
      <c r="E41" s="123">
        <f t="shared" ref="E41:E52" si="5">D41-C41</f>
        <v>20893307</v>
      </c>
      <c r="F41" s="124">
        <f t="shared" ref="F41:F52" si="6">IF(C41=0,0,E41/C41)</f>
        <v>9.7730682277650416E-2</v>
      </c>
    </row>
    <row r="42" spans="1:6" ht="15.75" x14ac:dyDescent="0.25">
      <c r="A42" s="121">
        <v>2</v>
      </c>
      <c r="B42" s="122" t="s">
        <v>114</v>
      </c>
      <c r="C42" s="119">
        <f t="shared" si="4"/>
        <v>80736664</v>
      </c>
      <c r="D42" s="119">
        <f t="shared" si="4"/>
        <v>89328848</v>
      </c>
      <c r="E42" s="123">
        <f t="shared" si="5"/>
        <v>8592184</v>
      </c>
      <c r="F42" s="124">
        <f t="shared" si="6"/>
        <v>0.10642233124717662</v>
      </c>
    </row>
    <row r="43" spans="1:6" ht="15.75" x14ac:dyDescent="0.25">
      <c r="A43" s="121">
        <v>3</v>
      </c>
      <c r="B43" s="122" t="s">
        <v>115</v>
      </c>
      <c r="C43" s="119">
        <f t="shared" si="4"/>
        <v>206679023</v>
      </c>
      <c r="D43" s="119">
        <f t="shared" si="4"/>
        <v>227906456</v>
      </c>
      <c r="E43" s="123">
        <f t="shared" si="5"/>
        <v>21227433</v>
      </c>
      <c r="F43" s="124">
        <f t="shared" si="6"/>
        <v>0.10270724475023282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1501233</v>
      </c>
      <c r="D45" s="119">
        <f t="shared" si="4"/>
        <v>1390994</v>
      </c>
      <c r="E45" s="123">
        <f t="shared" si="5"/>
        <v>-110239</v>
      </c>
      <c r="F45" s="124">
        <f t="shared" si="6"/>
        <v>-7.3432305311700447E-2</v>
      </c>
    </row>
    <row r="46" spans="1:6" ht="15.75" x14ac:dyDescent="0.25">
      <c r="A46" s="121">
        <v>6</v>
      </c>
      <c r="B46" s="122" t="s">
        <v>118</v>
      </c>
      <c r="C46" s="119">
        <f t="shared" si="4"/>
        <v>16044087</v>
      </c>
      <c r="D46" s="119">
        <f t="shared" si="4"/>
        <v>22458635</v>
      </c>
      <c r="E46" s="123">
        <f t="shared" si="5"/>
        <v>6414548</v>
      </c>
      <c r="F46" s="124">
        <f t="shared" si="6"/>
        <v>0.39980760513203401</v>
      </c>
    </row>
    <row r="47" spans="1:6" ht="15.75" x14ac:dyDescent="0.25">
      <c r="A47" s="121">
        <v>7</v>
      </c>
      <c r="B47" s="122" t="s">
        <v>119</v>
      </c>
      <c r="C47" s="119">
        <f t="shared" si="4"/>
        <v>200577866</v>
      </c>
      <c r="D47" s="119">
        <f t="shared" si="4"/>
        <v>212069213</v>
      </c>
      <c r="E47" s="123">
        <f t="shared" si="5"/>
        <v>11491347</v>
      </c>
      <c r="F47" s="124">
        <f t="shared" si="6"/>
        <v>5.7291201811868912E-2</v>
      </c>
    </row>
    <row r="48" spans="1:6" ht="15.75" x14ac:dyDescent="0.25">
      <c r="A48" s="121">
        <v>8</v>
      </c>
      <c r="B48" s="122" t="s">
        <v>120</v>
      </c>
      <c r="C48" s="119">
        <f t="shared" si="4"/>
        <v>15471452</v>
      </c>
      <c r="D48" s="119">
        <f t="shared" si="4"/>
        <v>14947777</v>
      </c>
      <c r="E48" s="123">
        <f t="shared" si="5"/>
        <v>-523675</v>
      </c>
      <c r="F48" s="124">
        <f t="shared" si="6"/>
        <v>-3.3847825013450579E-2</v>
      </c>
    </row>
    <row r="49" spans="1:6" ht="15.75" x14ac:dyDescent="0.25">
      <c r="A49" s="121">
        <v>9</v>
      </c>
      <c r="B49" s="122" t="s">
        <v>121</v>
      </c>
      <c r="C49" s="119">
        <f t="shared" si="4"/>
        <v>11957493</v>
      </c>
      <c r="D49" s="119">
        <f t="shared" si="4"/>
        <v>14336621</v>
      </c>
      <c r="E49" s="123">
        <f t="shared" si="5"/>
        <v>2379128</v>
      </c>
      <c r="F49" s="124">
        <f t="shared" si="6"/>
        <v>0.19896545203915236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746752338</v>
      </c>
      <c r="D52" s="128">
        <f>SUM(D41:D51)</f>
        <v>817116371</v>
      </c>
      <c r="E52" s="127">
        <f t="shared" si="5"/>
        <v>70364033</v>
      </c>
      <c r="F52" s="129">
        <f t="shared" si="6"/>
        <v>9.4226732772546076E-2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52145621</v>
      </c>
      <c r="D57" s="113">
        <v>55135977</v>
      </c>
      <c r="E57" s="113">
        <f t="shared" ref="E57:E68" si="7">D57-C57</f>
        <v>2990356</v>
      </c>
      <c r="F57" s="114">
        <f t="shared" ref="F57:F68" si="8">IF(C57=0,0,E57/C57)</f>
        <v>5.734625348502418E-2</v>
      </c>
    </row>
    <row r="58" spans="1:6" x14ac:dyDescent="0.2">
      <c r="A58" s="115">
        <v>2</v>
      </c>
      <c r="B58" s="116" t="s">
        <v>114</v>
      </c>
      <c r="C58" s="113">
        <v>15709499</v>
      </c>
      <c r="D58" s="113">
        <v>16634657</v>
      </c>
      <c r="E58" s="113">
        <f t="shared" si="7"/>
        <v>925158</v>
      </c>
      <c r="F58" s="114">
        <f t="shared" si="8"/>
        <v>5.8891629834917081E-2</v>
      </c>
    </row>
    <row r="59" spans="1:6" x14ac:dyDescent="0.2">
      <c r="A59" s="115">
        <v>3</v>
      </c>
      <c r="B59" s="116" t="s">
        <v>115</v>
      </c>
      <c r="C59" s="113">
        <v>21137470</v>
      </c>
      <c r="D59" s="113">
        <v>21746068</v>
      </c>
      <c r="E59" s="113">
        <f t="shared" si="7"/>
        <v>608598</v>
      </c>
      <c r="F59" s="114">
        <f t="shared" si="8"/>
        <v>2.8792376760321835E-2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185111</v>
      </c>
      <c r="D61" s="113">
        <v>140465</v>
      </c>
      <c r="E61" s="113">
        <f t="shared" si="7"/>
        <v>-44646</v>
      </c>
      <c r="F61" s="114">
        <f t="shared" si="8"/>
        <v>-0.24118501871849862</v>
      </c>
    </row>
    <row r="62" spans="1:6" x14ac:dyDescent="0.2">
      <c r="A62" s="115">
        <v>6</v>
      </c>
      <c r="B62" s="116" t="s">
        <v>118</v>
      </c>
      <c r="C62" s="113">
        <v>2144958</v>
      </c>
      <c r="D62" s="113">
        <v>2796947</v>
      </c>
      <c r="E62" s="113">
        <f t="shared" si="7"/>
        <v>651989</v>
      </c>
      <c r="F62" s="114">
        <f t="shared" si="8"/>
        <v>0.30396352749098116</v>
      </c>
    </row>
    <row r="63" spans="1:6" x14ac:dyDescent="0.2">
      <c r="A63" s="115">
        <v>7</v>
      </c>
      <c r="B63" s="116" t="s">
        <v>119</v>
      </c>
      <c r="C63" s="113">
        <v>32369474</v>
      </c>
      <c r="D63" s="113">
        <v>31375379</v>
      </c>
      <c r="E63" s="113">
        <f t="shared" si="7"/>
        <v>-994095</v>
      </c>
      <c r="F63" s="114">
        <f t="shared" si="8"/>
        <v>-3.0710879021389102E-2</v>
      </c>
    </row>
    <row r="64" spans="1:6" x14ac:dyDescent="0.2">
      <c r="A64" s="115">
        <v>8</v>
      </c>
      <c r="B64" s="116" t="s">
        <v>120</v>
      </c>
      <c r="C64" s="113">
        <v>4357515</v>
      </c>
      <c r="D64" s="113">
        <v>4303815</v>
      </c>
      <c r="E64" s="113">
        <f t="shared" si="7"/>
        <v>-53700</v>
      </c>
      <c r="F64" s="114">
        <f t="shared" si="8"/>
        <v>-1.2323537612607186E-2</v>
      </c>
    </row>
    <row r="65" spans="1:6" x14ac:dyDescent="0.2">
      <c r="A65" s="115">
        <v>9</v>
      </c>
      <c r="B65" s="116" t="s">
        <v>121</v>
      </c>
      <c r="C65" s="113">
        <v>91946</v>
      </c>
      <c r="D65" s="113">
        <v>24237</v>
      </c>
      <c r="E65" s="113">
        <f t="shared" si="7"/>
        <v>-67709</v>
      </c>
      <c r="F65" s="114">
        <f t="shared" si="8"/>
        <v>-0.73639962586735697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128141594</v>
      </c>
      <c r="D68" s="119">
        <f>SUM(D57:D67)</f>
        <v>132157545</v>
      </c>
      <c r="E68" s="119">
        <f t="shared" si="7"/>
        <v>4015951</v>
      </c>
      <c r="F68" s="120">
        <f t="shared" si="8"/>
        <v>3.133994883815789E-2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21086196</v>
      </c>
      <c r="D70" s="113">
        <v>24312747</v>
      </c>
      <c r="E70" s="113">
        <f t="shared" ref="E70:E81" si="9">D70-C70</f>
        <v>3226551</v>
      </c>
      <c r="F70" s="114">
        <f t="shared" ref="F70:F81" si="10">IF(C70=0,0,E70/C70)</f>
        <v>0.15301721562296017</v>
      </c>
    </row>
    <row r="71" spans="1:6" x14ac:dyDescent="0.2">
      <c r="A71" s="115">
        <v>2</v>
      </c>
      <c r="B71" s="116" t="s">
        <v>114</v>
      </c>
      <c r="C71" s="113">
        <v>8212993</v>
      </c>
      <c r="D71" s="113">
        <v>9575776</v>
      </c>
      <c r="E71" s="113">
        <f t="shared" si="9"/>
        <v>1362783</v>
      </c>
      <c r="F71" s="114">
        <f t="shared" si="10"/>
        <v>0.16593013046522748</v>
      </c>
    </row>
    <row r="72" spans="1:6" x14ac:dyDescent="0.2">
      <c r="A72" s="115">
        <v>3</v>
      </c>
      <c r="B72" s="116" t="s">
        <v>115</v>
      </c>
      <c r="C72" s="113">
        <v>29023262</v>
      </c>
      <c r="D72" s="113">
        <v>29484033</v>
      </c>
      <c r="E72" s="113">
        <f t="shared" si="9"/>
        <v>460771</v>
      </c>
      <c r="F72" s="114">
        <f t="shared" si="10"/>
        <v>1.5875920494395152E-2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193957</v>
      </c>
      <c r="D74" s="113">
        <v>179457</v>
      </c>
      <c r="E74" s="113">
        <f t="shared" si="9"/>
        <v>-14500</v>
      </c>
      <c r="F74" s="114">
        <f t="shared" si="10"/>
        <v>-7.475883829921065E-2</v>
      </c>
    </row>
    <row r="75" spans="1:6" x14ac:dyDescent="0.2">
      <c r="A75" s="115">
        <v>6</v>
      </c>
      <c r="B75" s="116" t="s">
        <v>118</v>
      </c>
      <c r="C75" s="113">
        <v>3770005</v>
      </c>
      <c r="D75" s="113">
        <v>5321429</v>
      </c>
      <c r="E75" s="113">
        <f t="shared" si="9"/>
        <v>1551424</v>
      </c>
      <c r="F75" s="114">
        <f t="shared" si="10"/>
        <v>0.41151775660774986</v>
      </c>
    </row>
    <row r="76" spans="1:6" x14ac:dyDescent="0.2">
      <c r="A76" s="115">
        <v>7</v>
      </c>
      <c r="B76" s="116" t="s">
        <v>119</v>
      </c>
      <c r="C76" s="113">
        <v>48198163</v>
      </c>
      <c r="D76" s="113">
        <v>53818500</v>
      </c>
      <c r="E76" s="113">
        <f t="shared" si="9"/>
        <v>5620337</v>
      </c>
      <c r="F76" s="114">
        <f t="shared" si="10"/>
        <v>0.1166089462787202</v>
      </c>
    </row>
    <row r="77" spans="1:6" x14ac:dyDescent="0.2">
      <c r="A77" s="115">
        <v>8</v>
      </c>
      <c r="B77" s="116" t="s">
        <v>120</v>
      </c>
      <c r="C77" s="113">
        <v>3767712</v>
      </c>
      <c r="D77" s="113">
        <v>2685844</v>
      </c>
      <c r="E77" s="113">
        <f t="shared" si="9"/>
        <v>-1081868</v>
      </c>
      <c r="F77" s="114">
        <f t="shared" si="10"/>
        <v>-0.28714190468910578</v>
      </c>
    </row>
    <row r="78" spans="1:6" x14ac:dyDescent="0.2">
      <c r="A78" s="115">
        <v>9</v>
      </c>
      <c r="B78" s="116" t="s">
        <v>121</v>
      </c>
      <c r="C78" s="113">
        <v>511365</v>
      </c>
      <c r="D78" s="113">
        <v>527219</v>
      </c>
      <c r="E78" s="113">
        <f t="shared" si="9"/>
        <v>15854</v>
      </c>
      <c r="F78" s="114">
        <f t="shared" si="10"/>
        <v>3.100329510232417E-2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114763653</v>
      </c>
      <c r="D81" s="119">
        <f>SUM(D70:D80)</f>
        <v>125905005</v>
      </c>
      <c r="E81" s="119">
        <f t="shared" si="9"/>
        <v>11141352</v>
      </c>
      <c r="F81" s="120">
        <f t="shared" si="10"/>
        <v>9.708084144027726E-2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73231817</v>
      </c>
      <c r="D84" s="119">
        <f t="shared" si="11"/>
        <v>79448724</v>
      </c>
      <c r="E84" s="119">
        <f t="shared" ref="E84:E95" si="12">D84-C84</f>
        <v>6216907</v>
      </c>
      <c r="F84" s="120">
        <f t="shared" ref="F84:F95" si="13">IF(C84=0,0,E84/C84)</f>
        <v>8.4893523808101057E-2</v>
      </c>
    </row>
    <row r="85" spans="1:6" ht="15.75" x14ac:dyDescent="0.25">
      <c r="A85" s="130">
        <v>2</v>
      </c>
      <c r="B85" s="122" t="s">
        <v>114</v>
      </c>
      <c r="C85" s="119">
        <f t="shared" si="11"/>
        <v>23922492</v>
      </c>
      <c r="D85" s="119">
        <f t="shared" si="11"/>
        <v>26210433</v>
      </c>
      <c r="E85" s="119">
        <f t="shared" si="12"/>
        <v>2287941</v>
      </c>
      <c r="F85" s="120">
        <f t="shared" si="13"/>
        <v>9.5639743551800535E-2</v>
      </c>
    </row>
    <row r="86" spans="1:6" ht="15.75" x14ac:dyDescent="0.25">
      <c r="A86" s="130">
        <v>3</v>
      </c>
      <c r="B86" s="122" t="s">
        <v>115</v>
      </c>
      <c r="C86" s="119">
        <f t="shared" si="11"/>
        <v>50160732</v>
      </c>
      <c r="D86" s="119">
        <f t="shared" si="11"/>
        <v>51230101</v>
      </c>
      <c r="E86" s="119">
        <f t="shared" si="12"/>
        <v>1069369</v>
      </c>
      <c r="F86" s="120">
        <f t="shared" si="13"/>
        <v>2.131884757981602E-2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379068</v>
      </c>
      <c r="D88" s="119">
        <f t="shared" si="11"/>
        <v>319922</v>
      </c>
      <c r="E88" s="119">
        <f t="shared" si="12"/>
        <v>-59146</v>
      </c>
      <c r="F88" s="120">
        <f t="shared" si="13"/>
        <v>-0.15603005265546024</v>
      </c>
    </row>
    <row r="89" spans="1:6" ht="15.75" x14ac:dyDescent="0.25">
      <c r="A89" s="130">
        <v>6</v>
      </c>
      <c r="B89" s="122" t="s">
        <v>118</v>
      </c>
      <c r="C89" s="119">
        <f t="shared" si="11"/>
        <v>5914963</v>
      </c>
      <c r="D89" s="119">
        <f t="shared" si="11"/>
        <v>8118376</v>
      </c>
      <c r="E89" s="119">
        <f t="shared" si="12"/>
        <v>2203413</v>
      </c>
      <c r="F89" s="120">
        <f t="shared" si="13"/>
        <v>0.37251509434632135</v>
      </c>
    </row>
    <row r="90" spans="1:6" ht="15.75" x14ac:dyDescent="0.25">
      <c r="A90" s="130">
        <v>7</v>
      </c>
      <c r="B90" s="122" t="s">
        <v>119</v>
      </c>
      <c r="C90" s="119">
        <f t="shared" si="11"/>
        <v>80567637</v>
      </c>
      <c r="D90" s="119">
        <f t="shared" si="11"/>
        <v>85193879</v>
      </c>
      <c r="E90" s="119">
        <f t="shared" si="12"/>
        <v>4626242</v>
      </c>
      <c r="F90" s="120">
        <f t="shared" si="13"/>
        <v>5.7420599291003162E-2</v>
      </c>
    </row>
    <row r="91" spans="1:6" ht="15.75" x14ac:dyDescent="0.25">
      <c r="A91" s="130">
        <v>8</v>
      </c>
      <c r="B91" s="122" t="s">
        <v>120</v>
      </c>
      <c r="C91" s="119">
        <f t="shared" si="11"/>
        <v>8125227</v>
      </c>
      <c r="D91" s="119">
        <f t="shared" si="11"/>
        <v>6989659</v>
      </c>
      <c r="E91" s="119">
        <f t="shared" si="12"/>
        <v>-1135568</v>
      </c>
      <c r="F91" s="120">
        <f t="shared" si="13"/>
        <v>-0.13975831075242576</v>
      </c>
    </row>
    <row r="92" spans="1:6" ht="15.75" x14ac:dyDescent="0.25">
      <c r="A92" s="130">
        <v>9</v>
      </c>
      <c r="B92" s="122" t="s">
        <v>121</v>
      </c>
      <c r="C92" s="119">
        <f t="shared" si="11"/>
        <v>603311</v>
      </c>
      <c r="D92" s="119">
        <f t="shared" si="11"/>
        <v>551456</v>
      </c>
      <c r="E92" s="119">
        <f t="shared" si="12"/>
        <v>-51855</v>
      </c>
      <c r="F92" s="120">
        <f t="shared" si="13"/>
        <v>-8.5950695412482125E-2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242905247</v>
      </c>
      <c r="D95" s="128">
        <f>SUM(D84:D94)</f>
        <v>258062550</v>
      </c>
      <c r="E95" s="128">
        <f t="shared" si="12"/>
        <v>15157303</v>
      </c>
      <c r="F95" s="129">
        <f t="shared" si="13"/>
        <v>6.2400064169877728E-2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3915</v>
      </c>
      <c r="D100" s="133">
        <v>3985</v>
      </c>
      <c r="E100" s="133">
        <f t="shared" ref="E100:E111" si="14">D100-C100</f>
        <v>70</v>
      </c>
      <c r="F100" s="114">
        <f t="shared" ref="F100:F111" si="15">IF(C100=0,0,E100/C100)</f>
        <v>1.7879948914431672E-2</v>
      </c>
    </row>
    <row r="101" spans="1:6" x14ac:dyDescent="0.2">
      <c r="A101" s="115">
        <v>2</v>
      </c>
      <c r="B101" s="116" t="s">
        <v>114</v>
      </c>
      <c r="C101" s="133">
        <v>1311</v>
      </c>
      <c r="D101" s="133">
        <v>1264</v>
      </c>
      <c r="E101" s="133">
        <f t="shared" si="14"/>
        <v>-47</v>
      </c>
      <c r="F101" s="114">
        <f t="shared" si="15"/>
        <v>-3.5850495804729217E-2</v>
      </c>
    </row>
    <row r="102" spans="1:6" x14ac:dyDescent="0.2">
      <c r="A102" s="115">
        <v>3</v>
      </c>
      <c r="B102" s="116" t="s">
        <v>115</v>
      </c>
      <c r="C102" s="133">
        <v>3721</v>
      </c>
      <c r="D102" s="133">
        <v>3675</v>
      </c>
      <c r="E102" s="133">
        <f t="shared" si="14"/>
        <v>-46</v>
      </c>
      <c r="F102" s="114">
        <f t="shared" si="15"/>
        <v>-1.2362268207471111E-2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25</v>
      </c>
      <c r="D104" s="133">
        <v>21</v>
      </c>
      <c r="E104" s="133">
        <f t="shared" si="14"/>
        <v>-4</v>
      </c>
      <c r="F104" s="114">
        <f t="shared" si="15"/>
        <v>-0.16</v>
      </c>
    </row>
    <row r="105" spans="1:6" x14ac:dyDescent="0.2">
      <c r="A105" s="115">
        <v>6</v>
      </c>
      <c r="B105" s="116" t="s">
        <v>118</v>
      </c>
      <c r="C105" s="133">
        <v>198</v>
      </c>
      <c r="D105" s="133">
        <v>210</v>
      </c>
      <c r="E105" s="133">
        <f t="shared" si="14"/>
        <v>12</v>
      </c>
      <c r="F105" s="114">
        <f t="shared" si="15"/>
        <v>6.0606060606060608E-2</v>
      </c>
    </row>
    <row r="106" spans="1:6" x14ac:dyDescent="0.2">
      <c r="A106" s="115">
        <v>7</v>
      </c>
      <c r="B106" s="116" t="s">
        <v>119</v>
      </c>
      <c r="C106" s="133">
        <v>2465</v>
      </c>
      <c r="D106" s="133">
        <v>2289</v>
      </c>
      <c r="E106" s="133">
        <f t="shared" si="14"/>
        <v>-176</v>
      </c>
      <c r="F106" s="114">
        <f t="shared" si="15"/>
        <v>-7.1399594320486814E-2</v>
      </c>
    </row>
    <row r="107" spans="1:6" x14ac:dyDescent="0.2">
      <c r="A107" s="115">
        <v>8</v>
      </c>
      <c r="B107" s="116" t="s">
        <v>120</v>
      </c>
      <c r="C107" s="133">
        <v>132</v>
      </c>
      <c r="D107" s="133">
        <v>115</v>
      </c>
      <c r="E107" s="133">
        <f t="shared" si="14"/>
        <v>-17</v>
      </c>
      <c r="F107" s="114">
        <f t="shared" si="15"/>
        <v>-0.12878787878787878</v>
      </c>
    </row>
    <row r="108" spans="1:6" x14ac:dyDescent="0.2">
      <c r="A108" s="115">
        <v>9</v>
      </c>
      <c r="B108" s="116" t="s">
        <v>121</v>
      </c>
      <c r="C108" s="133">
        <v>78</v>
      </c>
      <c r="D108" s="133">
        <v>97</v>
      </c>
      <c r="E108" s="133">
        <f t="shared" si="14"/>
        <v>19</v>
      </c>
      <c r="F108" s="114">
        <f t="shared" si="15"/>
        <v>0.24358974358974358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11845</v>
      </c>
      <c r="D111" s="134">
        <f>SUM(D100:D110)</f>
        <v>11656</v>
      </c>
      <c r="E111" s="134">
        <f t="shared" si="14"/>
        <v>-189</v>
      </c>
      <c r="F111" s="120">
        <f t="shared" si="15"/>
        <v>-1.5956099620092867E-2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19798</v>
      </c>
      <c r="D113" s="133">
        <v>17932</v>
      </c>
      <c r="E113" s="133">
        <f t="shared" ref="E113:E124" si="16">D113-C113</f>
        <v>-1866</v>
      </c>
      <c r="F113" s="114">
        <f t="shared" ref="F113:F124" si="17">IF(C113=0,0,E113/C113)</f>
        <v>-9.4251944640872817E-2</v>
      </c>
    </row>
    <row r="114" spans="1:6" x14ac:dyDescent="0.2">
      <c r="A114" s="115">
        <v>2</v>
      </c>
      <c r="B114" s="116" t="s">
        <v>114</v>
      </c>
      <c r="C114" s="133">
        <v>6327</v>
      </c>
      <c r="D114" s="133">
        <v>5851</v>
      </c>
      <c r="E114" s="133">
        <f t="shared" si="16"/>
        <v>-476</v>
      </c>
      <c r="F114" s="114">
        <f t="shared" si="17"/>
        <v>-7.5233127864706817E-2</v>
      </c>
    </row>
    <row r="115" spans="1:6" x14ac:dyDescent="0.2">
      <c r="A115" s="115">
        <v>3</v>
      </c>
      <c r="B115" s="116" t="s">
        <v>115</v>
      </c>
      <c r="C115" s="133">
        <v>14042</v>
      </c>
      <c r="D115" s="133">
        <v>13454</v>
      </c>
      <c r="E115" s="133">
        <f t="shared" si="16"/>
        <v>-588</v>
      </c>
      <c r="F115" s="114">
        <f t="shared" si="17"/>
        <v>-4.1874376869391827E-2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68</v>
      </c>
      <c r="D117" s="133">
        <v>131</v>
      </c>
      <c r="E117" s="133">
        <f t="shared" si="16"/>
        <v>63</v>
      </c>
      <c r="F117" s="114">
        <f t="shared" si="17"/>
        <v>0.92647058823529416</v>
      </c>
    </row>
    <row r="118" spans="1:6" x14ac:dyDescent="0.2">
      <c r="A118" s="115">
        <v>6</v>
      </c>
      <c r="B118" s="116" t="s">
        <v>118</v>
      </c>
      <c r="C118" s="133">
        <v>751</v>
      </c>
      <c r="D118" s="133">
        <v>801</v>
      </c>
      <c r="E118" s="133">
        <f t="shared" si="16"/>
        <v>50</v>
      </c>
      <c r="F118" s="114">
        <f t="shared" si="17"/>
        <v>6.6577896138482029E-2</v>
      </c>
    </row>
    <row r="119" spans="1:6" x14ac:dyDescent="0.2">
      <c r="A119" s="115">
        <v>7</v>
      </c>
      <c r="B119" s="116" t="s">
        <v>119</v>
      </c>
      <c r="C119" s="133">
        <v>8983</v>
      </c>
      <c r="D119" s="133">
        <v>7923</v>
      </c>
      <c r="E119" s="133">
        <f t="shared" si="16"/>
        <v>-1060</v>
      </c>
      <c r="F119" s="114">
        <f t="shared" si="17"/>
        <v>-0.11800066792830903</v>
      </c>
    </row>
    <row r="120" spans="1:6" x14ac:dyDescent="0.2">
      <c r="A120" s="115">
        <v>8</v>
      </c>
      <c r="B120" s="116" t="s">
        <v>120</v>
      </c>
      <c r="C120" s="133">
        <v>365</v>
      </c>
      <c r="D120" s="133">
        <v>296</v>
      </c>
      <c r="E120" s="133">
        <f t="shared" si="16"/>
        <v>-69</v>
      </c>
      <c r="F120" s="114">
        <f t="shared" si="17"/>
        <v>-0.18904109589041096</v>
      </c>
    </row>
    <row r="121" spans="1:6" x14ac:dyDescent="0.2">
      <c r="A121" s="115">
        <v>9</v>
      </c>
      <c r="B121" s="116" t="s">
        <v>121</v>
      </c>
      <c r="C121" s="133">
        <v>222</v>
      </c>
      <c r="D121" s="133">
        <v>246</v>
      </c>
      <c r="E121" s="133">
        <f t="shared" si="16"/>
        <v>24</v>
      </c>
      <c r="F121" s="114">
        <f t="shared" si="17"/>
        <v>0.10810810810810811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50556</v>
      </c>
      <c r="D124" s="134">
        <f>SUM(D113:D123)</f>
        <v>46634</v>
      </c>
      <c r="E124" s="134">
        <f t="shared" si="16"/>
        <v>-3922</v>
      </c>
      <c r="F124" s="120">
        <f t="shared" si="17"/>
        <v>-7.7577339979428755E-2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54164</v>
      </c>
      <c r="D126" s="133">
        <v>60669</v>
      </c>
      <c r="E126" s="133">
        <f t="shared" ref="E126:E137" si="18">D126-C126</f>
        <v>6505</v>
      </c>
      <c r="F126" s="114">
        <f t="shared" ref="F126:F137" si="19">IF(C126=0,0,E126/C126)</f>
        <v>0.12009822022007237</v>
      </c>
    </row>
    <row r="127" spans="1:6" x14ac:dyDescent="0.2">
      <c r="A127" s="115">
        <v>2</v>
      </c>
      <c r="B127" s="116" t="s">
        <v>114</v>
      </c>
      <c r="C127" s="133">
        <v>23468</v>
      </c>
      <c r="D127" s="133">
        <v>26790</v>
      </c>
      <c r="E127" s="133">
        <f t="shared" si="18"/>
        <v>3322</v>
      </c>
      <c r="F127" s="114">
        <f t="shared" si="19"/>
        <v>0.14155445713311743</v>
      </c>
    </row>
    <row r="128" spans="1:6" x14ac:dyDescent="0.2">
      <c r="A128" s="115">
        <v>3</v>
      </c>
      <c r="B128" s="116" t="s">
        <v>115</v>
      </c>
      <c r="C128" s="133">
        <v>78557</v>
      </c>
      <c r="D128" s="133">
        <v>86066</v>
      </c>
      <c r="E128" s="133">
        <f t="shared" si="18"/>
        <v>7509</v>
      </c>
      <c r="F128" s="114">
        <f t="shared" si="19"/>
        <v>9.5586644092824316E-2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482</v>
      </c>
      <c r="D130" s="133">
        <v>500</v>
      </c>
      <c r="E130" s="133">
        <f t="shared" si="18"/>
        <v>18</v>
      </c>
      <c r="F130" s="114">
        <f t="shared" si="19"/>
        <v>3.7344398340248962E-2</v>
      </c>
    </row>
    <row r="131" spans="1:6" x14ac:dyDescent="0.2">
      <c r="A131" s="115">
        <v>6</v>
      </c>
      <c r="B131" s="116" t="s">
        <v>118</v>
      </c>
      <c r="C131" s="133">
        <v>5750</v>
      </c>
      <c r="D131" s="133">
        <v>7847</v>
      </c>
      <c r="E131" s="133">
        <f t="shared" si="18"/>
        <v>2097</v>
      </c>
      <c r="F131" s="114">
        <f t="shared" si="19"/>
        <v>0.36469565217391303</v>
      </c>
    </row>
    <row r="132" spans="1:6" x14ac:dyDescent="0.2">
      <c r="A132" s="115">
        <v>7</v>
      </c>
      <c r="B132" s="116" t="s">
        <v>119</v>
      </c>
      <c r="C132" s="133">
        <v>83485</v>
      </c>
      <c r="D132" s="133">
        <v>89825</v>
      </c>
      <c r="E132" s="133">
        <f t="shared" si="18"/>
        <v>6340</v>
      </c>
      <c r="F132" s="114">
        <f t="shared" si="19"/>
        <v>7.594178594957178E-2</v>
      </c>
    </row>
    <row r="133" spans="1:6" x14ac:dyDescent="0.2">
      <c r="A133" s="115">
        <v>8</v>
      </c>
      <c r="B133" s="116" t="s">
        <v>120</v>
      </c>
      <c r="C133" s="133">
        <v>2715</v>
      </c>
      <c r="D133" s="133">
        <v>2290</v>
      </c>
      <c r="E133" s="133">
        <f t="shared" si="18"/>
        <v>-425</v>
      </c>
      <c r="F133" s="114">
        <f t="shared" si="19"/>
        <v>-0.15653775322283608</v>
      </c>
    </row>
    <row r="134" spans="1:6" x14ac:dyDescent="0.2">
      <c r="A134" s="115">
        <v>9</v>
      </c>
      <c r="B134" s="116" t="s">
        <v>121</v>
      </c>
      <c r="C134" s="133">
        <v>6108</v>
      </c>
      <c r="D134" s="133">
        <v>5870</v>
      </c>
      <c r="E134" s="133">
        <f t="shared" si="18"/>
        <v>-238</v>
      </c>
      <c r="F134" s="114">
        <f t="shared" si="19"/>
        <v>-3.8965291421087102E-2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254729</v>
      </c>
      <c r="D137" s="134">
        <f>SUM(D126:D136)</f>
        <v>279857</v>
      </c>
      <c r="E137" s="134">
        <f t="shared" si="18"/>
        <v>25128</v>
      </c>
      <c r="F137" s="120">
        <f t="shared" si="19"/>
        <v>9.8646012036320951E-2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18900000</v>
      </c>
      <c r="D142" s="113">
        <v>22300000</v>
      </c>
      <c r="E142" s="113">
        <f t="shared" ref="E142:E153" si="20">D142-C142</f>
        <v>3400000</v>
      </c>
      <c r="F142" s="114">
        <f t="shared" ref="F142:F153" si="21">IF(C142=0,0,E142/C142)</f>
        <v>0.17989417989417988</v>
      </c>
    </row>
    <row r="143" spans="1:6" x14ac:dyDescent="0.2">
      <c r="A143" s="115">
        <v>2</v>
      </c>
      <c r="B143" s="116" t="s">
        <v>114</v>
      </c>
      <c r="C143" s="113">
        <v>6560000</v>
      </c>
      <c r="D143" s="113">
        <v>8000000</v>
      </c>
      <c r="E143" s="113">
        <f t="shared" si="20"/>
        <v>1440000</v>
      </c>
      <c r="F143" s="114">
        <f t="shared" si="21"/>
        <v>0.21951219512195122</v>
      </c>
    </row>
    <row r="144" spans="1:6" x14ac:dyDescent="0.2">
      <c r="A144" s="115">
        <v>3</v>
      </c>
      <c r="B144" s="116" t="s">
        <v>115</v>
      </c>
      <c r="C144" s="113">
        <v>78900000</v>
      </c>
      <c r="D144" s="113">
        <v>85300000</v>
      </c>
      <c r="E144" s="113">
        <f t="shared" si="20"/>
        <v>6400000</v>
      </c>
      <c r="F144" s="114">
        <f t="shared" si="21"/>
        <v>8.1115335868187574E-2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315000</v>
      </c>
      <c r="D146" s="113">
        <v>250000</v>
      </c>
      <c r="E146" s="113">
        <f t="shared" si="20"/>
        <v>-65000</v>
      </c>
      <c r="F146" s="114">
        <f t="shared" si="21"/>
        <v>-0.20634920634920634</v>
      </c>
    </row>
    <row r="147" spans="1:6" x14ac:dyDescent="0.2">
      <c r="A147" s="115">
        <v>6</v>
      </c>
      <c r="B147" s="116" t="s">
        <v>118</v>
      </c>
      <c r="C147" s="113">
        <v>4660000</v>
      </c>
      <c r="D147" s="113">
        <v>6700000</v>
      </c>
      <c r="E147" s="113">
        <f t="shared" si="20"/>
        <v>2040000</v>
      </c>
      <c r="F147" s="114">
        <f t="shared" si="21"/>
        <v>0.43776824034334766</v>
      </c>
    </row>
    <row r="148" spans="1:6" x14ac:dyDescent="0.2">
      <c r="A148" s="115">
        <v>7</v>
      </c>
      <c r="B148" s="116" t="s">
        <v>119</v>
      </c>
      <c r="C148" s="113">
        <v>24400000</v>
      </c>
      <c r="D148" s="113">
        <v>25750000</v>
      </c>
      <c r="E148" s="113">
        <f t="shared" si="20"/>
        <v>1350000</v>
      </c>
      <c r="F148" s="114">
        <f t="shared" si="21"/>
        <v>5.5327868852459015E-2</v>
      </c>
    </row>
    <row r="149" spans="1:6" x14ac:dyDescent="0.2">
      <c r="A149" s="115">
        <v>8</v>
      </c>
      <c r="B149" s="116" t="s">
        <v>120</v>
      </c>
      <c r="C149" s="113">
        <v>1310000</v>
      </c>
      <c r="D149" s="113">
        <v>1400000</v>
      </c>
      <c r="E149" s="113">
        <f t="shared" si="20"/>
        <v>90000</v>
      </c>
      <c r="F149" s="114">
        <f t="shared" si="21"/>
        <v>6.8702290076335881E-2</v>
      </c>
    </row>
    <row r="150" spans="1:6" x14ac:dyDescent="0.2">
      <c r="A150" s="115">
        <v>9</v>
      </c>
      <c r="B150" s="116" t="s">
        <v>121</v>
      </c>
      <c r="C150" s="113">
        <v>6500000</v>
      </c>
      <c r="D150" s="113">
        <v>7800000</v>
      </c>
      <c r="E150" s="113">
        <f t="shared" si="20"/>
        <v>1300000</v>
      </c>
      <c r="F150" s="114">
        <f t="shared" si="21"/>
        <v>0.2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141545000</v>
      </c>
      <c r="D153" s="119">
        <f>SUM(D142:D152)</f>
        <v>157500000</v>
      </c>
      <c r="E153" s="119">
        <f t="shared" si="20"/>
        <v>15955000</v>
      </c>
      <c r="F153" s="120">
        <f t="shared" si="21"/>
        <v>0.11272033628881274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3100000</v>
      </c>
      <c r="D155" s="113">
        <v>3600000</v>
      </c>
      <c r="E155" s="113">
        <f t="shared" ref="E155:E166" si="22">D155-C155</f>
        <v>500000</v>
      </c>
      <c r="F155" s="114">
        <f t="shared" ref="F155:F166" si="23">IF(C155=0,0,E155/C155)</f>
        <v>0.16129032258064516</v>
      </c>
    </row>
    <row r="156" spans="1:6" x14ac:dyDescent="0.2">
      <c r="A156" s="115">
        <v>2</v>
      </c>
      <c r="B156" s="116" t="s">
        <v>114</v>
      </c>
      <c r="C156" s="113">
        <v>1100000</v>
      </c>
      <c r="D156" s="113">
        <v>1300000</v>
      </c>
      <c r="E156" s="113">
        <f t="shared" si="22"/>
        <v>200000</v>
      </c>
      <c r="F156" s="114">
        <f t="shared" si="23"/>
        <v>0.18181818181818182</v>
      </c>
    </row>
    <row r="157" spans="1:6" x14ac:dyDescent="0.2">
      <c r="A157" s="115">
        <v>3</v>
      </c>
      <c r="B157" s="116" t="s">
        <v>115</v>
      </c>
      <c r="C157" s="113">
        <v>11700000</v>
      </c>
      <c r="D157" s="113">
        <v>12500000</v>
      </c>
      <c r="E157" s="113">
        <f t="shared" si="22"/>
        <v>800000</v>
      </c>
      <c r="F157" s="114">
        <f t="shared" si="23"/>
        <v>6.8376068376068383E-2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48000</v>
      </c>
      <c r="D159" s="113">
        <v>40000</v>
      </c>
      <c r="E159" s="113">
        <f t="shared" si="22"/>
        <v>-8000</v>
      </c>
      <c r="F159" s="114">
        <f t="shared" si="23"/>
        <v>-0.16666666666666666</v>
      </c>
    </row>
    <row r="160" spans="1:6" x14ac:dyDescent="0.2">
      <c r="A160" s="115">
        <v>6</v>
      </c>
      <c r="B160" s="116" t="s">
        <v>118</v>
      </c>
      <c r="C160" s="113">
        <v>790000</v>
      </c>
      <c r="D160" s="113">
        <v>1600000</v>
      </c>
      <c r="E160" s="113">
        <f t="shared" si="22"/>
        <v>810000</v>
      </c>
      <c r="F160" s="114">
        <f t="shared" si="23"/>
        <v>1.0253164556962024</v>
      </c>
    </row>
    <row r="161" spans="1:6" x14ac:dyDescent="0.2">
      <c r="A161" s="115">
        <v>7</v>
      </c>
      <c r="B161" s="116" t="s">
        <v>119</v>
      </c>
      <c r="C161" s="113">
        <v>7800000</v>
      </c>
      <c r="D161" s="113">
        <v>8300000</v>
      </c>
      <c r="E161" s="113">
        <f t="shared" si="22"/>
        <v>500000</v>
      </c>
      <c r="F161" s="114">
        <f t="shared" si="23"/>
        <v>6.4102564102564097E-2</v>
      </c>
    </row>
    <row r="162" spans="1:6" x14ac:dyDescent="0.2">
      <c r="A162" s="115">
        <v>8</v>
      </c>
      <c r="B162" s="116" t="s">
        <v>120</v>
      </c>
      <c r="C162" s="113">
        <v>600000</v>
      </c>
      <c r="D162" s="113">
        <v>500000</v>
      </c>
      <c r="E162" s="113">
        <f t="shared" si="22"/>
        <v>-100000</v>
      </c>
      <c r="F162" s="114">
        <f t="shared" si="23"/>
        <v>-0.16666666666666666</v>
      </c>
    </row>
    <row r="163" spans="1:6" x14ac:dyDescent="0.2">
      <c r="A163" s="115">
        <v>9</v>
      </c>
      <c r="B163" s="116" t="s">
        <v>121</v>
      </c>
      <c r="C163" s="113">
        <v>129000</v>
      </c>
      <c r="D163" s="113">
        <v>125000</v>
      </c>
      <c r="E163" s="113">
        <f t="shared" si="22"/>
        <v>-4000</v>
      </c>
      <c r="F163" s="114">
        <f t="shared" si="23"/>
        <v>-3.1007751937984496E-2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25267000</v>
      </c>
      <c r="D166" s="119">
        <f>SUM(D155:D165)</f>
        <v>27965000</v>
      </c>
      <c r="E166" s="119">
        <f t="shared" si="22"/>
        <v>2698000</v>
      </c>
      <c r="F166" s="120">
        <f t="shared" si="23"/>
        <v>0.10677959393675546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7100</v>
      </c>
      <c r="D168" s="133">
        <v>7553</v>
      </c>
      <c r="E168" s="133">
        <f t="shared" ref="E168:E179" si="24">D168-C168</f>
        <v>453</v>
      </c>
      <c r="F168" s="114">
        <f t="shared" ref="F168:F179" si="25">IF(C168=0,0,E168/C168)</f>
        <v>6.3802816901408446E-2</v>
      </c>
    </row>
    <row r="169" spans="1:6" x14ac:dyDescent="0.2">
      <c r="A169" s="115">
        <v>2</v>
      </c>
      <c r="B169" s="116" t="s">
        <v>114</v>
      </c>
      <c r="C169" s="133">
        <v>2581</v>
      </c>
      <c r="D169" s="133">
        <v>2786</v>
      </c>
      <c r="E169" s="133">
        <f t="shared" si="24"/>
        <v>205</v>
      </c>
      <c r="F169" s="114">
        <f t="shared" si="25"/>
        <v>7.9426578845408755E-2</v>
      </c>
    </row>
    <row r="170" spans="1:6" x14ac:dyDescent="0.2">
      <c r="A170" s="115">
        <v>3</v>
      </c>
      <c r="B170" s="116" t="s">
        <v>115</v>
      </c>
      <c r="C170" s="133">
        <v>37591</v>
      </c>
      <c r="D170" s="133">
        <v>38040</v>
      </c>
      <c r="E170" s="133">
        <f t="shared" si="24"/>
        <v>449</v>
      </c>
      <c r="F170" s="114">
        <f t="shared" si="25"/>
        <v>1.1944348381261473E-2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138</v>
      </c>
      <c r="D172" s="133">
        <v>119</v>
      </c>
      <c r="E172" s="133">
        <f t="shared" si="24"/>
        <v>-19</v>
      </c>
      <c r="F172" s="114">
        <f t="shared" si="25"/>
        <v>-0.13768115942028986</v>
      </c>
    </row>
    <row r="173" spans="1:6" x14ac:dyDescent="0.2">
      <c r="A173" s="115">
        <v>6</v>
      </c>
      <c r="B173" s="116" t="s">
        <v>118</v>
      </c>
      <c r="C173" s="133">
        <v>1819</v>
      </c>
      <c r="D173" s="133">
        <v>2453</v>
      </c>
      <c r="E173" s="133">
        <f t="shared" si="24"/>
        <v>634</v>
      </c>
      <c r="F173" s="114">
        <f t="shared" si="25"/>
        <v>0.34854315557998899</v>
      </c>
    </row>
    <row r="174" spans="1:6" x14ac:dyDescent="0.2">
      <c r="A174" s="115">
        <v>7</v>
      </c>
      <c r="B174" s="116" t="s">
        <v>119</v>
      </c>
      <c r="C174" s="133">
        <v>10257</v>
      </c>
      <c r="D174" s="133">
        <v>9808</v>
      </c>
      <c r="E174" s="133">
        <f t="shared" si="24"/>
        <v>-449</v>
      </c>
      <c r="F174" s="114">
        <f t="shared" si="25"/>
        <v>-4.377498293848104E-2</v>
      </c>
    </row>
    <row r="175" spans="1:6" x14ac:dyDescent="0.2">
      <c r="A175" s="115">
        <v>8</v>
      </c>
      <c r="B175" s="116" t="s">
        <v>120</v>
      </c>
      <c r="C175" s="133">
        <v>692</v>
      </c>
      <c r="D175" s="133">
        <v>684</v>
      </c>
      <c r="E175" s="133">
        <f t="shared" si="24"/>
        <v>-8</v>
      </c>
      <c r="F175" s="114">
        <f t="shared" si="25"/>
        <v>-1.1560693641618497E-2</v>
      </c>
    </row>
    <row r="176" spans="1:6" x14ac:dyDescent="0.2">
      <c r="A176" s="115">
        <v>9</v>
      </c>
      <c r="B176" s="116" t="s">
        <v>121</v>
      </c>
      <c r="C176" s="133">
        <v>3310</v>
      </c>
      <c r="D176" s="133">
        <v>3509</v>
      </c>
      <c r="E176" s="133">
        <f t="shared" si="24"/>
        <v>199</v>
      </c>
      <c r="F176" s="114">
        <f t="shared" si="25"/>
        <v>6.0120845921450151E-2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63488</v>
      </c>
      <c r="D179" s="134">
        <f>SUM(D168:D178)</f>
        <v>64952</v>
      </c>
      <c r="E179" s="134">
        <f t="shared" si="24"/>
        <v>1464</v>
      </c>
      <c r="F179" s="120">
        <f t="shared" si="25"/>
        <v>2.3059475806451613E-2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gridLines="1"/>
  <pageMargins left="0.25" right="0.25" top="0.75" bottom="0.75" header="0.3" footer="0.3"/>
  <pageSetup scale="76" fitToHeight="0" orientation="portrait" horizontalDpi="1200" verticalDpi="1200" r:id="rId1"/>
  <headerFooter>
    <oddHeader>&amp;LOFFICE OF HEALTH CARE ACCESS&amp;CTWELVE MONTHS ACTUAL FILING&amp;RSAINT MARY`S HOSPITAL</oddHeader>
    <oddFooter>&amp;LREPORT 100&amp;CPAGE &amp;P of &amp;N&amp;R&amp;D, 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tabSelected="1" topLeftCell="B1" zoomScale="75" workbookViewId="0">
      <selection activeCell="H56" sqref="H56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6.42578125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32984221</v>
      </c>
      <c r="D15" s="157">
        <v>33797299</v>
      </c>
      <c r="E15" s="157">
        <f>+D15-C15</f>
        <v>813078</v>
      </c>
      <c r="F15" s="161">
        <f>IF(C15=0,0,E15/C15)</f>
        <v>2.4650513953323318E-2</v>
      </c>
    </row>
    <row r="16" spans="1:6" ht="15" customHeight="1" x14ac:dyDescent="0.2">
      <c r="A16" s="147">
        <v>2</v>
      </c>
      <c r="B16" s="160" t="s">
        <v>157</v>
      </c>
      <c r="C16" s="157">
        <v>3794093</v>
      </c>
      <c r="D16" s="157">
        <v>3788870</v>
      </c>
      <c r="E16" s="157">
        <f>+D16-C16</f>
        <v>-5223</v>
      </c>
      <c r="F16" s="161">
        <f>IF(C16=0,0,E16/C16)</f>
        <v>-1.3766135938154389E-3</v>
      </c>
    </row>
    <row r="17" spans="1:6" ht="15" customHeight="1" x14ac:dyDescent="0.2">
      <c r="A17" s="147">
        <v>3</v>
      </c>
      <c r="B17" s="160" t="s">
        <v>158</v>
      </c>
      <c r="C17" s="157">
        <v>52014621</v>
      </c>
      <c r="D17" s="157">
        <v>54522428</v>
      </c>
      <c r="E17" s="157">
        <f>+D17-C17</f>
        <v>2507807</v>
      </c>
      <c r="F17" s="161">
        <f>IF(C17=0,0,E17/C17)</f>
        <v>4.8213501353782814E-2</v>
      </c>
    </row>
    <row r="18" spans="1:6" ht="15.75" customHeight="1" x14ac:dyDescent="0.25">
      <c r="A18" s="147"/>
      <c r="B18" s="162" t="s">
        <v>159</v>
      </c>
      <c r="C18" s="158">
        <f>SUM(C15:C17)</f>
        <v>88792935</v>
      </c>
      <c r="D18" s="158">
        <f>SUM(D15:D17)</f>
        <v>92108597</v>
      </c>
      <c r="E18" s="158">
        <f>+D18-C18</f>
        <v>3315662</v>
      </c>
      <c r="F18" s="159">
        <f>IF(C18=0,0,E18/C18)</f>
        <v>3.7341506956606402E-2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7751649</v>
      </c>
      <c r="D21" s="157">
        <v>7850173</v>
      </c>
      <c r="E21" s="157">
        <f>+D21-C21</f>
        <v>98524</v>
      </c>
      <c r="F21" s="161">
        <f>IF(C21=0,0,E21/C21)</f>
        <v>1.2710069818692771E-2</v>
      </c>
    </row>
    <row r="22" spans="1:6" ht="15" customHeight="1" x14ac:dyDescent="0.2">
      <c r="A22" s="147">
        <v>2</v>
      </c>
      <c r="B22" s="160" t="s">
        <v>162</v>
      </c>
      <c r="C22" s="157">
        <v>1114917</v>
      </c>
      <c r="D22" s="157">
        <v>1090866</v>
      </c>
      <c r="E22" s="157">
        <f>+D22-C22</f>
        <v>-24051</v>
      </c>
      <c r="F22" s="161">
        <f>IF(C22=0,0,E22/C22)</f>
        <v>-2.1572009396215144E-2</v>
      </c>
    </row>
    <row r="23" spans="1:6" ht="15" customHeight="1" x14ac:dyDescent="0.2">
      <c r="A23" s="147">
        <v>3</v>
      </c>
      <c r="B23" s="160" t="s">
        <v>163</v>
      </c>
      <c r="C23" s="157">
        <v>18695393</v>
      </c>
      <c r="D23" s="157">
        <v>19044853</v>
      </c>
      <c r="E23" s="157">
        <f>+D23-C23</f>
        <v>349460</v>
      </c>
      <c r="F23" s="161">
        <f>IF(C23=0,0,E23/C23)</f>
        <v>1.869230563914864E-2</v>
      </c>
    </row>
    <row r="24" spans="1:6" ht="15.75" customHeight="1" x14ac:dyDescent="0.25">
      <c r="A24" s="147"/>
      <c r="B24" s="162" t="s">
        <v>164</v>
      </c>
      <c r="C24" s="158">
        <f>SUM(C21:C23)</f>
        <v>27561959</v>
      </c>
      <c r="D24" s="158">
        <f>SUM(D21:D23)</f>
        <v>27985892</v>
      </c>
      <c r="E24" s="158">
        <f>+D24-C24</f>
        <v>423933</v>
      </c>
      <c r="F24" s="159">
        <f>IF(C24=0,0,E24/C24)</f>
        <v>1.5381091017514394E-2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0</v>
      </c>
      <c r="D27" s="157">
        <v>0</v>
      </c>
      <c r="E27" s="157">
        <f>+D27-C27</f>
        <v>0</v>
      </c>
      <c r="F27" s="161">
        <f>IF(C27=0,0,E27/C27)</f>
        <v>0</v>
      </c>
    </row>
    <row r="28" spans="1:6" ht="15" customHeight="1" x14ac:dyDescent="0.2">
      <c r="A28" s="147">
        <v>2</v>
      </c>
      <c r="B28" s="160" t="s">
        <v>167</v>
      </c>
      <c r="C28" s="157">
        <v>6098792</v>
      </c>
      <c r="D28" s="157">
        <v>5026083</v>
      </c>
      <c r="E28" s="157">
        <f>+D28-C28</f>
        <v>-1072709</v>
      </c>
      <c r="F28" s="161">
        <f>IF(C28=0,0,E28/C28)</f>
        <v>-0.17588876616877572</v>
      </c>
    </row>
    <row r="29" spans="1:6" ht="15" customHeight="1" x14ac:dyDescent="0.2">
      <c r="A29" s="147">
        <v>3</v>
      </c>
      <c r="B29" s="160" t="s">
        <v>168</v>
      </c>
      <c r="C29" s="157">
        <v>0</v>
      </c>
      <c r="D29" s="157">
        <v>0</v>
      </c>
      <c r="E29" s="157">
        <f>+D29-C29</f>
        <v>0</v>
      </c>
      <c r="F29" s="161">
        <f>IF(C29=0,0,E29/C29)</f>
        <v>0</v>
      </c>
    </row>
    <row r="30" spans="1:6" ht="15.75" customHeight="1" x14ac:dyDescent="0.25">
      <c r="A30" s="147"/>
      <c r="B30" s="162" t="s">
        <v>169</v>
      </c>
      <c r="C30" s="158">
        <f>SUM(C27:C29)</f>
        <v>6098792</v>
      </c>
      <c r="D30" s="158">
        <f>SUM(D27:D29)</f>
        <v>5026083</v>
      </c>
      <c r="E30" s="158">
        <f>+D30-C30</f>
        <v>-1072709</v>
      </c>
      <c r="F30" s="159">
        <f>IF(C30=0,0,E30/C30)</f>
        <v>-0.17588876616877572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30038207</v>
      </c>
      <c r="D33" s="157">
        <v>27334437</v>
      </c>
      <c r="E33" s="157">
        <f>+D33-C33</f>
        <v>-2703770</v>
      </c>
      <c r="F33" s="161">
        <f>IF(C33=0,0,E33/C33)</f>
        <v>-9.0011031617166767E-2</v>
      </c>
    </row>
    <row r="34" spans="1:6" ht="15" customHeight="1" x14ac:dyDescent="0.2">
      <c r="A34" s="147">
        <v>2</v>
      </c>
      <c r="B34" s="160" t="s">
        <v>173</v>
      </c>
      <c r="C34" s="157">
        <v>11851556</v>
      </c>
      <c r="D34" s="157">
        <v>13066600</v>
      </c>
      <c r="E34" s="157">
        <f>+D34-C34</f>
        <v>1215044</v>
      </c>
      <c r="F34" s="161">
        <f>IF(C34=0,0,E34/C34)</f>
        <v>0.10252189670284645</v>
      </c>
    </row>
    <row r="35" spans="1:6" ht="15.75" customHeight="1" x14ac:dyDescent="0.25">
      <c r="A35" s="147"/>
      <c r="B35" s="162" t="s">
        <v>174</v>
      </c>
      <c r="C35" s="158">
        <f>SUM(C33:C34)</f>
        <v>41889763</v>
      </c>
      <c r="D35" s="158">
        <f>SUM(D33:D34)</f>
        <v>40401037</v>
      </c>
      <c r="E35" s="158">
        <f>+D35-C35</f>
        <v>-1488726</v>
      </c>
      <c r="F35" s="159">
        <f>IF(C35=0,0,E35/C35)</f>
        <v>-3.5539136375634307E-2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3689036</v>
      </c>
      <c r="D38" s="157">
        <v>3805993</v>
      </c>
      <c r="E38" s="157">
        <f>+D38-C38</f>
        <v>116957</v>
      </c>
      <c r="F38" s="161">
        <f>IF(C38=0,0,E38/C38)</f>
        <v>3.1703946505265874E-2</v>
      </c>
    </row>
    <row r="39" spans="1:6" ht="15" customHeight="1" x14ac:dyDescent="0.2">
      <c r="A39" s="147">
        <v>2</v>
      </c>
      <c r="B39" s="160" t="s">
        <v>178</v>
      </c>
      <c r="C39" s="157">
        <v>7115624</v>
      </c>
      <c r="D39" s="157">
        <v>8335418</v>
      </c>
      <c r="E39" s="157">
        <f>+D39-C39</f>
        <v>1219794</v>
      </c>
      <c r="F39" s="161">
        <f>IF(C39=0,0,E39/C39)</f>
        <v>0.17142474082385467</v>
      </c>
    </row>
    <row r="40" spans="1:6" ht="15" customHeight="1" x14ac:dyDescent="0.2">
      <c r="A40" s="147">
        <v>3</v>
      </c>
      <c r="B40" s="160" t="s">
        <v>179</v>
      </c>
      <c r="C40" s="157">
        <v>218734</v>
      </c>
      <c r="D40" s="157">
        <v>0</v>
      </c>
      <c r="E40" s="157">
        <f>+D40-C40</f>
        <v>-218734</v>
      </c>
      <c r="F40" s="161">
        <f>IF(C40=0,0,E40/C40)</f>
        <v>-1</v>
      </c>
    </row>
    <row r="41" spans="1:6" ht="15.75" customHeight="1" x14ac:dyDescent="0.25">
      <c r="A41" s="147"/>
      <c r="B41" s="162" t="s">
        <v>180</v>
      </c>
      <c r="C41" s="158">
        <f>SUM(C38:C40)</f>
        <v>11023394</v>
      </c>
      <c r="D41" s="158">
        <f>SUM(D38:D40)</f>
        <v>12141411</v>
      </c>
      <c r="E41" s="158">
        <f>+D41-C41</f>
        <v>1118017</v>
      </c>
      <c r="F41" s="159">
        <f>IF(C41=0,0,E41/C41)</f>
        <v>0.10142221170721105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962851</v>
      </c>
      <c r="D47" s="157">
        <v>197037</v>
      </c>
      <c r="E47" s="157">
        <f>+D47-C47</f>
        <v>-765814</v>
      </c>
      <c r="F47" s="161">
        <f>IF(C47=0,0,E47/C47)</f>
        <v>-0.79536086061083178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3338483</v>
      </c>
      <c r="D50" s="157">
        <v>4550896</v>
      </c>
      <c r="E50" s="157">
        <f>+D50-C50</f>
        <v>1212413</v>
      </c>
      <c r="F50" s="161">
        <f>IF(C50=0,0,E50/C50)</f>
        <v>0.36316284971347768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223063</v>
      </c>
      <c r="D53" s="157">
        <v>224587</v>
      </c>
      <c r="E53" s="157">
        <f t="shared" ref="E53:E59" si="0">+D53-C53</f>
        <v>1524</v>
      </c>
      <c r="F53" s="161">
        <f t="shared" ref="F53:F59" si="1">IF(C53=0,0,E53/C53)</f>
        <v>6.8321505583624357E-3</v>
      </c>
    </row>
    <row r="54" spans="1:6" ht="15" customHeight="1" x14ac:dyDescent="0.2">
      <c r="A54" s="147">
        <v>2</v>
      </c>
      <c r="B54" s="160" t="s">
        <v>189</v>
      </c>
      <c r="C54" s="157">
        <v>859348</v>
      </c>
      <c r="D54" s="157">
        <v>722241</v>
      </c>
      <c r="E54" s="157">
        <f t="shared" si="0"/>
        <v>-137107</v>
      </c>
      <c r="F54" s="161">
        <f t="shared" si="1"/>
        <v>-0.15954770360785153</v>
      </c>
    </row>
    <row r="55" spans="1:6" ht="15" customHeight="1" x14ac:dyDescent="0.2">
      <c r="A55" s="147">
        <v>3</v>
      </c>
      <c r="B55" s="160" t="s">
        <v>190</v>
      </c>
      <c r="C55" s="157">
        <v>0</v>
      </c>
      <c r="D55" s="157">
        <v>0</v>
      </c>
      <c r="E55" s="157">
        <f t="shared" si="0"/>
        <v>0</v>
      </c>
      <c r="F55" s="161">
        <f t="shared" si="1"/>
        <v>0</v>
      </c>
    </row>
    <row r="56" spans="1:6" ht="15" customHeight="1" x14ac:dyDescent="0.2">
      <c r="A56" s="147">
        <v>4</v>
      </c>
      <c r="B56" s="160" t="s">
        <v>191</v>
      </c>
      <c r="C56" s="157">
        <v>1953626</v>
      </c>
      <c r="D56" s="157">
        <v>1942742</v>
      </c>
      <c r="E56" s="157">
        <f t="shared" si="0"/>
        <v>-10884</v>
      </c>
      <c r="F56" s="161">
        <f t="shared" si="1"/>
        <v>-5.5711789257513978E-3</v>
      </c>
    </row>
    <row r="57" spans="1:6" ht="15" customHeight="1" x14ac:dyDescent="0.2">
      <c r="A57" s="147">
        <v>5</v>
      </c>
      <c r="B57" s="160" t="s">
        <v>192</v>
      </c>
      <c r="C57" s="157">
        <v>823830</v>
      </c>
      <c r="D57" s="157">
        <v>1040303</v>
      </c>
      <c r="E57" s="157">
        <f t="shared" si="0"/>
        <v>216473</v>
      </c>
      <c r="F57" s="161">
        <f t="shared" si="1"/>
        <v>0.26276416250925555</v>
      </c>
    </row>
    <row r="58" spans="1:6" ht="15" customHeight="1" x14ac:dyDescent="0.2">
      <c r="A58" s="147">
        <v>6</v>
      </c>
      <c r="B58" s="160" t="s">
        <v>193</v>
      </c>
      <c r="C58" s="157">
        <v>218005</v>
      </c>
      <c r="D58" s="157">
        <v>144609</v>
      </c>
      <c r="E58" s="157">
        <f t="shared" si="0"/>
        <v>-73396</v>
      </c>
      <c r="F58" s="161">
        <f t="shared" si="1"/>
        <v>-0.33667117726657647</v>
      </c>
    </row>
    <row r="59" spans="1:6" ht="15.75" customHeight="1" x14ac:dyDescent="0.25">
      <c r="A59" s="147"/>
      <c r="B59" s="162" t="s">
        <v>194</v>
      </c>
      <c r="C59" s="158">
        <f>SUM(C53:C58)</f>
        <v>4077872</v>
      </c>
      <c r="D59" s="158">
        <f>SUM(D53:D58)</f>
        <v>4074482</v>
      </c>
      <c r="E59" s="158">
        <f t="shared" si="0"/>
        <v>-3390</v>
      </c>
      <c r="F59" s="159">
        <f t="shared" si="1"/>
        <v>-8.3131594125563529E-4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283801</v>
      </c>
      <c r="D62" s="157">
        <v>290291</v>
      </c>
      <c r="E62" s="157">
        <f t="shared" ref="E62:E90" si="2">+D62-C62</f>
        <v>6490</v>
      </c>
      <c r="F62" s="161">
        <f t="shared" ref="F62:F90" si="3">IF(C62=0,0,E62/C62)</f>
        <v>2.2868136475910936E-2</v>
      </c>
    </row>
    <row r="63" spans="1:6" ht="15" customHeight="1" x14ac:dyDescent="0.2">
      <c r="A63" s="147">
        <v>2</v>
      </c>
      <c r="B63" s="160" t="s">
        <v>198</v>
      </c>
      <c r="C63" s="157">
        <v>1774351</v>
      </c>
      <c r="D63" s="157">
        <v>1138196</v>
      </c>
      <c r="E63" s="157">
        <f t="shared" si="2"/>
        <v>-636155</v>
      </c>
      <c r="F63" s="161">
        <f t="shared" si="3"/>
        <v>-0.3585282731545224</v>
      </c>
    </row>
    <row r="64" spans="1:6" ht="15" customHeight="1" x14ac:dyDescent="0.2">
      <c r="A64" s="147">
        <v>3</v>
      </c>
      <c r="B64" s="160" t="s">
        <v>199</v>
      </c>
      <c r="C64" s="157">
        <v>2323896</v>
      </c>
      <c r="D64" s="157">
        <v>3325982</v>
      </c>
      <c r="E64" s="157">
        <f t="shared" si="2"/>
        <v>1002086</v>
      </c>
      <c r="F64" s="161">
        <f t="shared" si="3"/>
        <v>0.43120948613879451</v>
      </c>
    </row>
    <row r="65" spans="1:6" ht="15" customHeight="1" x14ac:dyDescent="0.2">
      <c r="A65" s="147">
        <v>4</v>
      </c>
      <c r="B65" s="160" t="s">
        <v>200</v>
      </c>
      <c r="C65" s="157">
        <v>856980</v>
      </c>
      <c r="D65" s="157">
        <v>1099667</v>
      </c>
      <c r="E65" s="157">
        <f t="shared" si="2"/>
        <v>242687</v>
      </c>
      <c r="F65" s="161">
        <f t="shared" si="3"/>
        <v>0.28318863917477655</v>
      </c>
    </row>
    <row r="66" spans="1:6" ht="15" customHeight="1" x14ac:dyDescent="0.2">
      <c r="A66" s="147">
        <v>5</v>
      </c>
      <c r="B66" s="160" t="s">
        <v>201</v>
      </c>
      <c r="C66" s="157">
        <v>0</v>
      </c>
      <c r="D66" s="157">
        <v>0</v>
      </c>
      <c r="E66" s="157">
        <f t="shared" si="2"/>
        <v>0</v>
      </c>
      <c r="F66" s="161">
        <f t="shared" si="3"/>
        <v>0</v>
      </c>
    </row>
    <row r="67" spans="1:6" ht="15" customHeight="1" x14ac:dyDescent="0.2">
      <c r="A67" s="147">
        <v>6</v>
      </c>
      <c r="B67" s="160" t="s">
        <v>202</v>
      </c>
      <c r="C67" s="157">
        <v>0</v>
      </c>
      <c r="D67" s="157">
        <v>0</v>
      </c>
      <c r="E67" s="157">
        <f t="shared" si="2"/>
        <v>0</v>
      </c>
      <c r="F67" s="161">
        <f t="shared" si="3"/>
        <v>0</v>
      </c>
    </row>
    <row r="68" spans="1:6" ht="15" customHeight="1" x14ac:dyDescent="0.2">
      <c r="A68" s="147">
        <v>7</v>
      </c>
      <c r="B68" s="160" t="s">
        <v>203</v>
      </c>
      <c r="C68" s="157">
        <v>7699811</v>
      </c>
      <c r="D68" s="157">
        <v>7134830</v>
      </c>
      <c r="E68" s="157">
        <f t="shared" si="2"/>
        <v>-564981</v>
      </c>
      <c r="F68" s="161">
        <f t="shared" si="3"/>
        <v>-7.3375956890370422E-2</v>
      </c>
    </row>
    <row r="69" spans="1:6" ht="15" customHeight="1" x14ac:dyDescent="0.2">
      <c r="A69" s="147">
        <v>8</v>
      </c>
      <c r="B69" s="160" t="s">
        <v>204</v>
      </c>
      <c r="C69" s="157">
        <v>463185</v>
      </c>
      <c r="D69" s="157">
        <v>528259</v>
      </c>
      <c r="E69" s="157">
        <f t="shared" si="2"/>
        <v>65074</v>
      </c>
      <c r="F69" s="161">
        <f t="shared" si="3"/>
        <v>0.14049245981627212</v>
      </c>
    </row>
    <row r="70" spans="1:6" ht="15" customHeight="1" x14ac:dyDescent="0.2">
      <c r="A70" s="147">
        <v>9</v>
      </c>
      <c r="B70" s="160" t="s">
        <v>205</v>
      </c>
      <c r="C70" s="157">
        <v>198305</v>
      </c>
      <c r="D70" s="157">
        <v>174020</v>
      </c>
      <c r="E70" s="157">
        <f t="shared" si="2"/>
        <v>-24285</v>
      </c>
      <c r="F70" s="161">
        <f t="shared" si="3"/>
        <v>-0.12246287284738155</v>
      </c>
    </row>
    <row r="71" spans="1:6" ht="15" customHeight="1" x14ac:dyDescent="0.2">
      <c r="A71" s="147">
        <v>10</v>
      </c>
      <c r="B71" s="160" t="s">
        <v>206</v>
      </c>
      <c r="C71" s="157">
        <v>0</v>
      </c>
      <c r="D71" s="157">
        <v>0</v>
      </c>
      <c r="E71" s="157">
        <f t="shared" si="2"/>
        <v>0</v>
      </c>
      <c r="F71" s="161">
        <f t="shared" si="3"/>
        <v>0</v>
      </c>
    </row>
    <row r="72" spans="1:6" ht="15" customHeight="1" x14ac:dyDescent="0.2">
      <c r="A72" s="147">
        <v>11</v>
      </c>
      <c r="B72" s="160" t="s">
        <v>207</v>
      </c>
      <c r="C72" s="157">
        <v>0</v>
      </c>
      <c r="D72" s="157">
        <v>0</v>
      </c>
      <c r="E72" s="157">
        <f t="shared" si="2"/>
        <v>0</v>
      </c>
      <c r="F72" s="161">
        <f t="shared" si="3"/>
        <v>0</v>
      </c>
    </row>
    <row r="73" spans="1:6" ht="15" customHeight="1" x14ac:dyDescent="0.2">
      <c r="A73" s="147">
        <v>12</v>
      </c>
      <c r="B73" s="160" t="s">
        <v>208</v>
      </c>
      <c r="C73" s="157">
        <v>2793626</v>
      </c>
      <c r="D73" s="157">
        <v>4338060</v>
      </c>
      <c r="E73" s="157">
        <f t="shared" si="2"/>
        <v>1544434</v>
      </c>
      <c r="F73" s="161">
        <f t="shared" si="3"/>
        <v>0.55284207692797815</v>
      </c>
    </row>
    <row r="74" spans="1:6" ht="15" customHeight="1" x14ac:dyDescent="0.2">
      <c r="A74" s="147">
        <v>13</v>
      </c>
      <c r="B74" s="160" t="s">
        <v>209</v>
      </c>
      <c r="C74" s="157">
        <v>0</v>
      </c>
      <c r="D74" s="157">
        <v>0</v>
      </c>
      <c r="E74" s="157">
        <f t="shared" si="2"/>
        <v>0</v>
      </c>
      <c r="F74" s="161">
        <f t="shared" si="3"/>
        <v>0</v>
      </c>
    </row>
    <row r="75" spans="1:6" ht="15" customHeight="1" x14ac:dyDescent="0.2">
      <c r="A75" s="147">
        <v>14</v>
      </c>
      <c r="B75" s="160" t="s">
        <v>210</v>
      </c>
      <c r="C75" s="157">
        <v>128263</v>
      </c>
      <c r="D75" s="157">
        <v>122444</v>
      </c>
      <c r="E75" s="157">
        <f t="shared" si="2"/>
        <v>-5819</v>
      </c>
      <c r="F75" s="161">
        <f t="shared" si="3"/>
        <v>-4.5367721010735752E-2</v>
      </c>
    </row>
    <row r="76" spans="1:6" ht="15" customHeight="1" x14ac:dyDescent="0.2">
      <c r="A76" s="147">
        <v>15</v>
      </c>
      <c r="B76" s="160" t="s">
        <v>211</v>
      </c>
      <c r="C76" s="157">
        <v>640985</v>
      </c>
      <c r="D76" s="157">
        <v>504100</v>
      </c>
      <c r="E76" s="157">
        <f t="shared" si="2"/>
        <v>-136885</v>
      </c>
      <c r="F76" s="161">
        <f t="shared" si="3"/>
        <v>-0.21355413933243367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804169</v>
      </c>
      <c r="D78" s="157">
        <v>1094883</v>
      </c>
      <c r="E78" s="157">
        <f t="shared" si="2"/>
        <v>290714</v>
      </c>
      <c r="F78" s="161">
        <f t="shared" si="3"/>
        <v>0.36150858836886274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0</v>
      </c>
      <c r="D80" s="157">
        <v>0</v>
      </c>
      <c r="E80" s="157">
        <f t="shared" si="2"/>
        <v>0</v>
      </c>
      <c r="F80" s="161">
        <f t="shared" si="3"/>
        <v>0</v>
      </c>
    </row>
    <row r="81" spans="1:6" ht="15" customHeight="1" x14ac:dyDescent="0.2">
      <c r="A81" s="147">
        <v>20</v>
      </c>
      <c r="B81" s="160" t="s">
        <v>216</v>
      </c>
      <c r="C81" s="157">
        <v>0</v>
      </c>
      <c r="D81" s="157">
        <v>0</v>
      </c>
      <c r="E81" s="157">
        <f t="shared" si="2"/>
        <v>0</v>
      </c>
      <c r="F81" s="161">
        <f t="shared" si="3"/>
        <v>0</v>
      </c>
    </row>
    <row r="82" spans="1:6" ht="15" customHeight="1" x14ac:dyDescent="0.2">
      <c r="A82" s="147">
        <v>21</v>
      </c>
      <c r="B82" s="160" t="s">
        <v>217</v>
      </c>
      <c r="C82" s="157">
        <v>0</v>
      </c>
      <c r="D82" s="157">
        <v>0</v>
      </c>
      <c r="E82" s="157">
        <f t="shared" si="2"/>
        <v>0</v>
      </c>
      <c r="F82" s="161">
        <f t="shared" si="3"/>
        <v>0</v>
      </c>
    </row>
    <row r="83" spans="1:6" ht="15" customHeight="1" x14ac:dyDescent="0.2">
      <c r="A83" s="147">
        <v>22</v>
      </c>
      <c r="B83" s="160" t="s">
        <v>218</v>
      </c>
      <c r="C83" s="157">
        <v>0</v>
      </c>
      <c r="D83" s="157">
        <v>0</v>
      </c>
      <c r="E83" s="157">
        <f t="shared" si="2"/>
        <v>0</v>
      </c>
      <c r="F83" s="161">
        <f t="shared" si="3"/>
        <v>0</v>
      </c>
    </row>
    <row r="84" spans="1:6" ht="15" customHeight="1" x14ac:dyDescent="0.2">
      <c r="A84" s="147">
        <v>23</v>
      </c>
      <c r="B84" s="160" t="s">
        <v>219</v>
      </c>
      <c r="C84" s="157">
        <v>375875</v>
      </c>
      <c r="D84" s="157">
        <v>288444</v>
      </c>
      <c r="E84" s="157">
        <f t="shared" si="2"/>
        <v>-87431</v>
      </c>
      <c r="F84" s="161">
        <f t="shared" si="3"/>
        <v>-0.23260658463584968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0</v>
      </c>
      <c r="D86" s="157">
        <v>0</v>
      </c>
      <c r="E86" s="157">
        <f t="shared" si="2"/>
        <v>0</v>
      </c>
      <c r="F86" s="161">
        <f t="shared" si="3"/>
        <v>0</v>
      </c>
    </row>
    <row r="87" spans="1:6" ht="15" customHeight="1" x14ac:dyDescent="0.2">
      <c r="A87" s="147">
        <v>26</v>
      </c>
      <c r="B87" s="160" t="s">
        <v>222</v>
      </c>
      <c r="C87" s="157">
        <v>0</v>
      </c>
      <c r="D87" s="157">
        <v>0</v>
      </c>
      <c r="E87" s="157">
        <f t="shared" si="2"/>
        <v>0</v>
      </c>
      <c r="F87" s="161">
        <f t="shared" si="3"/>
        <v>0</v>
      </c>
    </row>
    <row r="88" spans="1:6" ht="15" customHeight="1" x14ac:dyDescent="0.2">
      <c r="A88" s="147">
        <v>27</v>
      </c>
      <c r="B88" s="160" t="s">
        <v>223</v>
      </c>
      <c r="C88" s="157">
        <v>22322905</v>
      </c>
      <c r="D88" s="157">
        <v>27172801</v>
      </c>
      <c r="E88" s="157">
        <f t="shared" si="2"/>
        <v>4849896</v>
      </c>
      <c r="F88" s="161">
        <f t="shared" si="3"/>
        <v>0.21726097029038111</v>
      </c>
    </row>
    <row r="89" spans="1:6" ht="15" customHeight="1" x14ac:dyDescent="0.2">
      <c r="A89" s="147">
        <v>28</v>
      </c>
      <c r="B89" s="160" t="s">
        <v>224</v>
      </c>
      <c r="C89" s="157">
        <v>0</v>
      </c>
      <c r="D89" s="157">
        <v>0</v>
      </c>
      <c r="E89" s="157">
        <f t="shared" si="2"/>
        <v>0</v>
      </c>
      <c r="F89" s="161">
        <f t="shared" si="3"/>
        <v>0</v>
      </c>
    </row>
    <row r="90" spans="1:6" ht="15.75" customHeight="1" x14ac:dyDescent="0.25">
      <c r="A90" s="147"/>
      <c r="B90" s="162" t="s">
        <v>225</v>
      </c>
      <c r="C90" s="158">
        <f>SUM(C62:C89)</f>
        <v>40666152</v>
      </c>
      <c r="D90" s="158">
        <f>SUM(D62:D89)</f>
        <v>47211977</v>
      </c>
      <c r="E90" s="158">
        <f t="shared" si="2"/>
        <v>6545825</v>
      </c>
      <c r="F90" s="159">
        <f t="shared" si="3"/>
        <v>0.16096494696621405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16976282</v>
      </c>
      <c r="D93" s="157">
        <v>19017232</v>
      </c>
      <c r="E93" s="157">
        <f>+D93-C93</f>
        <v>2040950</v>
      </c>
      <c r="F93" s="161">
        <f>IF(C93=0,0,E93/C93)</f>
        <v>0.12022361551251329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241388483</v>
      </c>
      <c r="D95" s="158">
        <f>+D93+D90+D59+D50+D47+D44+D41+D35+D30+D24+D18</f>
        <v>252714644</v>
      </c>
      <c r="E95" s="158">
        <f>+D95-C95</f>
        <v>11326161</v>
      </c>
      <c r="F95" s="159">
        <f>IF(C95=0,0,E95/C95)</f>
        <v>4.6920883959488659E-2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23210024</v>
      </c>
      <c r="D103" s="157">
        <v>22222161</v>
      </c>
      <c r="E103" s="157">
        <f t="shared" ref="E103:E121" si="4">D103-C103</f>
        <v>-987863</v>
      </c>
      <c r="F103" s="161">
        <f t="shared" ref="F103:F121" si="5">IF(C103=0,0,E103/C103)</f>
        <v>-4.2561912042831149E-2</v>
      </c>
    </row>
    <row r="104" spans="1:6" ht="15" customHeight="1" x14ac:dyDescent="0.2">
      <c r="A104" s="147">
        <v>2</v>
      </c>
      <c r="B104" s="169" t="s">
        <v>234</v>
      </c>
      <c r="C104" s="157">
        <v>1076032</v>
      </c>
      <c r="D104" s="157">
        <v>1159858</v>
      </c>
      <c r="E104" s="157">
        <f t="shared" si="4"/>
        <v>83826</v>
      </c>
      <c r="F104" s="161">
        <f t="shared" si="5"/>
        <v>7.7902887646464039E-2</v>
      </c>
    </row>
    <row r="105" spans="1:6" ht="15" customHeight="1" x14ac:dyDescent="0.2">
      <c r="A105" s="147">
        <v>3</v>
      </c>
      <c r="B105" s="169" t="s">
        <v>235</v>
      </c>
      <c r="C105" s="157">
        <v>3820073</v>
      </c>
      <c r="D105" s="157">
        <v>2282030</v>
      </c>
      <c r="E105" s="157">
        <f t="shared" si="4"/>
        <v>-1538043</v>
      </c>
      <c r="F105" s="161">
        <f t="shared" si="5"/>
        <v>-0.40262136351844585</v>
      </c>
    </row>
    <row r="106" spans="1:6" ht="15" customHeight="1" x14ac:dyDescent="0.2">
      <c r="A106" s="147">
        <v>4</v>
      </c>
      <c r="B106" s="169" t="s">
        <v>236</v>
      </c>
      <c r="C106" s="157">
        <v>1815638</v>
      </c>
      <c r="D106" s="157">
        <v>1953593</v>
      </c>
      <c r="E106" s="157">
        <f t="shared" si="4"/>
        <v>137955</v>
      </c>
      <c r="F106" s="161">
        <f t="shared" si="5"/>
        <v>7.5981555794712385E-2</v>
      </c>
    </row>
    <row r="107" spans="1:6" ht="15" customHeight="1" x14ac:dyDescent="0.2">
      <c r="A107" s="147">
        <v>5</v>
      </c>
      <c r="B107" s="169" t="s">
        <v>237</v>
      </c>
      <c r="C107" s="157">
        <v>10794854</v>
      </c>
      <c r="D107" s="157">
        <v>10439510</v>
      </c>
      <c r="E107" s="157">
        <f t="shared" si="4"/>
        <v>-355344</v>
      </c>
      <c r="F107" s="161">
        <f t="shared" si="5"/>
        <v>-3.2917906995314619E-2</v>
      </c>
    </row>
    <row r="108" spans="1:6" ht="15" customHeight="1" x14ac:dyDescent="0.2">
      <c r="A108" s="147">
        <v>6</v>
      </c>
      <c r="B108" s="169" t="s">
        <v>238</v>
      </c>
      <c r="C108" s="157">
        <v>565612</v>
      </c>
      <c r="D108" s="157">
        <v>547350</v>
      </c>
      <c r="E108" s="157">
        <f t="shared" si="4"/>
        <v>-18262</v>
      </c>
      <c r="F108" s="161">
        <f t="shared" si="5"/>
        <v>-3.2287150909103765E-2</v>
      </c>
    </row>
    <row r="109" spans="1:6" ht="15" customHeight="1" x14ac:dyDescent="0.2">
      <c r="A109" s="147">
        <v>7</v>
      </c>
      <c r="B109" s="169" t="s">
        <v>239</v>
      </c>
      <c r="C109" s="157">
        <v>0</v>
      </c>
      <c r="D109" s="157">
        <v>0</v>
      </c>
      <c r="E109" s="157">
        <f t="shared" si="4"/>
        <v>0</v>
      </c>
      <c r="F109" s="161">
        <f t="shared" si="5"/>
        <v>0</v>
      </c>
    </row>
    <row r="110" spans="1:6" ht="15" customHeight="1" x14ac:dyDescent="0.2">
      <c r="A110" s="147">
        <v>8</v>
      </c>
      <c r="B110" s="169" t="s">
        <v>240</v>
      </c>
      <c r="C110" s="157">
        <v>2383725</v>
      </c>
      <c r="D110" s="157">
        <v>2253402</v>
      </c>
      <c r="E110" s="157">
        <f t="shared" si="4"/>
        <v>-130323</v>
      </c>
      <c r="F110" s="161">
        <f t="shared" si="5"/>
        <v>-5.4671994462448477E-2</v>
      </c>
    </row>
    <row r="111" spans="1:6" ht="15" customHeight="1" x14ac:dyDescent="0.2">
      <c r="A111" s="147">
        <v>9</v>
      </c>
      <c r="B111" s="169" t="s">
        <v>241</v>
      </c>
      <c r="C111" s="157">
        <v>1923283</v>
      </c>
      <c r="D111" s="157">
        <v>2053918</v>
      </c>
      <c r="E111" s="157">
        <f t="shared" si="4"/>
        <v>130635</v>
      </c>
      <c r="F111" s="161">
        <f t="shared" si="5"/>
        <v>6.7922921379744941E-2</v>
      </c>
    </row>
    <row r="112" spans="1:6" ht="15" customHeight="1" x14ac:dyDescent="0.2">
      <c r="A112" s="147">
        <v>10</v>
      </c>
      <c r="B112" s="169" t="s">
        <v>242</v>
      </c>
      <c r="C112" s="157">
        <v>3849656</v>
      </c>
      <c r="D112" s="157">
        <v>3913739</v>
      </c>
      <c r="E112" s="157">
        <f t="shared" si="4"/>
        <v>64083</v>
      </c>
      <c r="F112" s="161">
        <f t="shared" si="5"/>
        <v>1.6646422433588871E-2</v>
      </c>
    </row>
    <row r="113" spans="1:6" ht="15" customHeight="1" x14ac:dyDescent="0.2">
      <c r="A113" s="147">
        <v>11</v>
      </c>
      <c r="B113" s="169" t="s">
        <v>243</v>
      </c>
      <c r="C113" s="157">
        <v>2743729</v>
      </c>
      <c r="D113" s="157">
        <v>2836634</v>
      </c>
      <c r="E113" s="157">
        <f t="shared" si="4"/>
        <v>92905</v>
      </c>
      <c r="F113" s="161">
        <f t="shared" si="5"/>
        <v>3.3860851417906068E-2</v>
      </c>
    </row>
    <row r="114" spans="1:6" ht="15" customHeight="1" x14ac:dyDescent="0.2">
      <c r="A114" s="147">
        <v>12</v>
      </c>
      <c r="B114" s="169" t="s">
        <v>244</v>
      </c>
      <c r="C114" s="157">
        <v>3798984</v>
      </c>
      <c r="D114" s="157">
        <v>3585381</v>
      </c>
      <c r="E114" s="157">
        <f t="shared" si="4"/>
        <v>-213603</v>
      </c>
      <c r="F114" s="161">
        <f t="shared" si="5"/>
        <v>-5.6226348939611225E-2</v>
      </c>
    </row>
    <row r="115" spans="1:6" ht="15" customHeight="1" x14ac:dyDescent="0.2">
      <c r="A115" s="147">
        <v>13</v>
      </c>
      <c r="B115" s="169" t="s">
        <v>245</v>
      </c>
      <c r="C115" s="157">
        <v>5964409</v>
      </c>
      <c r="D115" s="157">
        <v>5778853</v>
      </c>
      <c r="E115" s="157">
        <f t="shared" si="4"/>
        <v>-185556</v>
      </c>
      <c r="F115" s="161">
        <f t="shared" si="5"/>
        <v>-3.1110542553335962E-2</v>
      </c>
    </row>
    <row r="116" spans="1:6" ht="15" customHeight="1" x14ac:dyDescent="0.2">
      <c r="A116" s="147">
        <v>14</v>
      </c>
      <c r="B116" s="169" t="s">
        <v>246</v>
      </c>
      <c r="C116" s="157">
        <v>0</v>
      </c>
      <c r="D116" s="157">
        <v>0</v>
      </c>
      <c r="E116" s="157">
        <f t="shared" si="4"/>
        <v>0</v>
      </c>
      <c r="F116" s="161">
        <f t="shared" si="5"/>
        <v>0</v>
      </c>
    </row>
    <row r="117" spans="1:6" ht="15" customHeight="1" x14ac:dyDescent="0.2">
      <c r="A117" s="147">
        <v>15</v>
      </c>
      <c r="B117" s="169" t="s">
        <v>203</v>
      </c>
      <c r="C117" s="157">
        <v>2938335</v>
      </c>
      <c r="D117" s="157">
        <v>2868461</v>
      </c>
      <c r="E117" s="157">
        <f t="shared" si="4"/>
        <v>-69874</v>
      </c>
      <c r="F117" s="161">
        <f t="shared" si="5"/>
        <v>-2.378013398744527E-2</v>
      </c>
    </row>
    <row r="118" spans="1:6" ht="15" customHeight="1" x14ac:dyDescent="0.2">
      <c r="A118" s="147">
        <v>16</v>
      </c>
      <c r="B118" s="169" t="s">
        <v>247</v>
      </c>
      <c r="C118" s="157">
        <v>555978</v>
      </c>
      <c r="D118" s="157">
        <v>575780</v>
      </c>
      <c r="E118" s="157">
        <f t="shared" si="4"/>
        <v>19802</v>
      </c>
      <c r="F118" s="161">
        <f t="shared" si="5"/>
        <v>3.5616517200320878E-2</v>
      </c>
    </row>
    <row r="119" spans="1:6" ht="15" customHeight="1" x14ac:dyDescent="0.2">
      <c r="A119" s="147">
        <v>17</v>
      </c>
      <c r="B119" s="169" t="s">
        <v>248</v>
      </c>
      <c r="C119" s="157">
        <v>8170144</v>
      </c>
      <c r="D119" s="157">
        <v>8578778</v>
      </c>
      <c r="E119" s="157">
        <f t="shared" si="4"/>
        <v>408634</v>
      </c>
      <c r="F119" s="161">
        <f t="shared" si="5"/>
        <v>5.0015519922292681E-2</v>
      </c>
    </row>
    <row r="120" spans="1:6" ht="15" customHeight="1" x14ac:dyDescent="0.2">
      <c r="A120" s="147">
        <v>18</v>
      </c>
      <c r="B120" s="169" t="s">
        <v>249</v>
      </c>
      <c r="C120" s="157">
        <v>40979797</v>
      </c>
      <c r="D120" s="157">
        <v>56907375</v>
      </c>
      <c r="E120" s="157">
        <f t="shared" si="4"/>
        <v>15927578</v>
      </c>
      <c r="F120" s="161">
        <f t="shared" si="5"/>
        <v>0.38866903123019375</v>
      </c>
    </row>
    <row r="121" spans="1:6" ht="15.75" customHeight="1" x14ac:dyDescent="0.25">
      <c r="A121" s="147"/>
      <c r="B121" s="165" t="s">
        <v>250</v>
      </c>
      <c r="C121" s="158">
        <f>SUM(C103:C120)</f>
        <v>114590273</v>
      </c>
      <c r="D121" s="158">
        <f>SUM(D103:D120)</f>
        <v>127956823</v>
      </c>
      <c r="E121" s="158">
        <f t="shared" si="4"/>
        <v>13366550</v>
      </c>
      <c r="F121" s="159">
        <f t="shared" si="5"/>
        <v>0.11664646265394621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0</v>
      </c>
      <c r="D124" s="157">
        <v>0</v>
      </c>
      <c r="E124" s="157">
        <f t="shared" ref="E124:E130" si="6">D124-C124</f>
        <v>0</v>
      </c>
      <c r="F124" s="161">
        <f t="shared" ref="F124:F130" si="7">IF(C124=0,0,E124/C124)</f>
        <v>0</v>
      </c>
    </row>
    <row r="125" spans="1:6" ht="15" customHeight="1" x14ac:dyDescent="0.2">
      <c r="A125" s="147">
        <v>2</v>
      </c>
      <c r="B125" s="169" t="s">
        <v>253</v>
      </c>
      <c r="C125" s="157">
        <v>5556647</v>
      </c>
      <c r="D125" s="157">
        <v>5582771</v>
      </c>
      <c r="E125" s="157">
        <f t="shared" si="6"/>
        <v>26124</v>
      </c>
      <c r="F125" s="161">
        <f t="shared" si="7"/>
        <v>4.7013963636703933E-3</v>
      </c>
    </row>
    <row r="126" spans="1:6" ht="15" customHeight="1" x14ac:dyDescent="0.2">
      <c r="A126" s="147">
        <v>3</v>
      </c>
      <c r="B126" s="169" t="s">
        <v>254</v>
      </c>
      <c r="C126" s="157">
        <v>1109037</v>
      </c>
      <c r="D126" s="157">
        <v>969104</v>
      </c>
      <c r="E126" s="157">
        <f t="shared" si="6"/>
        <v>-139933</v>
      </c>
      <c r="F126" s="161">
        <f t="shared" si="7"/>
        <v>-0.12617523130427569</v>
      </c>
    </row>
    <row r="127" spans="1:6" ht="15" customHeight="1" x14ac:dyDescent="0.2">
      <c r="A127" s="147">
        <v>4</v>
      </c>
      <c r="B127" s="169" t="s">
        <v>255</v>
      </c>
      <c r="C127" s="157">
        <v>4188620</v>
      </c>
      <c r="D127" s="157">
        <v>4726163</v>
      </c>
      <c r="E127" s="157">
        <f t="shared" si="6"/>
        <v>537543</v>
      </c>
      <c r="F127" s="161">
        <f t="shared" si="7"/>
        <v>0.12833415301459669</v>
      </c>
    </row>
    <row r="128" spans="1:6" ht="15" customHeight="1" x14ac:dyDescent="0.2">
      <c r="A128" s="147">
        <v>5</v>
      </c>
      <c r="B128" s="169" t="s">
        <v>256</v>
      </c>
      <c r="C128" s="157">
        <v>0</v>
      </c>
      <c r="D128" s="157">
        <v>0</v>
      </c>
      <c r="E128" s="157">
        <f t="shared" si="6"/>
        <v>0</v>
      </c>
      <c r="F128" s="161">
        <f t="shared" si="7"/>
        <v>0</v>
      </c>
    </row>
    <row r="129" spans="1:6" ht="15" customHeight="1" x14ac:dyDescent="0.2">
      <c r="A129" s="147">
        <v>6</v>
      </c>
      <c r="B129" s="169" t="s">
        <v>257</v>
      </c>
      <c r="C129" s="157">
        <v>2560739</v>
      </c>
      <c r="D129" s="157">
        <v>2271532</v>
      </c>
      <c r="E129" s="157">
        <f t="shared" si="6"/>
        <v>-289207</v>
      </c>
      <c r="F129" s="161">
        <f t="shared" si="7"/>
        <v>-0.1129388820961449</v>
      </c>
    </row>
    <row r="130" spans="1:6" ht="15.75" customHeight="1" x14ac:dyDescent="0.25">
      <c r="A130" s="147"/>
      <c r="B130" s="165" t="s">
        <v>258</v>
      </c>
      <c r="C130" s="158">
        <f>SUM(C124:C129)</f>
        <v>13415043</v>
      </c>
      <c r="D130" s="158">
        <f>SUM(D124:D129)</f>
        <v>13549570</v>
      </c>
      <c r="E130" s="158">
        <f t="shared" si="6"/>
        <v>134527</v>
      </c>
      <c r="F130" s="159">
        <f t="shared" si="7"/>
        <v>1.0028070726273482E-2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20359601</v>
      </c>
      <c r="D133" s="157">
        <v>19289753</v>
      </c>
      <c r="E133" s="157">
        <f t="shared" ref="E133:E167" si="8">D133-C133</f>
        <v>-1069848</v>
      </c>
      <c r="F133" s="161">
        <f t="shared" ref="F133:F167" si="9">IF(C133=0,0,E133/C133)</f>
        <v>-5.2547591674316212E-2</v>
      </c>
    </row>
    <row r="134" spans="1:6" ht="15" customHeight="1" x14ac:dyDescent="0.2">
      <c r="A134" s="147">
        <v>2</v>
      </c>
      <c r="B134" s="169" t="s">
        <v>261</v>
      </c>
      <c r="C134" s="157">
        <v>732190</v>
      </c>
      <c r="D134" s="157">
        <v>1921636</v>
      </c>
      <c r="E134" s="157">
        <f t="shared" si="8"/>
        <v>1189446</v>
      </c>
      <c r="F134" s="161">
        <f t="shared" si="9"/>
        <v>1.624504568486322</v>
      </c>
    </row>
    <row r="135" spans="1:6" ht="15" customHeight="1" x14ac:dyDescent="0.2">
      <c r="A135" s="147">
        <v>3</v>
      </c>
      <c r="B135" s="169" t="s">
        <v>262</v>
      </c>
      <c r="C135" s="157">
        <v>1417507</v>
      </c>
      <c r="D135" s="157">
        <v>1637781</v>
      </c>
      <c r="E135" s="157">
        <f t="shared" si="8"/>
        <v>220274</v>
      </c>
      <c r="F135" s="161">
        <f t="shared" si="9"/>
        <v>0.15539535254499626</v>
      </c>
    </row>
    <row r="136" spans="1:6" ht="15" customHeight="1" x14ac:dyDescent="0.2">
      <c r="A136" s="147">
        <v>4</v>
      </c>
      <c r="B136" s="169" t="s">
        <v>263</v>
      </c>
      <c r="C136" s="157">
        <v>3775092</v>
      </c>
      <c r="D136" s="157">
        <v>3791850</v>
      </c>
      <c r="E136" s="157">
        <f t="shared" si="8"/>
        <v>16758</v>
      </c>
      <c r="F136" s="161">
        <f t="shared" si="9"/>
        <v>4.439097113394852E-3</v>
      </c>
    </row>
    <row r="137" spans="1:6" ht="15" customHeight="1" x14ac:dyDescent="0.2">
      <c r="A137" s="147">
        <v>5</v>
      </c>
      <c r="B137" s="169" t="s">
        <v>264</v>
      </c>
      <c r="C137" s="157">
        <v>4554588</v>
      </c>
      <c r="D137" s="157">
        <v>4614946</v>
      </c>
      <c r="E137" s="157">
        <f t="shared" si="8"/>
        <v>60358</v>
      </c>
      <c r="F137" s="161">
        <f t="shared" si="9"/>
        <v>1.3252131696654011E-2</v>
      </c>
    </row>
    <row r="138" spans="1:6" ht="15" customHeight="1" x14ac:dyDescent="0.2">
      <c r="A138" s="147">
        <v>6</v>
      </c>
      <c r="B138" s="169" t="s">
        <v>265</v>
      </c>
      <c r="C138" s="157">
        <v>0</v>
      </c>
      <c r="D138" s="157">
        <v>0</v>
      </c>
      <c r="E138" s="157">
        <f t="shared" si="8"/>
        <v>0</v>
      </c>
      <c r="F138" s="161">
        <f t="shared" si="9"/>
        <v>0</v>
      </c>
    </row>
    <row r="139" spans="1:6" ht="15" customHeight="1" x14ac:dyDescent="0.2">
      <c r="A139" s="147">
        <v>7</v>
      </c>
      <c r="B139" s="169" t="s">
        <v>266</v>
      </c>
      <c r="C139" s="157">
        <v>0</v>
      </c>
      <c r="D139" s="157">
        <v>65</v>
      </c>
      <c r="E139" s="157">
        <f t="shared" si="8"/>
        <v>65</v>
      </c>
      <c r="F139" s="161">
        <f t="shared" si="9"/>
        <v>0</v>
      </c>
    </row>
    <row r="140" spans="1:6" ht="15" customHeight="1" x14ac:dyDescent="0.2">
      <c r="A140" s="147">
        <v>8</v>
      </c>
      <c r="B140" s="169" t="s">
        <v>267</v>
      </c>
      <c r="C140" s="157">
        <v>819349</v>
      </c>
      <c r="D140" s="157">
        <v>654516</v>
      </c>
      <c r="E140" s="157">
        <f t="shared" si="8"/>
        <v>-164833</v>
      </c>
      <c r="F140" s="161">
        <f t="shared" si="9"/>
        <v>-0.20117556743219311</v>
      </c>
    </row>
    <row r="141" spans="1:6" ht="15" customHeight="1" x14ac:dyDescent="0.2">
      <c r="A141" s="147">
        <v>9</v>
      </c>
      <c r="B141" s="169" t="s">
        <v>268</v>
      </c>
      <c r="C141" s="157">
        <v>825253</v>
      </c>
      <c r="D141" s="157">
        <v>915285</v>
      </c>
      <c r="E141" s="157">
        <f t="shared" si="8"/>
        <v>90032</v>
      </c>
      <c r="F141" s="161">
        <f t="shared" si="9"/>
        <v>0.10909624078918828</v>
      </c>
    </row>
    <row r="142" spans="1:6" ht="15" customHeight="1" x14ac:dyDescent="0.2">
      <c r="A142" s="147">
        <v>10</v>
      </c>
      <c r="B142" s="169" t="s">
        <v>269</v>
      </c>
      <c r="C142" s="157">
        <v>9461098</v>
      </c>
      <c r="D142" s="157">
        <v>9613314</v>
      </c>
      <c r="E142" s="157">
        <f t="shared" si="8"/>
        <v>152216</v>
      </c>
      <c r="F142" s="161">
        <f t="shared" si="9"/>
        <v>1.6088618889689123E-2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5112424</v>
      </c>
      <c r="D144" s="157">
        <v>5333661</v>
      </c>
      <c r="E144" s="157">
        <f t="shared" si="8"/>
        <v>221237</v>
      </c>
      <c r="F144" s="161">
        <f t="shared" si="9"/>
        <v>4.3274384127764048E-2</v>
      </c>
    </row>
    <row r="145" spans="1:6" ht="15" customHeight="1" x14ac:dyDescent="0.2">
      <c r="A145" s="147">
        <v>13</v>
      </c>
      <c r="B145" s="169" t="s">
        <v>272</v>
      </c>
      <c r="C145" s="157">
        <v>694808</v>
      </c>
      <c r="D145" s="157">
        <v>795087</v>
      </c>
      <c r="E145" s="157">
        <f t="shared" si="8"/>
        <v>100279</v>
      </c>
      <c r="F145" s="161">
        <f t="shared" si="9"/>
        <v>0.14432620234654753</v>
      </c>
    </row>
    <row r="146" spans="1:6" ht="15" customHeight="1" x14ac:dyDescent="0.2">
      <c r="A146" s="147">
        <v>14</v>
      </c>
      <c r="B146" s="169" t="s">
        <v>273</v>
      </c>
      <c r="C146" s="157">
        <v>581831</v>
      </c>
      <c r="D146" s="157">
        <v>445632</v>
      </c>
      <c r="E146" s="157">
        <f t="shared" si="8"/>
        <v>-136199</v>
      </c>
      <c r="F146" s="161">
        <f t="shared" si="9"/>
        <v>-0.23408687402355666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1463546</v>
      </c>
      <c r="D150" s="157">
        <v>1420230</v>
      </c>
      <c r="E150" s="157">
        <f t="shared" si="8"/>
        <v>-43316</v>
      </c>
      <c r="F150" s="161">
        <f t="shared" si="9"/>
        <v>-2.9596609877653317E-2</v>
      </c>
    </row>
    <row r="151" spans="1:6" ht="15" customHeight="1" x14ac:dyDescent="0.2">
      <c r="A151" s="147">
        <v>19</v>
      </c>
      <c r="B151" s="169" t="s">
        <v>278</v>
      </c>
      <c r="C151" s="157">
        <v>0</v>
      </c>
      <c r="D151" s="157">
        <v>0</v>
      </c>
      <c r="E151" s="157">
        <f t="shared" si="8"/>
        <v>0</v>
      </c>
      <c r="F151" s="161">
        <f t="shared" si="9"/>
        <v>0</v>
      </c>
    </row>
    <row r="152" spans="1:6" ht="15" customHeight="1" x14ac:dyDescent="0.2">
      <c r="A152" s="147">
        <v>20</v>
      </c>
      <c r="B152" s="169" t="s">
        <v>279</v>
      </c>
      <c r="C152" s="157">
        <v>263041</v>
      </c>
      <c r="D152" s="157">
        <v>292982</v>
      </c>
      <c r="E152" s="157">
        <f t="shared" si="8"/>
        <v>29941</v>
      </c>
      <c r="F152" s="161">
        <f t="shared" si="9"/>
        <v>0.11382636166985374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0</v>
      </c>
      <c r="D154" s="157">
        <v>0</v>
      </c>
      <c r="E154" s="157">
        <f t="shared" si="8"/>
        <v>0</v>
      </c>
      <c r="F154" s="161">
        <f t="shared" si="9"/>
        <v>0</v>
      </c>
    </row>
    <row r="155" spans="1:6" ht="15" customHeight="1" x14ac:dyDescent="0.2">
      <c r="A155" s="147">
        <v>23</v>
      </c>
      <c r="B155" s="169" t="s">
        <v>282</v>
      </c>
      <c r="C155" s="157">
        <v>358698</v>
      </c>
      <c r="D155" s="157">
        <v>398559</v>
      </c>
      <c r="E155" s="157">
        <f t="shared" si="8"/>
        <v>39861</v>
      </c>
      <c r="F155" s="161">
        <f t="shared" si="9"/>
        <v>0.11112690898750481</v>
      </c>
    </row>
    <row r="156" spans="1:6" ht="15" customHeight="1" x14ac:dyDescent="0.2">
      <c r="A156" s="147">
        <v>24</v>
      </c>
      <c r="B156" s="169" t="s">
        <v>283</v>
      </c>
      <c r="C156" s="157">
        <v>12114940</v>
      </c>
      <c r="D156" s="157">
        <v>11452141</v>
      </c>
      <c r="E156" s="157">
        <f t="shared" si="8"/>
        <v>-662799</v>
      </c>
      <c r="F156" s="161">
        <f t="shared" si="9"/>
        <v>-5.4709226789402175E-2</v>
      </c>
    </row>
    <row r="157" spans="1:6" ht="15" customHeight="1" x14ac:dyDescent="0.2">
      <c r="A157" s="147">
        <v>25</v>
      </c>
      <c r="B157" s="169" t="s">
        <v>284</v>
      </c>
      <c r="C157" s="157">
        <v>1174068</v>
      </c>
      <c r="D157" s="157">
        <v>674938</v>
      </c>
      <c r="E157" s="157">
        <f t="shared" si="8"/>
        <v>-499130</v>
      </c>
      <c r="F157" s="161">
        <f t="shared" si="9"/>
        <v>-0.42512869782670171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0</v>
      </c>
      <c r="D160" s="157">
        <v>0</v>
      </c>
      <c r="E160" s="157">
        <f t="shared" si="8"/>
        <v>0</v>
      </c>
      <c r="F160" s="161">
        <f t="shared" si="9"/>
        <v>0</v>
      </c>
    </row>
    <row r="161" spans="1:6" ht="15" customHeight="1" x14ac:dyDescent="0.2">
      <c r="A161" s="147">
        <v>29</v>
      </c>
      <c r="B161" s="169" t="s">
        <v>288</v>
      </c>
      <c r="C161" s="157">
        <v>0</v>
      </c>
      <c r="D161" s="157">
        <v>0</v>
      </c>
      <c r="E161" s="157">
        <f t="shared" si="8"/>
        <v>0</v>
      </c>
      <c r="F161" s="161">
        <f t="shared" si="9"/>
        <v>0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0</v>
      </c>
      <c r="D163" s="157">
        <v>0</v>
      </c>
      <c r="E163" s="157">
        <f t="shared" si="8"/>
        <v>0</v>
      </c>
      <c r="F163" s="161">
        <f t="shared" si="9"/>
        <v>0</v>
      </c>
    </row>
    <row r="164" spans="1:6" ht="15" customHeight="1" x14ac:dyDescent="0.2">
      <c r="A164" s="147">
        <v>32</v>
      </c>
      <c r="B164" s="169" t="s">
        <v>291</v>
      </c>
      <c r="C164" s="157">
        <v>2009571</v>
      </c>
      <c r="D164" s="157">
        <v>1940643</v>
      </c>
      <c r="E164" s="157">
        <f t="shared" si="8"/>
        <v>-68928</v>
      </c>
      <c r="F164" s="161">
        <f t="shared" si="9"/>
        <v>-3.4299858029400304E-2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0</v>
      </c>
      <c r="D166" s="157">
        <v>0</v>
      </c>
      <c r="E166" s="157">
        <f t="shared" si="8"/>
        <v>0</v>
      </c>
      <c r="F166" s="161">
        <f t="shared" si="9"/>
        <v>0</v>
      </c>
    </row>
    <row r="167" spans="1:6" ht="15.75" customHeight="1" x14ac:dyDescent="0.25">
      <c r="A167" s="147"/>
      <c r="B167" s="165" t="s">
        <v>294</v>
      </c>
      <c r="C167" s="158">
        <f>SUM(C133:C166)</f>
        <v>65717605</v>
      </c>
      <c r="D167" s="158">
        <f>SUM(D133:D166)</f>
        <v>65193019</v>
      </c>
      <c r="E167" s="158">
        <f t="shared" si="8"/>
        <v>-524586</v>
      </c>
      <c r="F167" s="159">
        <f t="shared" si="9"/>
        <v>-7.9824272354417046E-3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17109908</v>
      </c>
      <c r="D170" s="157">
        <v>17341901</v>
      </c>
      <c r="E170" s="157">
        <f t="shared" ref="E170:E183" si="10">D170-C170</f>
        <v>231993</v>
      </c>
      <c r="F170" s="161">
        <f t="shared" ref="F170:F183" si="11">IF(C170=0,0,E170/C170)</f>
        <v>1.3558985822717457E-2</v>
      </c>
    </row>
    <row r="171" spans="1:6" ht="15" customHeight="1" x14ac:dyDescent="0.2">
      <c r="A171" s="147">
        <v>2</v>
      </c>
      <c r="B171" s="169" t="s">
        <v>297</v>
      </c>
      <c r="C171" s="157">
        <v>4066133</v>
      </c>
      <c r="D171" s="157">
        <v>4077922</v>
      </c>
      <c r="E171" s="157">
        <f t="shared" si="10"/>
        <v>11789</v>
      </c>
      <c r="F171" s="161">
        <f t="shared" si="11"/>
        <v>2.8993149018981916E-3</v>
      </c>
    </row>
    <row r="172" spans="1:6" ht="15" customHeight="1" x14ac:dyDescent="0.2">
      <c r="A172" s="147">
        <v>3</v>
      </c>
      <c r="B172" s="169" t="s">
        <v>298</v>
      </c>
      <c r="C172" s="157">
        <v>1437405</v>
      </c>
      <c r="D172" s="157">
        <v>1332115</v>
      </c>
      <c r="E172" s="157">
        <f t="shared" si="10"/>
        <v>-105290</v>
      </c>
      <c r="F172" s="161">
        <f t="shared" si="11"/>
        <v>-7.32500582647201E-2</v>
      </c>
    </row>
    <row r="173" spans="1:6" ht="15" customHeight="1" x14ac:dyDescent="0.2">
      <c r="A173" s="147">
        <v>4</v>
      </c>
      <c r="B173" s="169" t="s">
        <v>299</v>
      </c>
      <c r="C173" s="157">
        <v>1544363</v>
      </c>
      <c r="D173" s="157">
        <v>1554815</v>
      </c>
      <c r="E173" s="157">
        <f t="shared" si="10"/>
        <v>10452</v>
      </c>
      <c r="F173" s="161">
        <f t="shared" si="11"/>
        <v>6.7678389083395546E-3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0</v>
      </c>
      <c r="D175" s="157">
        <v>0</v>
      </c>
      <c r="E175" s="157">
        <f t="shared" si="10"/>
        <v>0</v>
      </c>
      <c r="F175" s="161">
        <f t="shared" si="11"/>
        <v>0</v>
      </c>
    </row>
    <row r="176" spans="1:6" ht="15" customHeight="1" x14ac:dyDescent="0.2">
      <c r="A176" s="147">
        <v>7</v>
      </c>
      <c r="B176" s="169" t="s">
        <v>302</v>
      </c>
      <c r="C176" s="157">
        <v>1548303</v>
      </c>
      <c r="D176" s="157">
        <v>1415104</v>
      </c>
      <c r="E176" s="157">
        <f t="shared" si="10"/>
        <v>-133199</v>
      </c>
      <c r="F176" s="161">
        <f t="shared" si="11"/>
        <v>-8.6029026618174867E-2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9945580</v>
      </c>
      <c r="D179" s="157">
        <v>8403304</v>
      </c>
      <c r="E179" s="157">
        <f t="shared" si="10"/>
        <v>-1542276</v>
      </c>
      <c r="F179" s="161">
        <f t="shared" si="11"/>
        <v>-0.15507149909809181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10465005</v>
      </c>
      <c r="D181" s="157">
        <v>10836328</v>
      </c>
      <c r="E181" s="157">
        <f t="shared" si="10"/>
        <v>371323</v>
      </c>
      <c r="F181" s="161">
        <f t="shared" si="11"/>
        <v>3.5482352851240871E-2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46116697</v>
      </c>
      <c r="D183" s="158">
        <f>SUM(D170:D182)</f>
        <v>44961489</v>
      </c>
      <c r="E183" s="158">
        <f t="shared" si="10"/>
        <v>-1155208</v>
      </c>
      <c r="F183" s="159">
        <f t="shared" si="11"/>
        <v>-2.5049669103578687E-2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1548865</v>
      </c>
      <c r="D186" s="157">
        <v>1053743</v>
      </c>
      <c r="E186" s="157">
        <f>D186-C186</f>
        <v>-495122</v>
      </c>
      <c r="F186" s="161">
        <f>IF(C186=0,0,E186/C186)</f>
        <v>-0.31966762758536088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241388483</v>
      </c>
      <c r="D188" s="158">
        <f>+D186+D183+D167+D130+D121</f>
        <v>252714644</v>
      </c>
      <c r="E188" s="158">
        <f>D188-C188</f>
        <v>11326161</v>
      </c>
      <c r="F188" s="159">
        <f>IF(C188=0,0,E188/C188)</f>
        <v>4.6920883959488659E-2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rintOptions gridLines="1"/>
  <pageMargins left="0.25" right="0.25" top="0.75" bottom="0.75" header="0.3" footer="0.3"/>
  <pageSetup scale="76" fitToHeight="0" orientation="portrait" horizontalDpi="1200" verticalDpi="1200" r:id="rId1"/>
  <headerFooter>
    <oddHeader>&amp;LOFFICE OF HEALTH CARE ACCESS&amp;CTWELVE MONTHS ACTUAL FILING&amp;RSAINT MARY`S HOSPITAL</oddHeader>
    <oddFooter>&amp;LREPORT 100&amp;CPAGE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tabSelected="1" zoomScale="75" zoomScaleSheetLayoutView="75" workbookViewId="0">
      <selection activeCell="H56" sqref="H56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4" width="21.85546875" style="222" customWidth="1"/>
    <col min="5" max="5" width="16.7109375" style="222" bestFit="1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238729196</v>
      </c>
      <c r="D11" s="183">
        <v>251920803</v>
      </c>
      <c r="E11" s="76">
        <v>270262578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8705634</v>
      </c>
      <c r="D12" s="185">
        <v>8206509</v>
      </c>
      <c r="E12" s="185">
        <v>12538000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247434830</v>
      </c>
      <c r="D13" s="76">
        <f>+D11+D12</f>
        <v>260127312</v>
      </c>
      <c r="E13" s="76">
        <f>+E11+E12</f>
        <v>282800578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227226738</v>
      </c>
      <c r="D14" s="185">
        <v>241388483</v>
      </c>
      <c r="E14" s="185">
        <v>252714644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20208092</v>
      </c>
      <c r="D15" s="76">
        <f>+D13-D14</f>
        <v>18738829</v>
      </c>
      <c r="E15" s="76">
        <f>+E13-E14</f>
        <v>30085934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5016722</v>
      </c>
      <c r="D16" s="185">
        <v>2521831</v>
      </c>
      <c r="E16" s="185">
        <v>1052235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25224814</v>
      </c>
      <c r="D17" s="76">
        <f>D15+D16</f>
        <v>21260660</v>
      </c>
      <c r="E17" s="76">
        <f>E15+E16</f>
        <v>31138169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8.0047406482175246E-2</v>
      </c>
      <c r="D20" s="189">
        <f>IF(+D27=0,0,+D24/+D27)</f>
        <v>7.1345479318773178E-2</v>
      </c>
      <c r="E20" s="189">
        <f>IF(+E27=0,0,+E24/+E27)</f>
        <v>0.10599131881775645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1.9872018849779145E-2</v>
      </c>
      <c r="D21" s="189">
        <f>IF(D27=0,0,+D26/D27)</f>
        <v>9.6015200019137319E-3</v>
      </c>
      <c r="E21" s="189">
        <f>IF(E27=0,0,+E26/E27)</f>
        <v>3.7069740083921594E-3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9.9919425331954387E-2</v>
      </c>
      <c r="D22" s="189">
        <f>IF(D27=0,0,+D28/D27)</f>
        <v>8.0946999320686913E-2</v>
      </c>
      <c r="E22" s="189">
        <f>IF(E27=0,0,+E28/E27)</f>
        <v>0.1096982928261486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20208092</v>
      </c>
      <c r="D24" s="76">
        <f>+D15</f>
        <v>18738829</v>
      </c>
      <c r="E24" s="76">
        <f>+E15</f>
        <v>30085934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247434830</v>
      </c>
      <c r="D25" s="76">
        <f>+D13</f>
        <v>260127312</v>
      </c>
      <c r="E25" s="76">
        <f>+E13</f>
        <v>282800578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5016722</v>
      </c>
      <c r="D26" s="76">
        <f>+D16</f>
        <v>2521831</v>
      </c>
      <c r="E26" s="76">
        <f>+E16</f>
        <v>1052235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252451552</v>
      </c>
      <c r="D27" s="76">
        <f>+D25+D26</f>
        <v>262649143</v>
      </c>
      <c r="E27" s="76">
        <f>+E25+E26</f>
        <v>283852813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25224814</v>
      </c>
      <c r="D28" s="76">
        <f>+D17</f>
        <v>21260660</v>
      </c>
      <c r="E28" s="76">
        <f>+E17</f>
        <v>31138169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27668000</v>
      </c>
      <c r="D31" s="76">
        <v>27411000</v>
      </c>
      <c r="E31" s="76">
        <v>62162000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46764000</v>
      </c>
      <c r="D32" s="76">
        <v>45164000</v>
      </c>
      <c r="E32" s="76">
        <v>80680000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-2933000</v>
      </c>
      <c r="D33" s="76">
        <f>+D32-C32</f>
        <v>-1600000</v>
      </c>
      <c r="E33" s="76">
        <f>+E32-D32</f>
        <v>35516000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0.94089999999999996</v>
      </c>
      <c r="D34" s="193">
        <f>IF(C32=0,0,+D33/C32)</f>
        <v>-3.4214352921050378E-2</v>
      </c>
      <c r="E34" s="193">
        <f>IF(D32=0,0,+E33/D32)</f>
        <v>0.78637853157381987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0.33779606200965079</v>
      </c>
      <c r="D38" s="195">
        <f>IF((D40+D41)=0,0,+D39/(D40+D41))</f>
        <v>0.31973727262018925</v>
      </c>
      <c r="E38" s="195">
        <f>IF((E40+E41)=0,0,+E39/(E40+E41))</f>
        <v>0.30460231734257925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227226738</v>
      </c>
      <c r="D39" s="76">
        <v>241388483</v>
      </c>
      <c r="E39" s="196">
        <v>252714644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663968691</v>
      </c>
      <c r="D40" s="76">
        <v>746752338</v>
      </c>
      <c r="E40" s="196">
        <v>817116371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8705634</v>
      </c>
      <c r="D41" s="76">
        <v>8206510</v>
      </c>
      <c r="E41" s="196">
        <v>12538000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1.2119182725546811</v>
      </c>
      <c r="D43" s="197">
        <f>IF(D38=0,0,IF((D46-D47)=0,0,((+D44-D45)/(D46-D47)/D38)))</f>
        <v>1.2748849707909522</v>
      </c>
      <c r="E43" s="197">
        <f>IF(E38=0,0,IF((E46-E47)=0,0,((+E44-E45)/(E46-E47)/E38)))</f>
        <v>1.3199208771349711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88609518</v>
      </c>
      <c r="D44" s="76">
        <v>95211138</v>
      </c>
      <c r="E44" s="196">
        <v>100853370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404836</v>
      </c>
      <c r="D45" s="76">
        <v>603311</v>
      </c>
      <c r="E45" s="196">
        <v>551456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226835968</v>
      </c>
      <c r="D46" s="76">
        <v>244050898</v>
      </c>
      <c r="E46" s="196">
        <v>263812246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11377423</v>
      </c>
      <c r="D47" s="76">
        <v>11957493</v>
      </c>
      <c r="E47" s="76">
        <v>14336621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1.0374883639212447</v>
      </c>
      <c r="D49" s="198">
        <f>IF(D38=0,0,IF(D51=0,0,(D50/D51)/D38))</f>
        <v>1.0316972275045688</v>
      </c>
      <c r="E49" s="198">
        <f>IF(E38=0,0,IF(E51=0,0,(E50/E51)/E38))</f>
        <v>1.0705821078561069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90019262</v>
      </c>
      <c r="D50" s="199">
        <v>97154309</v>
      </c>
      <c r="E50" s="199">
        <v>105659157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256860682</v>
      </c>
      <c r="D51" s="199">
        <v>294521184</v>
      </c>
      <c r="E51" s="199">
        <v>324006675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0.82575397105874981</v>
      </c>
      <c r="D53" s="198">
        <f>IF(D38=0,0,IF(D55=0,0,(D54/D55)/D38))</f>
        <v>0.75905666775516134</v>
      </c>
      <c r="E53" s="198">
        <f>IF(E38=0,0,IF(E55=0,0,(E54/E55)/E38))</f>
        <v>0.7379643484467634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50013341</v>
      </c>
      <c r="D54" s="199">
        <v>50160732</v>
      </c>
      <c r="E54" s="199">
        <v>51230101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179300134</v>
      </c>
      <c r="D55" s="199">
        <v>206679023</v>
      </c>
      <c r="E55" s="199">
        <v>227906456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3706496.678658288</v>
      </c>
      <c r="D57" s="88">
        <f>+D60*D38</f>
        <v>3630355.1855132454</v>
      </c>
      <c r="E57" s="88">
        <f>+E60*E38</f>
        <v>4198993.8131544515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894442</v>
      </c>
      <c r="D58" s="199">
        <v>3174277</v>
      </c>
      <c r="E58" s="199">
        <v>6949752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10078145</v>
      </c>
      <c r="D59" s="199">
        <v>8179905</v>
      </c>
      <c r="E59" s="199">
        <v>6835415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10972587</v>
      </c>
      <c r="D60" s="76">
        <v>11354182</v>
      </c>
      <c r="E60" s="201">
        <v>13785167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1.6311886141930569E-2</v>
      </c>
      <c r="D62" s="202">
        <f>IF(D63=0,0,+D57/D63)</f>
        <v>1.503947139645948E-2</v>
      </c>
      <c r="E62" s="202">
        <f>IF(E63=0,0,+E57/E63)</f>
        <v>1.6615553996761862E-2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227226738</v>
      </c>
      <c r="D63" s="199">
        <v>241388483</v>
      </c>
      <c r="E63" s="199">
        <v>252714644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1.5591149361170877</v>
      </c>
      <c r="D67" s="203">
        <f>IF(D69=0,0,D68/D69)</f>
        <v>1.2047991582029463</v>
      </c>
      <c r="E67" s="203">
        <f>IF(E69=0,0,E68/E69)</f>
        <v>1.4596197362603065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58696000</v>
      </c>
      <c r="D68" s="204">
        <v>52669000</v>
      </c>
      <c r="E68" s="204">
        <v>56118000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37647000</v>
      </c>
      <c r="D69" s="204">
        <v>43716000</v>
      </c>
      <c r="E69" s="204">
        <v>38447000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41.368464367522904</v>
      </c>
      <c r="D71" s="203">
        <f>IF((D77/365)=0,0,+D74/(D77/365))</f>
        <v>21.115851456120591</v>
      </c>
      <c r="E71" s="203">
        <f>IF((E77/365)=0,0,+E74/(E77/365))</f>
        <v>30.204607176726103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24610000</v>
      </c>
      <c r="D72" s="183">
        <v>13310000</v>
      </c>
      <c r="E72" s="183">
        <v>19731000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17000</v>
      </c>
      <c r="D73" s="206">
        <v>17000</v>
      </c>
      <c r="E73" s="206">
        <v>177000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24627000</v>
      </c>
      <c r="D74" s="204">
        <f>+D72+D73</f>
        <v>13327000</v>
      </c>
      <c r="E74" s="204">
        <f>+E72+E73</f>
        <v>19908000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227226738</v>
      </c>
      <c r="D75" s="204">
        <f>+D14</f>
        <v>241388483</v>
      </c>
      <c r="E75" s="204">
        <f>+E14</f>
        <v>252714644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9939122</v>
      </c>
      <c r="D76" s="204">
        <v>11023394</v>
      </c>
      <c r="E76" s="204">
        <v>12141411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217287616</v>
      </c>
      <c r="D77" s="204">
        <f>+D75-D76</f>
        <v>230365089</v>
      </c>
      <c r="E77" s="204">
        <f>+E75-E76</f>
        <v>240573233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39.802609648130343</v>
      </c>
      <c r="D79" s="203">
        <f>IF((D84/365)=0,0,+D83/(D84/365))</f>
        <v>40.308957732244131</v>
      </c>
      <c r="E79" s="203">
        <f>IF((E84/365)=0,0,+E83/(E84/365))</f>
        <v>31.317635843760804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26816000</v>
      </c>
      <c r="D80" s="212">
        <v>28548000</v>
      </c>
      <c r="E80" s="212">
        <v>26179000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783000</v>
      </c>
      <c r="D82" s="212">
        <v>727000</v>
      </c>
      <c r="E82" s="212">
        <v>2990000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26033000</v>
      </c>
      <c r="D83" s="212">
        <f>+D80+D81-D82</f>
        <v>27821000</v>
      </c>
      <c r="E83" s="212">
        <f>+E80+E81-E82</f>
        <v>23189000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238729196</v>
      </c>
      <c r="D84" s="204">
        <f>+D11</f>
        <v>251920803</v>
      </c>
      <c r="E84" s="204">
        <f>+E11</f>
        <v>270262578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63.239476105255804</v>
      </c>
      <c r="D86" s="203">
        <f>IF((D90/365)=0,0,+D87/(D90/365))</f>
        <v>69.265443254728581</v>
      </c>
      <c r="E86" s="203">
        <f>IF((E90/365)=0,0,+E87/(E90/365))</f>
        <v>58.332154516957424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37647000</v>
      </c>
      <c r="D87" s="76">
        <f>+D69</f>
        <v>43716000</v>
      </c>
      <c r="E87" s="76">
        <f>+E69</f>
        <v>38447000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227226738</v>
      </c>
      <c r="D88" s="76">
        <f t="shared" si="0"/>
        <v>241388483</v>
      </c>
      <c r="E88" s="76">
        <f t="shared" si="0"/>
        <v>252714644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9939122</v>
      </c>
      <c r="D89" s="201">
        <f t="shared" si="0"/>
        <v>11023394</v>
      </c>
      <c r="E89" s="201">
        <f t="shared" si="0"/>
        <v>12141411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217287616</v>
      </c>
      <c r="D90" s="76">
        <f>+D88-D89</f>
        <v>230365089</v>
      </c>
      <c r="E90" s="76">
        <f>+E88-E89</f>
        <v>240573233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24.987042686999406</v>
      </c>
      <c r="D94" s="214">
        <f>IF(D96=0,0,(D95/D96)*100)</f>
        <v>24.583730234330346</v>
      </c>
      <c r="E94" s="214">
        <f>IF(E96=0,0,(E95/E96)*100)</f>
        <v>37.655536782757238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46764000</v>
      </c>
      <c r="D95" s="76">
        <f>+D32</f>
        <v>45164000</v>
      </c>
      <c r="E95" s="76">
        <f>+E32</f>
        <v>80680000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187153000</v>
      </c>
      <c r="D96" s="76">
        <v>183715000</v>
      </c>
      <c r="E96" s="76">
        <v>214258000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63.398424231497344</v>
      </c>
      <c r="D98" s="214">
        <f>IF(D104=0,0,(D101/D104)*100)</f>
        <v>59.449505570389469</v>
      </c>
      <c r="E98" s="214">
        <f>IF(E104=0,0,(E101/E104)*100)</f>
        <v>112.56945925559863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25224814</v>
      </c>
      <c r="D99" s="76">
        <f>+D28</f>
        <v>21260660</v>
      </c>
      <c r="E99" s="76">
        <f>+E28</f>
        <v>31138169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9939122</v>
      </c>
      <c r="D100" s="201">
        <f>+D76</f>
        <v>11023394</v>
      </c>
      <c r="E100" s="201">
        <f>+E76</f>
        <v>12141411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35163936</v>
      </c>
      <c r="D101" s="76">
        <f>+D99+D100</f>
        <v>32284054</v>
      </c>
      <c r="E101" s="76">
        <f>+E99+E100</f>
        <v>43279580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37647000</v>
      </c>
      <c r="D102" s="204">
        <f>+D69</f>
        <v>43716000</v>
      </c>
      <c r="E102" s="204">
        <f>+E69</f>
        <v>38447000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17818000</v>
      </c>
      <c r="D103" s="216">
        <v>10589000</v>
      </c>
      <c r="E103" s="216">
        <v>0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55465000</v>
      </c>
      <c r="D104" s="204">
        <f>+D102+D103</f>
        <v>54305000</v>
      </c>
      <c r="E104" s="204">
        <f>+E102+E103</f>
        <v>38447000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27.589730884766656</v>
      </c>
      <c r="D106" s="214">
        <f>IF(D109=0,0,(D107/D109)*100)</f>
        <v>18.992699944397611</v>
      </c>
      <c r="E106" s="214">
        <f>IF(E109=0,0,(E107/E109)*100)</f>
        <v>0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17818000</v>
      </c>
      <c r="D107" s="204">
        <f>+D103</f>
        <v>10589000</v>
      </c>
      <c r="E107" s="204">
        <f>+E103</f>
        <v>0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46764000</v>
      </c>
      <c r="D108" s="204">
        <f>+D32</f>
        <v>45164000</v>
      </c>
      <c r="E108" s="204">
        <f>+E32</f>
        <v>80680000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64582000</v>
      </c>
      <c r="D109" s="204">
        <f>+D107+D108</f>
        <v>55753000</v>
      </c>
      <c r="E109" s="204">
        <f>+E107+E108</f>
        <v>80680000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9.5015890097869686</v>
      </c>
      <c r="D111" s="214">
        <f>IF((+D113+D115)=0,0,((+D112+D113+D114)/(+D113+D115)))</f>
        <v>4.7146352071250517</v>
      </c>
      <c r="E111" s="214">
        <f>IF((+E113+E115)=0,0,((+E112+E113+E114)/(+E113+E115)))</f>
        <v>220.65092520224525</v>
      </c>
    </row>
    <row r="112" spans="1:6" ht="24" customHeight="1" x14ac:dyDescent="0.2">
      <c r="A112" s="85">
        <v>16</v>
      </c>
      <c r="B112" s="75" t="s">
        <v>373</v>
      </c>
      <c r="C112" s="218">
        <f>+C17</f>
        <v>25224814</v>
      </c>
      <c r="D112" s="76">
        <f>+D17</f>
        <v>21260660</v>
      </c>
      <c r="E112" s="76">
        <f>+E17</f>
        <v>31138169</v>
      </c>
    </row>
    <row r="113" spans="1:8" ht="24" customHeight="1" x14ac:dyDescent="0.2">
      <c r="A113" s="85">
        <v>17</v>
      </c>
      <c r="B113" s="75" t="s">
        <v>88</v>
      </c>
      <c r="C113" s="218">
        <v>1353274</v>
      </c>
      <c r="D113" s="76">
        <v>962851</v>
      </c>
      <c r="E113" s="76">
        <v>197037</v>
      </c>
    </row>
    <row r="114" spans="1:8" ht="24" customHeight="1" x14ac:dyDescent="0.2">
      <c r="A114" s="85">
        <v>18</v>
      </c>
      <c r="B114" s="75" t="s">
        <v>374</v>
      </c>
      <c r="C114" s="218">
        <v>9939122</v>
      </c>
      <c r="D114" s="76">
        <v>11023394</v>
      </c>
      <c r="E114" s="76">
        <v>12141411</v>
      </c>
    </row>
    <row r="115" spans="1:8" ht="24" customHeight="1" x14ac:dyDescent="0.2">
      <c r="A115" s="85">
        <v>19</v>
      </c>
      <c r="B115" s="75" t="s">
        <v>104</v>
      </c>
      <c r="C115" s="218">
        <v>2490000</v>
      </c>
      <c r="D115" s="76">
        <v>6089000</v>
      </c>
      <c r="E115" s="76">
        <v>1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12.999136140999175</v>
      </c>
      <c r="D119" s="214">
        <f>IF(+D121=0,0,(+D120)/(+D121))</f>
        <v>12.699718435175228</v>
      </c>
      <c r="E119" s="214">
        <f>IF(+E121=0,0,(+E120)/(+E121))</f>
        <v>0.21875546425370165</v>
      </c>
    </row>
    <row r="120" spans="1:8" ht="24" customHeight="1" x14ac:dyDescent="0.2">
      <c r="A120" s="85">
        <v>21</v>
      </c>
      <c r="B120" s="75" t="s">
        <v>378</v>
      </c>
      <c r="C120" s="218">
        <v>129200000</v>
      </c>
      <c r="D120" s="218">
        <v>139994000</v>
      </c>
      <c r="E120" s="218">
        <v>2656000</v>
      </c>
    </row>
    <row r="121" spans="1:8" ht="24" customHeight="1" x14ac:dyDescent="0.2">
      <c r="A121" s="85">
        <v>22</v>
      </c>
      <c r="B121" s="75" t="s">
        <v>374</v>
      </c>
      <c r="C121" s="218">
        <v>9939122</v>
      </c>
      <c r="D121" s="218">
        <v>11023394</v>
      </c>
      <c r="E121" s="218">
        <v>12141411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50924</v>
      </c>
      <c r="D124" s="218">
        <v>50556</v>
      </c>
      <c r="E124" s="218">
        <v>46634</v>
      </c>
    </row>
    <row r="125" spans="1:8" ht="24" customHeight="1" x14ac:dyDescent="0.2">
      <c r="A125" s="85">
        <v>2</v>
      </c>
      <c r="B125" s="75" t="s">
        <v>381</v>
      </c>
      <c r="C125" s="218">
        <v>11642</v>
      </c>
      <c r="D125" s="218">
        <v>11845</v>
      </c>
      <c r="E125" s="218">
        <v>11656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4.3741625150317818</v>
      </c>
      <c r="D126" s="219">
        <f>IF(D125=0,0,D124/D125)</f>
        <v>4.2681300126635708</v>
      </c>
      <c r="E126" s="219">
        <f>IF(E125=0,0,E124/E125)</f>
        <v>4.0008579272477691</v>
      </c>
    </row>
    <row r="127" spans="1:8" ht="24" customHeight="1" x14ac:dyDescent="0.2">
      <c r="A127" s="85">
        <v>4</v>
      </c>
      <c r="B127" s="75" t="s">
        <v>383</v>
      </c>
      <c r="C127" s="218">
        <v>182</v>
      </c>
      <c r="D127" s="218">
        <v>168</v>
      </c>
      <c r="E127" s="218">
        <v>171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210</v>
      </c>
      <c r="E128" s="218">
        <v>182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182</v>
      </c>
      <c r="D129" s="218">
        <v>379</v>
      </c>
      <c r="E129" s="218">
        <v>379</v>
      </c>
    </row>
    <row r="130" spans="1:7" ht="24" customHeight="1" x14ac:dyDescent="0.2">
      <c r="A130" s="85">
        <v>7</v>
      </c>
      <c r="B130" s="75" t="s">
        <v>386</v>
      </c>
      <c r="C130" s="193">
        <v>0.76649999999999996</v>
      </c>
      <c r="D130" s="193">
        <v>0.82440000000000002</v>
      </c>
      <c r="E130" s="193">
        <v>0.74709999999999999</v>
      </c>
    </row>
    <row r="131" spans="1:7" ht="24" customHeight="1" x14ac:dyDescent="0.2">
      <c r="A131" s="85">
        <v>8</v>
      </c>
      <c r="B131" s="75" t="s">
        <v>387</v>
      </c>
      <c r="C131" s="193">
        <v>0.76649999999999996</v>
      </c>
      <c r="D131" s="193">
        <v>0.65949999999999998</v>
      </c>
      <c r="E131" s="193">
        <v>0.70199999999999996</v>
      </c>
    </row>
    <row r="132" spans="1:7" ht="24" customHeight="1" x14ac:dyDescent="0.2">
      <c r="A132" s="85">
        <v>9</v>
      </c>
      <c r="B132" s="75" t="s">
        <v>388</v>
      </c>
      <c r="C132" s="219">
        <v>1315.4</v>
      </c>
      <c r="D132" s="219">
        <v>1384.2</v>
      </c>
      <c r="E132" s="219">
        <v>1398.3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0.32450106145140512</v>
      </c>
      <c r="D135" s="227">
        <f>IF(D149=0,0,D143/D149)</f>
        <v>0.31080372057703554</v>
      </c>
      <c r="E135" s="227">
        <f>IF(E149=0,0,E143/E149)</f>
        <v>0.30531223440632793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0.38685661761120599</v>
      </c>
      <c r="D136" s="227">
        <f>IF(D149=0,0,D144/D149)</f>
        <v>0.39440276114676187</v>
      </c>
      <c r="E136" s="227">
        <f>IF(E149=0,0,E144/E149)</f>
        <v>0.39652451780335213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0.27004305538858608</v>
      </c>
      <c r="D137" s="227">
        <f>IF(D149=0,0,D145/D149)</f>
        <v>0.27677050674329456</v>
      </c>
      <c r="E137" s="227">
        <f>IF(E149=0,0,E145/E149)</f>
        <v>0.2789155426185923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1.7135481166837128E-2</v>
      </c>
      <c r="D139" s="227">
        <f>IF(D149=0,0,D147/D149)</f>
        <v>1.601266228643532E-2</v>
      </c>
      <c r="E139" s="227">
        <f>IF(E149=0,0,E147/E149)</f>
        <v>1.7545384609605381E-2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1.4637843819656851E-3</v>
      </c>
      <c r="D140" s="227">
        <f>IF(D149=0,0,D148/D149)</f>
        <v>2.0103492464726637E-3</v>
      </c>
      <c r="E140" s="227">
        <f>IF(E149=0,0,E148/E149)</f>
        <v>1.7023205621222342E-3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0.99999999999999989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215458545</v>
      </c>
      <c r="D143" s="229">
        <f>+D46-D147</f>
        <v>232093405</v>
      </c>
      <c r="E143" s="229">
        <f>+E46-E147</f>
        <v>249475625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256860682</v>
      </c>
      <c r="D144" s="229">
        <f>+D51</f>
        <v>294521184</v>
      </c>
      <c r="E144" s="229">
        <f>+E51</f>
        <v>324006675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179300134</v>
      </c>
      <c r="D145" s="229">
        <f>+D55</f>
        <v>206679023</v>
      </c>
      <c r="E145" s="229">
        <f>+E55</f>
        <v>227906456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11377423</v>
      </c>
      <c r="D147" s="229">
        <f>+D47</f>
        <v>11957493</v>
      </c>
      <c r="E147" s="229">
        <f>+E47</f>
        <v>14336621</v>
      </c>
    </row>
    <row r="148" spans="1:7" ht="20.100000000000001" customHeight="1" x14ac:dyDescent="0.2">
      <c r="A148" s="226">
        <v>13</v>
      </c>
      <c r="B148" s="224" t="s">
        <v>402</v>
      </c>
      <c r="C148" s="230">
        <v>971907</v>
      </c>
      <c r="D148" s="229">
        <v>1501233</v>
      </c>
      <c r="E148" s="229">
        <v>1390994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663968691</v>
      </c>
      <c r="D149" s="229">
        <f>SUM(D143:D148)</f>
        <v>746752338</v>
      </c>
      <c r="E149" s="229">
        <f>SUM(E143:E148)</f>
        <v>817116371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0.38539485895954478</v>
      </c>
      <c r="D152" s="227">
        <f>IF(D166=0,0,D160/D166)</f>
        <v>0.389484493103601</v>
      </c>
      <c r="E152" s="227">
        <f>IF(E166=0,0,E160/E166)</f>
        <v>0.38867287795148892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0.39332334741745695</v>
      </c>
      <c r="D153" s="227">
        <f>IF(D166=0,0,D161/D166)</f>
        <v>0.39996793070509506</v>
      </c>
      <c r="E153" s="227">
        <f>IF(E166=0,0,E161/E166)</f>
        <v>0.40943235273773743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0.21852450531810338</v>
      </c>
      <c r="D154" s="227">
        <f>IF(D166=0,0,D162/D166)</f>
        <v>0.20650328726740103</v>
      </c>
      <c r="E154" s="227">
        <f>IF(E166=0,0,E162/E166)</f>
        <v>0.19851815383518454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1.7688597655365536E-3</v>
      </c>
      <c r="D156" s="227">
        <f>IF(D166=0,0,D164/D166)</f>
        <v>2.4837297977346696E-3</v>
      </c>
      <c r="E156" s="227">
        <f>IF(E166=0,0,E164/E166)</f>
        <v>2.1369082805699625E-3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9.8842853935835547E-4</v>
      </c>
      <c r="D157" s="227">
        <f>IF(D166=0,0,D165/D166)</f>
        <v>1.560559126168238E-3</v>
      </c>
      <c r="E157" s="227">
        <f>IF(E166=0,0,E165/E166)</f>
        <v>1.239707195019192E-3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88204682</v>
      </c>
      <c r="D160" s="229">
        <f>+D44-D164</f>
        <v>94607827</v>
      </c>
      <c r="E160" s="229">
        <f>+E44-E164</f>
        <v>100301914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90019262</v>
      </c>
      <c r="D161" s="229">
        <f>+D50</f>
        <v>97154309</v>
      </c>
      <c r="E161" s="229">
        <f>+E50</f>
        <v>105659157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50013341</v>
      </c>
      <c r="D162" s="229">
        <f>+D54</f>
        <v>50160732</v>
      </c>
      <c r="E162" s="229">
        <f>+E54</f>
        <v>51230101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404836</v>
      </c>
      <c r="D164" s="229">
        <f>+D45</f>
        <v>603311</v>
      </c>
      <c r="E164" s="229">
        <f>+E45</f>
        <v>551456</v>
      </c>
    </row>
    <row r="165" spans="1:6" ht="20.100000000000001" customHeight="1" x14ac:dyDescent="0.2">
      <c r="A165" s="226">
        <v>13</v>
      </c>
      <c r="B165" s="224" t="s">
        <v>417</v>
      </c>
      <c r="C165" s="230">
        <v>226220</v>
      </c>
      <c r="D165" s="229">
        <v>379068</v>
      </c>
      <c r="E165" s="229">
        <v>319922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228868341</v>
      </c>
      <c r="D166" s="229">
        <f>SUM(D160:D165)</f>
        <v>242905247</v>
      </c>
      <c r="E166" s="229">
        <f>SUM(E160:E165)</f>
        <v>258062550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2984</v>
      </c>
      <c r="D169" s="218">
        <v>2873</v>
      </c>
      <c r="E169" s="218">
        <v>2711</v>
      </c>
    </row>
    <row r="170" spans="1:6" ht="20.100000000000001" customHeight="1" x14ac:dyDescent="0.2">
      <c r="A170" s="226">
        <v>2</v>
      </c>
      <c r="B170" s="224" t="s">
        <v>420</v>
      </c>
      <c r="C170" s="218">
        <v>5069</v>
      </c>
      <c r="D170" s="218">
        <v>5226</v>
      </c>
      <c r="E170" s="218">
        <v>5249</v>
      </c>
    </row>
    <row r="171" spans="1:6" ht="20.100000000000001" customHeight="1" x14ac:dyDescent="0.2">
      <c r="A171" s="226">
        <v>3</v>
      </c>
      <c r="B171" s="224" t="s">
        <v>421</v>
      </c>
      <c r="C171" s="218">
        <v>3568</v>
      </c>
      <c r="D171" s="218">
        <v>3721</v>
      </c>
      <c r="E171" s="218">
        <v>3675</v>
      </c>
    </row>
    <row r="172" spans="1:6" ht="20.100000000000001" customHeight="1" x14ac:dyDescent="0.2">
      <c r="A172" s="226">
        <v>4</v>
      </c>
      <c r="B172" s="224" t="s">
        <v>422</v>
      </c>
      <c r="C172" s="218">
        <v>3568</v>
      </c>
      <c r="D172" s="218">
        <v>3721</v>
      </c>
      <c r="E172" s="218">
        <v>3675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21</v>
      </c>
      <c r="D174" s="218">
        <v>25</v>
      </c>
      <c r="E174" s="218">
        <v>21</v>
      </c>
    </row>
    <row r="175" spans="1:6" ht="20.100000000000001" customHeight="1" x14ac:dyDescent="0.2">
      <c r="A175" s="226">
        <v>7</v>
      </c>
      <c r="B175" s="224" t="s">
        <v>425</v>
      </c>
      <c r="C175" s="218">
        <v>115</v>
      </c>
      <c r="D175" s="218">
        <v>78</v>
      </c>
      <c r="E175" s="218">
        <v>97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11642</v>
      </c>
      <c r="D176" s="218">
        <f>+D169+D170+D171+D174</f>
        <v>11845</v>
      </c>
      <c r="E176" s="218">
        <f>+E169+E170+E171+E174</f>
        <v>11656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1.3211999999999999</v>
      </c>
      <c r="D179" s="231">
        <v>1.302</v>
      </c>
      <c r="E179" s="231">
        <v>1.3515999999999999</v>
      </c>
    </row>
    <row r="180" spans="1:6" ht="20.100000000000001" customHeight="1" x14ac:dyDescent="0.2">
      <c r="A180" s="226">
        <v>2</v>
      </c>
      <c r="B180" s="224" t="s">
        <v>420</v>
      </c>
      <c r="C180" s="231">
        <v>1.5586</v>
      </c>
      <c r="D180" s="231">
        <v>1.5737000000000001</v>
      </c>
      <c r="E180" s="231">
        <v>1.58521</v>
      </c>
    </row>
    <row r="181" spans="1:6" ht="20.100000000000001" customHeight="1" x14ac:dyDescent="0.2">
      <c r="A181" s="226">
        <v>3</v>
      </c>
      <c r="B181" s="224" t="s">
        <v>421</v>
      </c>
      <c r="C181" s="231">
        <v>1.0233000000000001</v>
      </c>
      <c r="D181" s="231">
        <v>1.05047</v>
      </c>
      <c r="E181" s="231">
        <v>1.15879</v>
      </c>
    </row>
    <row r="182" spans="1:6" ht="20.100000000000001" customHeight="1" x14ac:dyDescent="0.2">
      <c r="A182" s="226">
        <v>4</v>
      </c>
      <c r="B182" s="224" t="s">
        <v>422</v>
      </c>
      <c r="C182" s="231">
        <v>1.0233000000000001</v>
      </c>
      <c r="D182" s="231">
        <v>1.05047</v>
      </c>
      <c r="E182" s="231">
        <v>1.15879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0.74590000000000001</v>
      </c>
      <c r="D184" s="231">
        <v>1.14717</v>
      </c>
      <c r="E184" s="231">
        <v>0.94089999999999996</v>
      </c>
    </row>
    <row r="185" spans="1:6" ht="20.100000000000001" customHeight="1" x14ac:dyDescent="0.2">
      <c r="A185" s="226">
        <v>7</v>
      </c>
      <c r="B185" s="224" t="s">
        <v>425</v>
      </c>
      <c r="C185" s="231">
        <v>1.1728000000000001</v>
      </c>
      <c r="D185" s="231">
        <v>0.96269000000000005</v>
      </c>
      <c r="E185" s="231">
        <v>1.08541</v>
      </c>
    </row>
    <row r="186" spans="1:6" ht="20.100000000000001" customHeight="1" x14ac:dyDescent="0.2">
      <c r="A186" s="226">
        <v>8</v>
      </c>
      <c r="B186" s="224" t="s">
        <v>429</v>
      </c>
      <c r="C186" s="231">
        <v>1.332228</v>
      </c>
      <c r="D186" s="231">
        <v>1.3425309999999999</v>
      </c>
      <c r="E186" s="231">
        <v>1.3952690000000001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7886</v>
      </c>
      <c r="D189" s="218">
        <v>8274</v>
      </c>
      <c r="E189" s="218">
        <v>7461</v>
      </c>
    </row>
    <row r="190" spans="1:6" ht="20.100000000000001" customHeight="1" x14ac:dyDescent="0.2">
      <c r="A190" s="226">
        <v>2</v>
      </c>
      <c r="B190" s="224" t="s">
        <v>433</v>
      </c>
      <c r="C190" s="218">
        <v>62335</v>
      </c>
      <c r="D190" s="218">
        <v>63488</v>
      </c>
      <c r="E190" s="218">
        <v>64952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70221</v>
      </c>
      <c r="D191" s="218">
        <f>+D190+D189</f>
        <v>71762</v>
      </c>
      <c r="E191" s="218">
        <f>+E190+E189</f>
        <v>72413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75" bottom="0.75" header="0.3" footer="0.3"/>
  <pageSetup scale="78" fitToHeight="0" orientation="portrait" horizontalDpi="1200" verticalDpi="1200" r:id="rId1"/>
  <headerFooter>
    <oddHeader>&amp;LOFFICE OF HEALTH CARE ACCESS&amp;CTWELVE MONTHS ACTUAL FILING&amp;RSAINT MARY`S HOSPITAL</oddHeader>
    <oddFooter>&amp;LREPORT 100&amp;CPAGE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tabSelected="1" zoomScale="75" workbookViewId="0">
      <selection activeCell="H56" sqref="H56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" style="235" bestFit="1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2</v>
      </c>
      <c r="B4" s="787"/>
      <c r="C4" s="787"/>
      <c r="D4" s="787"/>
      <c r="E4" s="787"/>
      <c r="F4" s="787"/>
    </row>
    <row r="5" spans="1:7" ht="20.25" customHeight="1" x14ac:dyDescent="0.3">
      <c r="A5" s="787" t="s">
        <v>435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8"/>
      <c r="D9" s="789"/>
      <c r="E9" s="789"/>
      <c r="F9" s="790"/>
      <c r="G9" s="245"/>
    </row>
    <row r="10" spans="1:7" ht="20.25" customHeight="1" x14ac:dyDescent="0.3">
      <c r="A10" s="791" t="s">
        <v>12</v>
      </c>
      <c r="B10" s="793" t="s">
        <v>114</v>
      </c>
      <c r="C10" s="795"/>
      <c r="D10" s="796"/>
      <c r="E10" s="796"/>
      <c r="F10" s="797"/>
    </row>
    <row r="11" spans="1:7" ht="20.25" customHeight="1" x14ac:dyDescent="0.3">
      <c r="A11" s="792"/>
      <c r="B11" s="794"/>
      <c r="C11" s="798"/>
      <c r="D11" s="799"/>
      <c r="E11" s="799"/>
      <c r="F11" s="800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1092277</v>
      </c>
      <c r="D14" s="258">
        <v>6962718</v>
      </c>
      <c r="E14" s="258">
        <f t="shared" ref="E14:E24" si="0">D14-C14</f>
        <v>5870441</v>
      </c>
      <c r="F14" s="259">
        <f t="shared" ref="F14:F24" si="1">IF(C14=0,0,E14/C14)</f>
        <v>5.3744984102018076</v>
      </c>
    </row>
    <row r="15" spans="1:7" ht="20.25" customHeight="1" x14ac:dyDescent="0.3">
      <c r="A15" s="256">
        <v>2</v>
      </c>
      <c r="B15" s="257" t="s">
        <v>442</v>
      </c>
      <c r="C15" s="258">
        <v>437326</v>
      </c>
      <c r="D15" s="258">
        <v>2775026</v>
      </c>
      <c r="E15" s="258">
        <f t="shared" si="0"/>
        <v>2337700</v>
      </c>
      <c r="F15" s="259">
        <f t="shared" si="1"/>
        <v>5.3454402436626225</v>
      </c>
    </row>
    <row r="16" spans="1:7" ht="20.25" customHeight="1" x14ac:dyDescent="0.3">
      <c r="A16" s="256">
        <v>3</v>
      </c>
      <c r="B16" s="257" t="s">
        <v>443</v>
      </c>
      <c r="C16" s="258">
        <v>885514</v>
      </c>
      <c r="D16" s="258">
        <v>8527739</v>
      </c>
      <c r="E16" s="258">
        <f t="shared" si="0"/>
        <v>7642225</v>
      </c>
      <c r="F16" s="259">
        <f t="shared" si="1"/>
        <v>8.6302701030136166</v>
      </c>
    </row>
    <row r="17" spans="1:6" ht="20.25" customHeight="1" x14ac:dyDescent="0.3">
      <c r="A17" s="256">
        <v>4</v>
      </c>
      <c r="B17" s="257" t="s">
        <v>444</v>
      </c>
      <c r="C17" s="258">
        <v>166996</v>
      </c>
      <c r="D17" s="258">
        <v>1504164</v>
      </c>
      <c r="E17" s="258">
        <f t="shared" si="0"/>
        <v>1337168</v>
      </c>
      <c r="F17" s="259">
        <f t="shared" si="1"/>
        <v>8.0071858008575063</v>
      </c>
    </row>
    <row r="18" spans="1:6" ht="20.25" customHeight="1" x14ac:dyDescent="0.3">
      <c r="A18" s="256">
        <v>5</v>
      </c>
      <c r="B18" s="257" t="s">
        <v>381</v>
      </c>
      <c r="C18" s="260">
        <v>41</v>
      </c>
      <c r="D18" s="260">
        <v>245</v>
      </c>
      <c r="E18" s="260">
        <f t="shared" si="0"/>
        <v>204</v>
      </c>
      <c r="F18" s="259">
        <f t="shared" si="1"/>
        <v>4.975609756097561</v>
      </c>
    </row>
    <row r="19" spans="1:6" ht="20.25" customHeight="1" x14ac:dyDescent="0.3">
      <c r="A19" s="256">
        <v>6</v>
      </c>
      <c r="B19" s="257" t="s">
        <v>380</v>
      </c>
      <c r="C19" s="260">
        <v>170</v>
      </c>
      <c r="D19" s="260">
        <v>992</v>
      </c>
      <c r="E19" s="260">
        <f t="shared" si="0"/>
        <v>822</v>
      </c>
      <c r="F19" s="259">
        <f t="shared" si="1"/>
        <v>4.8352941176470585</v>
      </c>
    </row>
    <row r="20" spans="1:6" ht="20.25" customHeight="1" x14ac:dyDescent="0.3">
      <c r="A20" s="256">
        <v>7</v>
      </c>
      <c r="B20" s="257" t="s">
        <v>445</v>
      </c>
      <c r="C20" s="260">
        <v>508</v>
      </c>
      <c r="D20" s="260">
        <v>4068</v>
      </c>
      <c r="E20" s="260">
        <f t="shared" si="0"/>
        <v>3560</v>
      </c>
      <c r="F20" s="259">
        <f t="shared" si="1"/>
        <v>7.0078740157480315</v>
      </c>
    </row>
    <row r="21" spans="1:6" ht="20.25" customHeight="1" x14ac:dyDescent="0.3">
      <c r="A21" s="256">
        <v>8</v>
      </c>
      <c r="B21" s="257" t="s">
        <v>446</v>
      </c>
      <c r="C21" s="260">
        <v>75</v>
      </c>
      <c r="D21" s="260">
        <v>860</v>
      </c>
      <c r="E21" s="260">
        <f t="shared" si="0"/>
        <v>785</v>
      </c>
      <c r="F21" s="259">
        <f t="shared" si="1"/>
        <v>10.466666666666667</v>
      </c>
    </row>
    <row r="22" spans="1:6" ht="20.25" customHeight="1" x14ac:dyDescent="0.3">
      <c r="A22" s="256">
        <v>9</v>
      </c>
      <c r="B22" s="257" t="s">
        <v>447</v>
      </c>
      <c r="C22" s="260">
        <v>33</v>
      </c>
      <c r="D22" s="260">
        <v>204</v>
      </c>
      <c r="E22" s="260">
        <f t="shared" si="0"/>
        <v>171</v>
      </c>
      <c r="F22" s="259">
        <f t="shared" si="1"/>
        <v>5.1818181818181817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1977791</v>
      </c>
      <c r="D23" s="263">
        <f>+D14+D16</f>
        <v>15490457</v>
      </c>
      <c r="E23" s="263">
        <f t="shared" si="0"/>
        <v>13512666</v>
      </c>
      <c r="F23" s="264">
        <f t="shared" si="1"/>
        <v>6.8322011779808891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604322</v>
      </c>
      <c r="D24" s="263">
        <f>+D15+D17</f>
        <v>4279190</v>
      </c>
      <c r="E24" s="263">
        <f t="shared" si="0"/>
        <v>3674868</v>
      </c>
      <c r="F24" s="264">
        <f t="shared" si="1"/>
        <v>6.0809766978531314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12923893</v>
      </c>
      <c r="D40" s="258">
        <v>14760209</v>
      </c>
      <c r="E40" s="258">
        <f t="shared" ref="E40:E50" si="4">D40-C40</f>
        <v>1836316</v>
      </c>
      <c r="F40" s="259">
        <f t="shared" ref="F40:F50" si="5">IF(C40=0,0,E40/C40)</f>
        <v>0.14208690833327078</v>
      </c>
    </row>
    <row r="41" spans="1:6" ht="20.25" customHeight="1" x14ac:dyDescent="0.3">
      <c r="A41" s="256">
        <v>2</v>
      </c>
      <c r="B41" s="257" t="s">
        <v>442</v>
      </c>
      <c r="C41" s="258">
        <v>4923398</v>
      </c>
      <c r="D41" s="258">
        <v>5970928</v>
      </c>
      <c r="E41" s="258">
        <f t="shared" si="4"/>
        <v>1047530</v>
      </c>
      <c r="F41" s="259">
        <f t="shared" si="5"/>
        <v>0.21276565493994187</v>
      </c>
    </row>
    <row r="42" spans="1:6" ht="20.25" customHeight="1" x14ac:dyDescent="0.3">
      <c r="A42" s="256">
        <v>3</v>
      </c>
      <c r="B42" s="257" t="s">
        <v>443</v>
      </c>
      <c r="C42" s="258">
        <v>11698001</v>
      </c>
      <c r="D42" s="258">
        <v>14484273</v>
      </c>
      <c r="E42" s="258">
        <f t="shared" si="4"/>
        <v>2786272</v>
      </c>
      <c r="F42" s="259">
        <f t="shared" si="5"/>
        <v>0.23818360077076417</v>
      </c>
    </row>
    <row r="43" spans="1:6" ht="20.25" customHeight="1" x14ac:dyDescent="0.3">
      <c r="A43" s="256">
        <v>4</v>
      </c>
      <c r="B43" s="257" t="s">
        <v>444</v>
      </c>
      <c r="C43" s="258">
        <v>2555602</v>
      </c>
      <c r="D43" s="258">
        <v>3017991</v>
      </c>
      <c r="E43" s="258">
        <f t="shared" si="4"/>
        <v>462389</v>
      </c>
      <c r="F43" s="259">
        <f t="shared" si="5"/>
        <v>0.18093153785292077</v>
      </c>
    </row>
    <row r="44" spans="1:6" ht="20.25" customHeight="1" x14ac:dyDescent="0.3">
      <c r="A44" s="256">
        <v>5</v>
      </c>
      <c r="B44" s="257" t="s">
        <v>381</v>
      </c>
      <c r="C44" s="260">
        <v>391</v>
      </c>
      <c r="D44" s="260">
        <v>416</v>
      </c>
      <c r="E44" s="260">
        <f t="shared" si="4"/>
        <v>25</v>
      </c>
      <c r="F44" s="259">
        <f t="shared" si="5"/>
        <v>6.3938618925831206E-2</v>
      </c>
    </row>
    <row r="45" spans="1:6" ht="20.25" customHeight="1" x14ac:dyDescent="0.3">
      <c r="A45" s="256">
        <v>6</v>
      </c>
      <c r="B45" s="257" t="s">
        <v>380</v>
      </c>
      <c r="C45" s="260">
        <v>1861</v>
      </c>
      <c r="D45" s="260">
        <v>1995</v>
      </c>
      <c r="E45" s="260">
        <f t="shared" si="4"/>
        <v>134</v>
      </c>
      <c r="F45" s="259">
        <f t="shared" si="5"/>
        <v>7.2004298764105315E-2</v>
      </c>
    </row>
    <row r="46" spans="1:6" ht="20.25" customHeight="1" x14ac:dyDescent="0.3">
      <c r="A46" s="256">
        <v>7</v>
      </c>
      <c r="B46" s="257" t="s">
        <v>445</v>
      </c>
      <c r="C46" s="260">
        <v>6985</v>
      </c>
      <c r="D46" s="260">
        <v>7857</v>
      </c>
      <c r="E46" s="260">
        <f t="shared" si="4"/>
        <v>872</v>
      </c>
      <c r="F46" s="259">
        <f t="shared" si="5"/>
        <v>0.12483894058697208</v>
      </c>
    </row>
    <row r="47" spans="1:6" ht="20.25" customHeight="1" x14ac:dyDescent="0.3">
      <c r="A47" s="256">
        <v>8</v>
      </c>
      <c r="B47" s="257" t="s">
        <v>446</v>
      </c>
      <c r="C47" s="260">
        <v>482</v>
      </c>
      <c r="D47" s="260">
        <v>571</v>
      </c>
      <c r="E47" s="260">
        <f t="shared" si="4"/>
        <v>89</v>
      </c>
      <c r="F47" s="259">
        <f t="shared" si="5"/>
        <v>0.18464730290456433</v>
      </c>
    </row>
    <row r="48" spans="1:6" ht="20.25" customHeight="1" x14ac:dyDescent="0.3">
      <c r="A48" s="256">
        <v>9</v>
      </c>
      <c r="B48" s="257" t="s">
        <v>447</v>
      </c>
      <c r="C48" s="260">
        <v>336</v>
      </c>
      <c r="D48" s="260">
        <v>321</v>
      </c>
      <c r="E48" s="260">
        <f t="shared" si="4"/>
        <v>-15</v>
      </c>
      <c r="F48" s="259">
        <f t="shared" si="5"/>
        <v>-4.4642857142857144E-2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24621894</v>
      </c>
      <c r="D49" s="263">
        <f>+D40+D42</f>
        <v>29244482</v>
      </c>
      <c r="E49" s="263">
        <f t="shared" si="4"/>
        <v>4622588</v>
      </c>
      <c r="F49" s="264">
        <f t="shared" si="5"/>
        <v>0.1877429900396777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7479000</v>
      </c>
      <c r="D50" s="263">
        <f>+D41+D43</f>
        <v>8988919</v>
      </c>
      <c r="E50" s="263">
        <f t="shared" si="4"/>
        <v>1509919</v>
      </c>
      <c r="F50" s="264">
        <f t="shared" si="5"/>
        <v>0.20188781922716942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1620119</v>
      </c>
      <c r="D66" s="258">
        <v>629569</v>
      </c>
      <c r="E66" s="258">
        <f t="shared" ref="E66:E76" si="8">D66-C66</f>
        <v>-990550</v>
      </c>
      <c r="F66" s="259">
        <f t="shared" ref="F66:F76" si="9">IF(C66=0,0,E66/C66)</f>
        <v>-0.61140570538337002</v>
      </c>
    </row>
    <row r="67" spans="1:6" ht="20.25" customHeight="1" x14ac:dyDescent="0.3">
      <c r="A67" s="256">
        <v>2</v>
      </c>
      <c r="B67" s="257" t="s">
        <v>442</v>
      </c>
      <c r="C67" s="258">
        <v>674889</v>
      </c>
      <c r="D67" s="258">
        <v>247576</v>
      </c>
      <c r="E67" s="258">
        <f t="shared" si="8"/>
        <v>-427313</v>
      </c>
      <c r="F67" s="259">
        <f t="shared" si="9"/>
        <v>-0.63316041600915118</v>
      </c>
    </row>
    <row r="68" spans="1:6" ht="20.25" customHeight="1" x14ac:dyDescent="0.3">
      <c r="A68" s="256">
        <v>3</v>
      </c>
      <c r="B68" s="257" t="s">
        <v>443</v>
      </c>
      <c r="C68" s="258">
        <v>1716357</v>
      </c>
      <c r="D68" s="258">
        <v>654040</v>
      </c>
      <c r="E68" s="258">
        <f t="shared" si="8"/>
        <v>-1062317</v>
      </c>
      <c r="F68" s="259">
        <f t="shared" si="9"/>
        <v>-0.61893708593258867</v>
      </c>
    </row>
    <row r="69" spans="1:6" ht="20.25" customHeight="1" x14ac:dyDescent="0.3">
      <c r="A69" s="256">
        <v>4</v>
      </c>
      <c r="B69" s="257" t="s">
        <v>444</v>
      </c>
      <c r="C69" s="258">
        <v>317664</v>
      </c>
      <c r="D69" s="258">
        <v>125228</v>
      </c>
      <c r="E69" s="258">
        <f t="shared" si="8"/>
        <v>-192436</v>
      </c>
      <c r="F69" s="259">
        <f t="shared" si="9"/>
        <v>-0.60578472851818277</v>
      </c>
    </row>
    <row r="70" spans="1:6" ht="20.25" customHeight="1" x14ac:dyDescent="0.3">
      <c r="A70" s="256">
        <v>5</v>
      </c>
      <c r="B70" s="257" t="s">
        <v>381</v>
      </c>
      <c r="C70" s="260">
        <v>49</v>
      </c>
      <c r="D70" s="260">
        <v>18</v>
      </c>
      <c r="E70" s="260">
        <f t="shared" si="8"/>
        <v>-31</v>
      </c>
      <c r="F70" s="259">
        <f t="shared" si="9"/>
        <v>-0.63265306122448983</v>
      </c>
    </row>
    <row r="71" spans="1:6" ht="20.25" customHeight="1" x14ac:dyDescent="0.3">
      <c r="A71" s="256">
        <v>6</v>
      </c>
      <c r="B71" s="257" t="s">
        <v>380</v>
      </c>
      <c r="C71" s="260">
        <v>276</v>
      </c>
      <c r="D71" s="260">
        <v>76</v>
      </c>
      <c r="E71" s="260">
        <f t="shared" si="8"/>
        <v>-200</v>
      </c>
      <c r="F71" s="259">
        <f t="shared" si="9"/>
        <v>-0.72463768115942029</v>
      </c>
    </row>
    <row r="72" spans="1:6" ht="20.25" customHeight="1" x14ac:dyDescent="0.3">
      <c r="A72" s="256">
        <v>7</v>
      </c>
      <c r="B72" s="257" t="s">
        <v>445</v>
      </c>
      <c r="C72" s="260">
        <v>608</v>
      </c>
      <c r="D72" s="260">
        <v>271</v>
      </c>
      <c r="E72" s="260">
        <f t="shared" si="8"/>
        <v>-337</v>
      </c>
      <c r="F72" s="259">
        <f t="shared" si="9"/>
        <v>-0.55427631578947367</v>
      </c>
    </row>
    <row r="73" spans="1:6" ht="20.25" customHeight="1" x14ac:dyDescent="0.3">
      <c r="A73" s="256">
        <v>8</v>
      </c>
      <c r="B73" s="257" t="s">
        <v>446</v>
      </c>
      <c r="C73" s="260">
        <v>136</v>
      </c>
      <c r="D73" s="260">
        <v>94</v>
      </c>
      <c r="E73" s="260">
        <f t="shared" si="8"/>
        <v>-42</v>
      </c>
      <c r="F73" s="259">
        <f t="shared" si="9"/>
        <v>-0.30882352941176472</v>
      </c>
    </row>
    <row r="74" spans="1:6" ht="20.25" customHeight="1" x14ac:dyDescent="0.3">
      <c r="A74" s="256">
        <v>9</v>
      </c>
      <c r="B74" s="257" t="s">
        <v>447</v>
      </c>
      <c r="C74" s="260">
        <v>44</v>
      </c>
      <c r="D74" s="260">
        <v>17</v>
      </c>
      <c r="E74" s="260">
        <f t="shared" si="8"/>
        <v>-27</v>
      </c>
      <c r="F74" s="259">
        <f t="shared" si="9"/>
        <v>-0.61363636363636365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3336476</v>
      </c>
      <c r="D75" s="263">
        <f>+D66+D68</f>
        <v>1283609</v>
      </c>
      <c r="E75" s="263">
        <f t="shared" si="8"/>
        <v>-2052867</v>
      </c>
      <c r="F75" s="264">
        <f t="shared" si="9"/>
        <v>-0.61528001400279819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992553</v>
      </c>
      <c r="D76" s="263">
        <f>+D67+D69</f>
        <v>372804</v>
      </c>
      <c r="E76" s="263">
        <f t="shared" si="8"/>
        <v>-619749</v>
      </c>
      <c r="F76" s="264">
        <f t="shared" si="9"/>
        <v>-0.62439889859785824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129188</v>
      </c>
      <c r="D79" s="258">
        <v>21503</v>
      </c>
      <c r="E79" s="258">
        <f t="shared" ref="E79:E89" si="10">D79-C79</f>
        <v>-107685</v>
      </c>
      <c r="F79" s="259">
        <f t="shared" ref="F79:F89" si="11">IF(C79=0,0,E79/C79)</f>
        <v>-0.83355265194909745</v>
      </c>
    </row>
    <row r="80" spans="1:6" ht="20.25" customHeight="1" x14ac:dyDescent="0.3">
      <c r="A80" s="256">
        <v>2</v>
      </c>
      <c r="B80" s="257" t="s">
        <v>442</v>
      </c>
      <c r="C80" s="258">
        <v>46373</v>
      </c>
      <c r="D80" s="258">
        <v>7596</v>
      </c>
      <c r="E80" s="258">
        <f t="shared" si="10"/>
        <v>-38777</v>
      </c>
      <c r="F80" s="259">
        <f t="shared" si="11"/>
        <v>-0.83619778750566065</v>
      </c>
    </row>
    <row r="81" spans="1:6" ht="20.25" customHeight="1" x14ac:dyDescent="0.3">
      <c r="A81" s="256">
        <v>3</v>
      </c>
      <c r="B81" s="257" t="s">
        <v>443</v>
      </c>
      <c r="C81" s="258">
        <v>50016</v>
      </c>
      <c r="D81" s="258">
        <v>108859</v>
      </c>
      <c r="E81" s="258">
        <f t="shared" si="10"/>
        <v>58843</v>
      </c>
      <c r="F81" s="259">
        <f t="shared" si="11"/>
        <v>1.176483525271913</v>
      </c>
    </row>
    <row r="82" spans="1:6" ht="20.25" customHeight="1" x14ac:dyDescent="0.3">
      <c r="A82" s="256">
        <v>4</v>
      </c>
      <c r="B82" s="257" t="s">
        <v>444</v>
      </c>
      <c r="C82" s="258">
        <v>12001</v>
      </c>
      <c r="D82" s="258">
        <v>19804</v>
      </c>
      <c r="E82" s="258">
        <f t="shared" si="10"/>
        <v>7803</v>
      </c>
      <c r="F82" s="259">
        <f t="shared" si="11"/>
        <v>0.65019581701524876</v>
      </c>
    </row>
    <row r="83" spans="1:6" ht="20.25" customHeight="1" x14ac:dyDescent="0.3">
      <c r="A83" s="256">
        <v>5</v>
      </c>
      <c r="B83" s="257" t="s">
        <v>381</v>
      </c>
      <c r="C83" s="260">
        <v>2</v>
      </c>
      <c r="D83" s="260">
        <v>1</v>
      </c>
      <c r="E83" s="260">
        <f t="shared" si="10"/>
        <v>-1</v>
      </c>
      <c r="F83" s="259">
        <f t="shared" si="11"/>
        <v>-0.5</v>
      </c>
    </row>
    <row r="84" spans="1:6" ht="20.25" customHeight="1" x14ac:dyDescent="0.3">
      <c r="A84" s="256">
        <v>6</v>
      </c>
      <c r="B84" s="257" t="s">
        <v>380</v>
      </c>
      <c r="C84" s="260">
        <v>12</v>
      </c>
      <c r="D84" s="260">
        <v>5</v>
      </c>
      <c r="E84" s="260">
        <f t="shared" si="10"/>
        <v>-7</v>
      </c>
      <c r="F84" s="259">
        <f t="shared" si="11"/>
        <v>-0.58333333333333337</v>
      </c>
    </row>
    <row r="85" spans="1:6" ht="20.25" customHeight="1" x14ac:dyDescent="0.3">
      <c r="A85" s="256">
        <v>7</v>
      </c>
      <c r="B85" s="257" t="s">
        <v>445</v>
      </c>
      <c r="C85" s="260">
        <v>49</v>
      </c>
      <c r="D85" s="260">
        <v>66</v>
      </c>
      <c r="E85" s="260">
        <f t="shared" si="10"/>
        <v>17</v>
      </c>
      <c r="F85" s="259">
        <f t="shared" si="11"/>
        <v>0.34693877551020408</v>
      </c>
    </row>
    <row r="86" spans="1:6" ht="20.25" customHeight="1" x14ac:dyDescent="0.3">
      <c r="A86" s="256">
        <v>8</v>
      </c>
      <c r="B86" s="257" t="s">
        <v>446</v>
      </c>
      <c r="C86" s="260">
        <v>9</v>
      </c>
      <c r="D86" s="260">
        <v>24</v>
      </c>
      <c r="E86" s="260">
        <f t="shared" si="10"/>
        <v>15</v>
      </c>
      <c r="F86" s="259">
        <f t="shared" si="11"/>
        <v>1.6666666666666667</v>
      </c>
    </row>
    <row r="87" spans="1:6" ht="20.25" customHeight="1" x14ac:dyDescent="0.3">
      <c r="A87" s="256">
        <v>9</v>
      </c>
      <c r="B87" s="257" t="s">
        <v>447</v>
      </c>
      <c r="C87" s="260">
        <v>2</v>
      </c>
      <c r="D87" s="260">
        <v>1</v>
      </c>
      <c r="E87" s="260">
        <f t="shared" si="10"/>
        <v>-1</v>
      </c>
      <c r="F87" s="259">
        <f t="shared" si="11"/>
        <v>-0.5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179204</v>
      </c>
      <c r="D88" s="263">
        <f>+D79+D81</f>
        <v>130362</v>
      </c>
      <c r="E88" s="263">
        <f t="shared" si="10"/>
        <v>-48842</v>
      </c>
      <c r="F88" s="264">
        <f t="shared" si="11"/>
        <v>-0.27254971987232429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58374</v>
      </c>
      <c r="D89" s="263">
        <f>+D80+D82</f>
        <v>27400</v>
      </c>
      <c r="E89" s="263">
        <f t="shared" si="10"/>
        <v>-30974</v>
      </c>
      <c r="F89" s="264">
        <f t="shared" si="11"/>
        <v>-0.5306129441189571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10984611</v>
      </c>
      <c r="D92" s="258">
        <v>8395877</v>
      </c>
      <c r="E92" s="258">
        <f t="shared" ref="E92:E102" si="12">D92-C92</f>
        <v>-2588734</v>
      </c>
      <c r="F92" s="259">
        <f t="shared" ref="F92:F102" si="13">IF(C92=0,0,E92/C92)</f>
        <v>-0.23566915569427083</v>
      </c>
    </row>
    <row r="93" spans="1:6" ht="20.25" customHeight="1" x14ac:dyDescent="0.3">
      <c r="A93" s="256">
        <v>2</v>
      </c>
      <c r="B93" s="257" t="s">
        <v>442</v>
      </c>
      <c r="C93" s="258">
        <v>4060742</v>
      </c>
      <c r="D93" s="258">
        <v>3284610</v>
      </c>
      <c r="E93" s="258">
        <f t="shared" si="12"/>
        <v>-776132</v>
      </c>
      <c r="F93" s="259">
        <f t="shared" si="13"/>
        <v>-0.19113058647902281</v>
      </c>
    </row>
    <row r="94" spans="1:6" ht="20.25" customHeight="1" x14ac:dyDescent="0.3">
      <c r="A94" s="256">
        <v>3</v>
      </c>
      <c r="B94" s="257" t="s">
        <v>443</v>
      </c>
      <c r="C94" s="258">
        <v>8792580</v>
      </c>
      <c r="D94" s="258">
        <v>10355065</v>
      </c>
      <c r="E94" s="258">
        <f t="shared" si="12"/>
        <v>1562485</v>
      </c>
      <c r="F94" s="259">
        <f t="shared" si="13"/>
        <v>0.17770495122023341</v>
      </c>
    </row>
    <row r="95" spans="1:6" ht="20.25" customHeight="1" x14ac:dyDescent="0.3">
      <c r="A95" s="256">
        <v>4</v>
      </c>
      <c r="B95" s="257" t="s">
        <v>444</v>
      </c>
      <c r="C95" s="258">
        <v>1843792</v>
      </c>
      <c r="D95" s="258">
        <v>2146359</v>
      </c>
      <c r="E95" s="258">
        <f t="shared" si="12"/>
        <v>302567</v>
      </c>
      <c r="F95" s="259">
        <f t="shared" si="13"/>
        <v>0.16410039744179386</v>
      </c>
    </row>
    <row r="96" spans="1:6" ht="20.25" customHeight="1" x14ac:dyDescent="0.3">
      <c r="A96" s="256">
        <v>5</v>
      </c>
      <c r="B96" s="257" t="s">
        <v>381</v>
      </c>
      <c r="C96" s="260">
        <v>335</v>
      </c>
      <c r="D96" s="260">
        <v>257</v>
      </c>
      <c r="E96" s="260">
        <f t="shared" si="12"/>
        <v>-78</v>
      </c>
      <c r="F96" s="259">
        <f t="shared" si="13"/>
        <v>-0.23283582089552238</v>
      </c>
    </row>
    <row r="97" spans="1:6" ht="20.25" customHeight="1" x14ac:dyDescent="0.3">
      <c r="A97" s="256">
        <v>6</v>
      </c>
      <c r="B97" s="257" t="s">
        <v>380</v>
      </c>
      <c r="C97" s="260">
        <v>1667</v>
      </c>
      <c r="D97" s="260">
        <v>1262</v>
      </c>
      <c r="E97" s="260">
        <f t="shared" si="12"/>
        <v>-405</v>
      </c>
      <c r="F97" s="259">
        <f t="shared" si="13"/>
        <v>-0.2429514097180564</v>
      </c>
    </row>
    <row r="98" spans="1:6" ht="20.25" customHeight="1" x14ac:dyDescent="0.3">
      <c r="A98" s="256">
        <v>7</v>
      </c>
      <c r="B98" s="257" t="s">
        <v>445</v>
      </c>
      <c r="C98" s="260">
        <v>4675</v>
      </c>
      <c r="D98" s="260">
        <v>5344</v>
      </c>
      <c r="E98" s="260">
        <f t="shared" si="12"/>
        <v>669</v>
      </c>
      <c r="F98" s="259">
        <f t="shared" si="13"/>
        <v>0.14310160427807486</v>
      </c>
    </row>
    <row r="99" spans="1:6" ht="20.25" customHeight="1" x14ac:dyDescent="0.3">
      <c r="A99" s="256">
        <v>8</v>
      </c>
      <c r="B99" s="257" t="s">
        <v>446</v>
      </c>
      <c r="C99" s="260">
        <v>564</v>
      </c>
      <c r="D99" s="260">
        <v>533</v>
      </c>
      <c r="E99" s="260">
        <f t="shared" si="12"/>
        <v>-31</v>
      </c>
      <c r="F99" s="259">
        <f t="shared" si="13"/>
        <v>-5.4964539007092202E-2</v>
      </c>
    </row>
    <row r="100" spans="1:6" ht="20.25" customHeight="1" x14ac:dyDescent="0.3">
      <c r="A100" s="256">
        <v>9</v>
      </c>
      <c r="B100" s="257" t="s">
        <v>447</v>
      </c>
      <c r="C100" s="260">
        <v>289</v>
      </c>
      <c r="D100" s="260">
        <v>211</v>
      </c>
      <c r="E100" s="260">
        <f t="shared" si="12"/>
        <v>-78</v>
      </c>
      <c r="F100" s="259">
        <f t="shared" si="13"/>
        <v>-0.26989619377162632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19777191</v>
      </c>
      <c r="D101" s="263">
        <f>+D92+D94</f>
        <v>18750942</v>
      </c>
      <c r="E101" s="263">
        <f t="shared" si="12"/>
        <v>-1026249</v>
      </c>
      <c r="F101" s="264">
        <f t="shared" si="13"/>
        <v>-5.1890533898368077E-2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5904534</v>
      </c>
      <c r="D102" s="263">
        <f>+D93+D95</f>
        <v>5430969</v>
      </c>
      <c r="E102" s="263">
        <f t="shared" si="12"/>
        <v>-473565</v>
      </c>
      <c r="F102" s="264">
        <f t="shared" si="13"/>
        <v>-8.0203619794551109E-2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7109268</v>
      </c>
      <c r="D105" s="258">
        <v>2519928</v>
      </c>
      <c r="E105" s="258">
        <f t="shared" ref="E105:E115" si="14">D105-C105</f>
        <v>-4589340</v>
      </c>
      <c r="F105" s="259">
        <f t="shared" ref="F105:F115" si="15">IF(C105=0,0,E105/C105)</f>
        <v>-0.64554325424220893</v>
      </c>
    </row>
    <row r="106" spans="1:6" ht="20.25" customHeight="1" x14ac:dyDescent="0.3">
      <c r="A106" s="256">
        <v>2</v>
      </c>
      <c r="B106" s="257" t="s">
        <v>442</v>
      </c>
      <c r="C106" s="258">
        <v>2621613</v>
      </c>
      <c r="D106" s="258">
        <v>1192027</v>
      </c>
      <c r="E106" s="258">
        <f t="shared" si="14"/>
        <v>-1429586</v>
      </c>
      <c r="F106" s="259">
        <f t="shared" si="15"/>
        <v>-0.54530779333181523</v>
      </c>
    </row>
    <row r="107" spans="1:6" ht="20.25" customHeight="1" x14ac:dyDescent="0.3">
      <c r="A107" s="256">
        <v>3</v>
      </c>
      <c r="B107" s="257" t="s">
        <v>443</v>
      </c>
      <c r="C107" s="258">
        <v>7163883</v>
      </c>
      <c r="D107" s="258">
        <v>2948399</v>
      </c>
      <c r="E107" s="258">
        <f t="shared" si="14"/>
        <v>-4215484</v>
      </c>
      <c r="F107" s="259">
        <f t="shared" si="15"/>
        <v>-0.58843562911342917</v>
      </c>
    </row>
    <row r="108" spans="1:6" ht="20.25" customHeight="1" x14ac:dyDescent="0.3">
      <c r="A108" s="256">
        <v>4</v>
      </c>
      <c r="B108" s="257" t="s">
        <v>444</v>
      </c>
      <c r="C108" s="258">
        <v>1341182</v>
      </c>
      <c r="D108" s="258">
        <v>491223</v>
      </c>
      <c r="E108" s="258">
        <f t="shared" si="14"/>
        <v>-849959</v>
      </c>
      <c r="F108" s="259">
        <f t="shared" si="15"/>
        <v>-0.63373874686656995</v>
      </c>
    </row>
    <row r="109" spans="1:6" ht="20.25" customHeight="1" x14ac:dyDescent="0.3">
      <c r="A109" s="256">
        <v>5</v>
      </c>
      <c r="B109" s="257" t="s">
        <v>381</v>
      </c>
      <c r="C109" s="260">
        <v>240</v>
      </c>
      <c r="D109" s="260">
        <v>80</v>
      </c>
      <c r="E109" s="260">
        <f t="shared" si="14"/>
        <v>-160</v>
      </c>
      <c r="F109" s="259">
        <f t="shared" si="15"/>
        <v>-0.66666666666666663</v>
      </c>
    </row>
    <row r="110" spans="1:6" ht="20.25" customHeight="1" x14ac:dyDescent="0.3">
      <c r="A110" s="256">
        <v>6</v>
      </c>
      <c r="B110" s="257" t="s">
        <v>380</v>
      </c>
      <c r="C110" s="260">
        <v>1142</v>
      </c>
      <c r="D110" s="260">
        <v>330</v>
      </c>
      <c r="E110" s="260">
        <f t="shared" si="14"/>
        <v>-812</v>
      </c>
      <c r="F110" s="259">
        <f t="shared" si="15"/>
        <v>-0.71103327495621715</v>
      </c>
    </row>
    <row r="111" spans="1:6" ht="20.25" customHeight="1" x14ac:dyDescent="0.3">
      <c r="A111" s="256">
        <v>7</v>
      </c>
      <c r="B111" s="257" t="s">
        <v>445</v>
      </c>
      <c r="C111" s="260">
        <v>3268</v>
      </c>
      <c r="D111" s="260">
        <v>1244</v>
      </c>
      <c r="E111" s="260">
        <f t="shared" si="14"/>
        <v>-2024</v>
      </c>
      <c r="F111" s="259">
        <f t="shared" si="15"/>
        <v>-0.61933904528763772</v>
      </c>
    </row>
    <row r="112" spans="1:6" ht="20.25" customHeight="1" x14ac:dyDescent="0.3">
      <c r="A112" s="256">
        <v>8</v>
      </c>
      <c r="B112" s="257" t="s">
        <v>446</v>
      </c>
      <c r="C112" s="260">
        <v>911</v>
      </c>
      <c r="D112" s="260">
        <v>312</v>
      </c>
      <c r="E112" s="260">
        <f t="shared" si="14"/>
        <v>-599</v>
      </c>
      <c r="F112" s="259">
        <f t="shared" si="15"/>
        <v>-0.65751920965971455</v>
      </c>
    </row>
    <row r="113" spans="1:6" ht="20.25" customHeight="1" x14ac:dyDescent="0.3">
      <c r="A113" s="256">
        <v>9</v>
      </c>
      <c r="B113" s="257" t="s">
        <v>447</v>
      </c>
      <c r="C113" s="260">
        <v>215</v>
      </c>
      <c r="D113" s="260">
        <v>64</v>
      </c>
      <c r="E113" s="260">
        <f t="shared" si="14"/>
        <v>-151</v>
      </c>
      <c r="F113" s="259">
        <f t="shared" si="15"/>
        <v>-0.70232558139534884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14273151</v>
      </c>
      <c r="D114" s="263">
        <f>+D105+D107</f>
        <v>5468327</v>
      </c>
      <c r="E114" s="263">
        <f t="shared" si="14"/>
        <v>-8804824</v>
      </c>
      <c r="F114" s="264">
        <f t="shared" si="15"/>
        <v>-0.61688018293928226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3962795</v>
      </c>
      <c r="D115" s="263">
        <f>+D106+D108</f>
        <v>1683250</v>
      </c>
      <c r="E115" s="263">
        <f t="shared" si="14"/>
        <v>-2279545</v>
      </c>
      <c r="F115" s="264">
        <f t="shared" si="15"/>
        <v>-0.57523667007755885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7708313</v>
      </c>
      <c r="D118" s="258">
        <v>8717839</v>
      </c>
      <c r="E118" s="258">
        <f t="shared" ref="E118:E128" si="16">D118-C118</f>
        <v>1009526</v>
      </c>
      <c r="F118" s="259">
        <f t="shared" ref="F118:F128" si="17">IF(C118=0,0,E118/C118)</f>
        <v>0.13096588060189046</v>
      </c>
    </row>
    <row r="119" spans="1:6" ht="20.25" customHeight="1" x14ac:dyDescent="0.3">
      <c r="A119" s="256">
        <v>2</v>
      </c>
      <c r="B119" s="257" t="s">
        <v>442</v>
      </c>
      <c r="C119" s="258">
        <v>2945158</v>
      </c>
      <c r="D119" s="258">
        <v>3156894</v>
      </c>
      <c r="E119" s="258">
        <f t="shared" si="16"/>
        <v>211736</v>
      </c>
      <c r="F119" s="259">
        <f t="shared" si="17"/>
        <v>7.1892917120235988E-2</v>
      </c>
    </row>
    <row r="120" spans="1:6" ht="20.25" customHeight="1" x14ac:dyDescent="0.3">
      <c r="A120" s="256">
        <v>3</v>
      </c>
      <c r="B120" s="257" t="s">
        <v>443</v>
      </c>
      <c r="C120" s="258">
        <v>8862644</v>
      </c>
      <c r="D120" s="258">
        <v>10242830</v>
      </c>
      <c r="E120" s="258">
        <f t="shared" si="16"/>
        <v>1380186</v>
      </c>
      <c r="F120" s="259">
        <f t="shared" si="17"/>
        <v>0.15573072776024852</v>
      </c>
    </row>
    <row r="121" spans="1:6" ht="20.25" customHeight="1" x14ac:dyDescent="0.3">
      <c r="A121" s="256">
        <v>4</v>
      </c>
      <c r="B121" s="257" t="s">
        <v>444</v>
      </c>
      <c r="C121" s="258">
        <v>1975756</v>
      </c>
      <c r="D121" s="258">
        <v>2271007</v>
      </c>
      <c r="E121" s="258">
        <f t="shared" si="16"/>
        <v>295251</v>
      </c>
      <c r="F121" s="259">
        <f t="shared" si="17"/>
        <v>0.14943697501108436</v>
      </c>
    </row>
    <row r="122" spans="1:6" ht="20.25" customHeight="1" x14ac:dyDescent="0.3">
      <c r="A122" s="256">
        <v>5</v>
      </c>
      <c r="B122" s="257" t="s">
        <v>381</v>
      </c>
      <c r="C122" s="260">
        <v>253</v>
      </c>
      <c r="D122" s="260">
        <v>247</v>
      </c>
      <c r="E122" s="260">
        <f t="shared" si="16"/>
        <v>-6</v>
      </c>
      <c r="F122" s="259">
        <f t="shared" si="17"/>
        <v>-2.3715415019762844E-2</v>
      </c>
    </row>
    <row r="123" spans="1:6" ht="20.25" customHeight="1" x14ac:dyDescent="0.3">
      <c r="A123" s="256">
        <v>6</v>
      </c>
      <c r="B123" s="257" t="s">
        <v>380</v>
      </c>
      <c r="C123" s="260">
        <v>1199</v>
      </c>
      <c r="D123" s="260">
        <v>1191</v>
      </c>
      <c r="E123" s="260">
        <f t="shared" si="16"/>
        <v>-8</v>
      </c>
      <c r="F123" s="259">
        <f t="shared" si="17"/>
        <v>-6.672226855713094E-3</v>
      </c>
    </row>
    <row r="124" spans="1:6" ht="20.25" customHeight="1" x14ac:dyDescent="0.3">
      <c r="A124" s="256">
        <v>7</v>
      </c>
      <c r="B124" s="257" t="s">
        <v>445</v>
      </c>
      <c r="C124" s="260">
        <v>4794</v>
      </c>
      <c r="D124" s="260">
        <v>5154</v>
      </c>
      <c r="E124" s="260">
        <f t="shared" si="16"/>
        <v>360</v>
      </c>
      <c r="F124" s="259">
        <f t="shared" si="17"/>
        <v>7.5093867334167716E-2</v>
      </c>
    </row>
    <row r="125" spans="1:6" ht="20.25" customHeight="1" x14ac:dyDescent="0.3">
      <c r="A125" s="256">
        <v>8</v>
      </c>
      <c r="B125" s="257" t="s">
        <v>446</v>
      </c>
      <c r="C125" s="260">
        <v>404</v>
      </c>
      <c r="D125" s="260">
        <v>392</v>
      </c>
      <c r="E125" s="260">
        <f t="shared" si="16"/>
        <v>-12</v>
      </c>
      <c r="F125" s="259">
        <f t="shared" si="17"/>
        <v>-2.9702970297029702E-2</v>
      </c>
    </row>
    <row r="126" spans="1:6" ht="20.25" customHeight="1" x14ac:dyDescent="0.3">
      <c r="A126" s="256">
        <v>9</v>
      </c>
      <c r="B126" s="257" t="s">
        <v>447</v>
      </c>
      <c r="C126" s="260">
        <v>213</v>
      </c>
      <c r="D126" s="260">
        <v>196</v>
      </c>
      <c r="E126" s="260">
        <f t="shared" si="16"/>
        <v>-17</v>
      </c>
      <c r="F126" s="259">
        <f t="shared" si="17"/>
        <v>-7.9812206572769953E-2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16570957</v>
      </c>
      <c r="D127" s="263">
        <f>+D118+D120</f>
        <v>18960669</v>
      </c>
      <c r="E127" s="263">
        <f t="shared" si="16"/>
        <v>2389712</v>
      </c>
      <c r="F127" s="264">
        <f t="shared" si="17"/>
        <v>0.14421086241428302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4920914</v>
      </c>
      <c r="D128" s="263">
        <f>+D119+D121</f>
        <v>5427901</v>
      </c>
      <c r="E128" s="263">
        <f t="shared" si="16"/>
        <v>506987</v>
      </c>
      <c r="F128" s="264">
        <f t="shared" si="17"/>
        <v>0.10302699864293503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0</v>
      </c>
      <c r="E131" s="258">
        <f t="shared" ref="E131:E141" si="18">D131-C131</f>
        <v>0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0</v>
      </c>
      <c r="E132" s="258">
        <f t="shared" si="18"/>
        <v>0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0</v>
      </c>
      <c r="D133" s="258">
        <v>0</v>
      </c>
      <c r="E133" s="258">
        <f t="shared" si="18"/>
        <v>0</v>
      </c>
      <c r="F133" s="259">
        <f t="shared" si="19"/>
        <v>0</v>
      </c>
    </row>
    <row r="134" spans="1:6" ht="20.25" customHeight="1" x14ac:dyDescent="0.3">
      <c r="A134" s="256">
        <v>4</v>
      </c>
      <c r="B134" s="257" t="s">
        <v>444</v>
      </c>
      <c r="C134" s="258">
        <v>0</v>
      </c>
      <c r="D134" s="258">
        <v>0</v>
      </c>
      <c r="E134" s="258">
        <f t="shared" si="18"/>
        <v>0</v>
      </c>
      <c r="F134" s="259">
        <f t="shared" si="19"/>
        <v>0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0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0</v>
      </c>
      <c r="E136" s="260">
        <f t="shared" si="18"/>
        <v>0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0</v>
      </c>
      <c r="D137" s="260">
        <v>0</v>
      </c>
      <c r="E137" s="260">
        <f t="shared" si="18"/>
        <v>0</v>
      </c>
      <c r="F137" s="259">
        <f t="shared" si="19"/>
        <v>0</v>
      </c>
    </row>
    <row r="138" spans="1:6" ht="20.25" customHeight="1" x14ac:dyDescent="0.3">
      <c r="A138" s="256">
        <v>8</v>
      </c>
      <c r="B138" s="257" t="s">
        <v>446</v>
      </c>
      <c r="C138" s="260">
        <v>0</v>
      </c>
      <c r="D138" s="260">
        <v>0</v>
      </c>
      <c r="E138" s="260">
        <f t="shared" si="18"/>
        <v>0</v>
      </c>
      <c r="F138" s="259">
        <f t="shared" si="19"/>
        <v>0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0</v>
      </c>
      <c r="D140" s="263">
        <f>+D131+D133</f>
        <v>0</v>
      </c>
      <c r="E140" s="263">
        <f t="shared" si="18"/>
        <v>0</v>
      </c>
      <c r="F140" s="264">
        <f t="shared" si="19"/>
        <v>0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0</v>
      </c>
      <c r="D141" s="263">
        <f>+D132+D134</f>
        <v>0</v>
      </c>
      <c r="E141" s="263">
        <f t="shared" si="18"/>
        <v>0</v>
      </c>
      <c r="F141" s="264">
        <f t="shared" si="19"/>
        <v>0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1" t="s">
        <v>44</v>
      </c>
      <c r="B195" s="802" t="s">
        <v>464</v>
      </c>
      <c r="C195" s="804"/>
      <c r="D195" s="805"/>
      <c r="E195" s="805"/>
      <c r="F195" s="806"/>
      <c r="G195" s="786"/>
      <c r="H195" s="786"/>
      <c r="I195" s="786"/>
    </row>
    <row r="196" spans="1:9" ht="20.25" customHeight="1" x14ac:dyDescent="0.3">
      <c r="A196" s="792"/>
      <c r="B196" s="803"/>
      <c r="C196" s="798"/>
      <c r="D196" s="799"/>
      <c r="E196" s="799"/>
      <c r="F196" s="800"/>
      <c r="G196" s="786"/>
      <c r="H196" s="786"/>
      <c r="I196" s="78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41567669</v>
      </c>
      <c r="D198" s="263">
        <f t="shared" si="28"/>
        <v>42007643</v>
      </c>
      <c r="E198" s="263">
        <f t="shared" ref="E198:E208" si="29">D198-C198</f>
        <v>439974</v>
      </c>
      <c r="F198" s="273">
        <f t="shared" ref="F198:F208" si="30">IF(C198=0,0,E198/C198)</f>
        <v>1.0584524236853406E-2</v>
      </c>
    </row>
    <row r="199" spans="1:9" ht="20.25" customHeight="1" x14ac:dyDescent="0.3">
      <c r="A199" s="271"/>
      <c r="B199" s="272" t="s">
        <v>466</v>
      </c>
      <c r="C199" s="263">
        <f t="shared" si="28"/>
        <v>15709499</v>
      </c>
      <c r="D199" s="263">
        <f t="shared" si="28"/>
        <v>16634657</v>
      </c>
      <c r="E199" s="263">
        <f t="shared" si="29"/>
        <v>925158</v>
      </c>
      <c r="F199" s="273">
        <f t="shared" si="30"/>
        <v>5.8891629834917081E-2</v>
      </c>
    </row>
    <row r="200" spans="1:9" ht="20.25" customHeight="1" x14ac:dyDescent="0.3">
      <c r="A200" s="271"/>
      <c r="B200" s="272" t="s">
        <v>467</v>
      </c>
      <c r="C200" s="263">
        <f t="shared" si="28"/>
        <v>39168995</v>
      </c>
      <c r="D200" s="263">
        <f t="shared" si="28"/>
        <v>47321205</v>
      </c>
      <c r="E200" s="263">
        <f t="shared" si="29"/>
        <v>8152210</v>
      </c>
      <c r="F200" s="273">
        <f t="shared" si="30"/>
        <v>0.20812915930061518</v>
      </c>
    </row>
    <row r="201" spans="1:9" ht="20.25" customHeight="1" x14ac:dyDescent="0.3">
      <c r="A201" s="271"/>
      <c r="B201" s="272" t="s">
        <v>468</v>
      </c>
      <c r="C201" s="263">
        <f t="shared" si="28"/>
        <v>8212993</v>
      </c>
      <c r="D201" s="263">
        <f t="shared" si="28"/>
        <v>9575776</v>
      </c>
      <c r="E201" s="263">
        <f t="shared" si="29"/>
        <v>1362783</v>
      </c>
      <c r="F201" s="273">
        <f t="shared" si="30"/>
        <v>0.16593013046522748</v>
      </c>
    </row>
    <row r="202" spans="1:9" ht="20.25" customHeight="1" x14ac:dyDescent="0.3">
      <c r="A202" s="271"/>
      <c r="B202" s="272" t="s">
        <v>138</v>
      </c>
      <c r="C202" s="274">
        <f t="shared" si="28"/>
        <v>1311</v>
      </c>
      <c r="D202" s="274">
        <f t="shared" si="28"/>
        <v>1264</v>
      </c>
      <c r="E202" s="274">
        <f t="shared" si="29"/>
        <v>-47</v>
      </c>
      <c r="F202" s="273">
        <f t="shared" si="30"/>
        <v>-3.5850495804729217E-2</v>
      </c>
    </row>
    <row r="203" spans="1:9" ht="20.25" customHeight="1" x14ac:dyDescent="0.3">
      <c r="A203" s="271"/>
      <c r="B203" s="272" t="s">
        <v>140</v>
      </c>
      <c r="C203" s="274">
        <f t="shared" si="28"/>
        <v>6327</v>
      </c>
      <c r="D203" s="274">
        <f t="shared" si="28"/>
        <v>5851</v>
      </c>
      <c r="E203" s="274">
        <f t="shared" si="29"/>
        <v>-476</v>
      </c>
      <c r="F203" s="273">
        <f t="shared" si="30"/>
        <v>-7.5233127864706817E-2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20887</v>
      </c>
      <c r="D204" s="274">
        <f t="shared" si="28"/>
        <v>24004</v>
      </c>
      <c r="E204" s="274">
        <f t="shared" si="29"/>
        <v>3117</v>
      </c>
      <c r="F204" s="273">
        <f t="shared" si="30"/>
        <v>0.14923157945133336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2581</v>
      </c>
      <c r="D205" s="274">
        <f t="shared" si="28"/>
        <v>2786</v>
      </c>
      <c r="E205" s="274">
        <f t="shared" si="29"/>
        <v>205</v>
      </c>
      <c r="F205" s="273">
        <f t="shared" si="30"/>
        <v>7.9426578845408755E-2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1132</v>
      </c>
      <c r="D206" s="274">
        <f t="shared" si="28"/>
        <v>1014</v>
      </c>
      <c r="E206" s="274">
        <f t="shared" si="29"/>
        <v>-118</v>
      </c>
      <c r="F206" s="273">
        <f t="shared" si="30"/>
        <v>-0.10424028268551237</v>
      </c>
    </row>
    <row r="207" spans="1:9" ht="20.25" customHeight="1" x14ac:dyDescent="0.3">
      <c r="A207" s="271"/>
      <c r="B207" s="262" t="s">
        <v>471</v>
      </c>
      <c r="C207" s="263">
        <f>+C198+C200</f>
        <v>80736664</v>
      </c>
      <c r="D207" s="263">
        <f>+D198+D200</f>
        <v>89328848</v>
      </c>
      <c r="E207" s="263">
        <f t="shared" si="29"/>
        <v>8592184</v>
      </c>
      <c r="F207" s="273">
        <f t="shared" si="30"/>
        <v>0.10642233124717662</v>
      </c>
    </row>
    <row r="208" spans="1:9" ht="20.25" customHeight="1" x14ac:dyDescent="0.3">
      <c r="A208" s="271"/>
      <c r="B208" s="262" t="s">
        <v>472</v>
      </c>
      <c r="C208" s="263">
        <f>+C199+C201</f>
        <v>23922492</v>
      </c>
      <c r="D208" s="263">
        <f>+D199+D201</f>
        <v>26210433</v>
      </c>
      <c r="E208" s="263">
        <f t="shared" si="29"/>
        <v>2287941</v>
      </c>
      <c r="F208" s="273">
        <f t="shared" si="30"/>
        <v>9.5639743551800535E-2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rintOptions gridLines="1"/>
  <pageMargins left="0.25" right="0.25" top="0.75" bottom="0.75" header="0.3" footer="0.3"/>
  <pageSetup scale="57" fitToHeight="0" orientation="portrait" horizontalDpi="1200" verticalDpi="1200" r:id="rId1"/>
  <headerFooter>
    <oddHeader>&amp;LOFFICE OF HEALTH CARE ACCESS&amp;CTWELVE MONTHS ACTUAL FILING&amp;RSAINT MARY`S HOSPITAL</oddHeader>
    <oddFooter>&amp;LREPORT 100&amp;CPAGE &amp;P of &amp;N&amp;R&amp;D, 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tabSelected="1" zoomScale="70" workbookViewId="0">
      <selection activeCell="H56" sqref="H56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4" width="24.140625" style="235" customWidth="1"/>
    <col min="5" max="5" width="21.42578125" style="235" bestFit="1" customWidth="1"/>
    <col min="6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314</v>
      </c>
      <c r="B4" s="787"/>
      <c r="C4" s="787"/>
      <c r="D4" s="787"/>
      <c r="E4" s="787"/>
      <c r="F4" s="787"/>
    </row>
    <row r="5" spans="1:7" ht="20.25" customHeight="1" x14ac:dyDescent="0.3">
      <c r="A5" s="787" t="s">
        <v>473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1" t="s">
        <v>12</v>
      </c>
      <c r="B10" s="802" t="s">
        <v>116</v>
      </c>
      <c r="C10" s="804"/>
      <c r="D10" s="805"/>
      <c r="E10" s="805"/>
      <c r="F10" s="806"/>
    </row>
    <row r="11" spans="1:7" ht="20.25" customHeight="1" x14ac:dyDescent="0.3">
      <c r="A11" s="792"/>
      <c r="B11" s="803"/>
      <c r="C11" s="798"/>
      <c r="D11" s="799"/>
      <c r="E11" s="799"/>
      <c r="F11" s="800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801" t="s">
        <v>44</v>
      </c>
      <c r="B109" s="802" t="s">
        <v>490</v>
      </c>
      <c r="C109" s="804"/>
      <c r="D109" s="805"/>
      <c r="E109" s="805"/>
      <c r="F109" s="806"/>
      <c r="G109" s="245"/>
    </row>
    <row r="110" spans="1:7" ht="20.25" customHeight="1" x14ac:dyDescent="0.3">
      <c r="A110" s="792"/>
      <c r="B110" s="803"/>
      <c r="C110" s="798"/>
      <c r="D110" s="799"/>
      <c r="E110" s="799"/>
      <c r="F110" s="800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rintOptions gridLines="1"/>
  <pageMargins left="0.25" right="0.25" top="0.75" bottom="0.75" header="0.3" footer="0.3"/>
  <pageSetup scale="58" fitToHeight="0" orientation="portrait" horizontalDpi="1200" verticalDpi="1200" r:id="rId1"/>
  <headerFooter>
    <oddHeader>&amp;LOFFICE OF HEALTH CARE ACCESS&amp;CTWELVE MONTHS ACTUAL FILING&amp;RSAINT MARY`S HOSPITAL</oddHeader>
    <oddFooter>&amp;LREPORT 100&amp;CPAGE &amp;P of &amp;N&amp;R&amp;D, 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activeCell="H56" sqref="H56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17.42578125" style="327" bestFit="1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15091000</v>
      </c>
      <c r="D13" s="22">
        <v>72316000</v>
      </c>
      <c r="E13" s="22">
        <f t="shared" ref="E13:E22" si="0">D13-C13</f>
        <v>57225000</v>
      </c>
      <c r="F13" s="306">
        <f t="shared" ref="F13:F22" si="1">IF(C13=0,0,E13/C13)</f>
        <v>3.7919952289444039</v>
      </c>
    </row>
    <row r="14" spans="1:8" ht="24" customHeight="1" x14ac:dyDescent="0.2">
      <c r="A14" s="304">
        <v>2</v>
      </c>
      <c r="B14" s="305" t="s">
        <v>17</v>
      </c>
      <c r="C14" s="22">
        <v>17000</v>
      </c>
      <c r="D14" s="22">
        <v>49401000</v>
      </c>
      <c r="E14" s="22">
        <f t="shared" si="0"/>
        <v>49384000</v>
      </c>
      <c r="F14" s="306">
        <f t="shared" si="1"/>
        <v>2904.9411764705883</v>
      </c>
    </row>
    <row r="15" spans="1:8" ht="35.1" customHeight="1" x14ac:dyDescent="0.2">
      <c r="A15" s="304">
        <v>3</v>
      </c>
      <c r="B15" s="305" t="s">
        <v>18</v>
      </c>
      <c r="C15" s="22">
        <v>32905000</v>
      </c>
      <c r="D15" s="22">
        <v>124168000</v>
      </c>
      <c r="E15" s="22">
        <f t="shared" si="0"/>
        <v>91263000</v>
      </c>
      <c r="F15" s="306">
        <f t="shared" si="1"/>
        <v>2.7735298586840904</v>
      </c>
    </row>
    <row r="16" spans="1:8" ht="35.1" customHeight="1" x14ac:dyDescent="0.2">
      <c r="A16" s="304">
        <v>4</v>
      </c>
      <c r="B16" s="305" t="s">
        <v>19</v>
      </c>
      <c r="C16" s="22">
        <v>3418000</v>
      </c>
      <c r="D16" s="22">
        <v>5754000</v>
      </c>
      <c r="E16" s="22">
        <f t="shared" si="0"/>
        <v>2336000</v>
      </c>
      <c r="F16" s="306">
        <f t="shared" si="1"/>
        <v>0.68344060854300759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3147000</v>
      </c>
      <c r="E17" s="22">
        <f t="shared" si="0"/>
        <v>3147000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5513000</v>
      </c>
      <c r="E18" s="22">
        <f t="shared" si="0"/>
        <v>5513000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3701000</v>
      </c>
      <c r="D19" s="22">
        <v>14316000</v>
      </c>
      <c r="E19" s="22">
        <f t="shared" si="0"/>
        <v>10615000</v>
      </c>
      <c r="F19" s="306">
        <f t="shared" si="1"/>
        <v>2.8681437449338016</v>
      </c>
    </row>
    <row r="20" spans="1:11" ht="24" customHeight="1" x14ac:dyDescent="0.2">
      <c r="A20" s="304">
        <v>8</v>
      </c>
      <c r="B20" s="305" t="s">
        <v>23</v>
      </c>
      <c r="C20" s="22">
        <v>3300000</v>
      </c>
      <c r="D20" s="22">
        <v>8569000</v>
      </c>
      <c r="E20" s="22">
        <f t="shared" si="0"/>
        <v>5269000</v>
      </c>
      <c r="F20" s="306">
        <f t="shared" si="1"/>
        <v>1.5966666666666667</v>
      </c>
    </row>
    <row r="21" spans="1:11" ht="24" customHeight="1" x14ac:dyDescent="0.2">
      <c r="A21" s="304">
        <v>9</v>
      </c>
      <c r="B21" s="305" t="s">
        <v>24</v>
      </c>
      <c r="C21" s="22">
        <v>4618000</v>
      </c>
      <c r="D21" s="22">
        <v>13155000</v>
      </c>
      <c r="E21" s="22">
        <f t="shared" si="0"/>
        <v>8537000</v>
      </c>
      <c r="F21" s="306">
        <f t="shared" si="1"/>
        <v>1.8486357730619316</v>
      </c>
    </row>
    <row r="22" spans="1:11" ht="24" customHeight="1" x14ac:dyDescent="0.25">
      <c r="A22" s="307"/>
      <c r="B22" s="308" t="s">
        <v>25</v>
      </c>
      <c r="C22" s="309">
        <f>SUM(C13:C21)</f>
        <v>63050000</v>
      </c>
      <c r="D22" s="309">
        <f>SUM(D13:D21)</f>
        <v>296339000</v>
      </c>
      <c r="E22" s="309">
        <f t="shared" si="0"/>
        <v>233289000</v>
      </c>
      <c r="F22" s="310">
        <f t="shared" si="1"/>
        <v>3.7000634417129263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14764000</v>
      </c>
      <c r="D25" s="22">
        <v>0</v>
      </c>
      <c r="E25" s="22">
        <f>D25-C25</f>
        <v>-14764000</v>
      </c>
      <c r="F25" s="306">
        <f>IF(C25=0,0,E25/C25)</f>
        <v>-1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139813000</v>
      </c>
      <c r="E26" s="22">
        <f>D26-C26</f>
        <v>139813000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43057000</v>
      </c>
      <c r="D28" s="22">
        <v>24717000</v>
      </c>
      <c r="E28" s="22">
        <f>D28-C28</f>
        <v>-18340000</v>
      </c>
      <c r="F28" s="306">
        <f>IF(C28=0,0,E28/C28)</f>
        <v>-0.42594700048772555</v>
      </c>
    </row>
    <row r="29" spans="1:11" ht="35.1" customHeight="1" x14ac:dyDescent="0.25">
      <c r="A29" s="307"/>
      <c r="B29" s="308" t="s">
        <v>32</v>
      </c>
      <c r="C29" s="309">
        <f>SUM(C25:C28)</f>
        <v>57821000</v>
      </c>
      <c r="D29" s="309">
        <f>SUM(D25:D28)</f>
        <v>164530000</v>
      </c>
      <c r="E29" s="309">
        <f>D29-C29</f>
        <v>106709000</v>
      </c>
      <c r="F29" s="310">
        <f>IF(C29=0,0,E29/C29)</f>
        <v>1.8455059580429256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4244000</v>
      </c>
      <c r="D32" s="22">
        <v>52748000</v>
      </c>
      <c r="E32" s="22">
        <f>D32-C32</f>
        <v>48504000</v>
      </c>
      <c r="F32" s="306">
        <f>IF(C32=0,0,E32/C32)</f>
        <v>11.428840716305372</v>
      </c>
    </row>
    <row r="33" spans="1:8" ht="24" customHeight="1" x14ac:dyDescent="0.2">
      <c r="A33" s="304">
        <v>7</v>
      </c>
      <c r="B33" s="305" t="s">
        <v>35</v>
      </c>
      <c r="C33" s="22">
        <v>11454000</v>
      </c>
      <c r="D33" s="22">
        <v>18518000</v>
      </c>
      <c r="E33" s="22">
        <f>D33-C33</f>
        <v>7064000</v>
      </c>
      <c r="F33" s="306">
        <f>IF(C33=0,0,E33/C33)</f>
        <v>0.6167277806879693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219963000</v>
      </c>
      <c r="D36" s="22">
        <v>551097000</v>
      </c>
      <c r="E36" s="22">
        <f>D36-C36</f>
        <v>331134000</v>
      </c>
      <c r="F36" s="306">
        <f>IF(C36=0,0,E36/C36)</f>
        <v>1.5054077276632889</v>
      </c>
    </row>
    <row r="37" spans="1:8" ht="24" customHeight="1" x14ac:dyDescent="0.2">
      <c r="A37" s="304">
        <v>2</v>
      </c>
      <c r="B37" s="305" t="s">
        <v>39</v>
      </c>
      <c r="C37" s="22">
        <v>149672000</v>
      </c>
      <c r="D37" s="22">
        <v>49168000</v>
      </c>
      <c r="E37" s="22">
        <f>D37-C37</f>
        <v>-100504000</v>
      </c>
      <c r="F37" s="22">
        <f>IF(C37=0,0,E37/C37)</f>
        <v>-0.6714950024052595</v>
      </c>
    </row>
    <row r="38" spans="1:8" ht="24" customHeight="1" x14ac:dyDescent="0.25">
      <c r="A38" s="307"/>
      <c r="B38" s="308" t="s">
        <v>40</v>
      </c>
      <c r="C38" s="309">
        <f>C36-C37</f>
        <v>70291000</v>
      </c>
      <c r="D38" s="309">
        <f>D36-D37</f>
        <v>501929000</v>
      </c>
      <c r="E38" s="309">
        <f>D38-C38</f>
        <v>431638000</v>
      </c>
      <c r="F38" s="310">
        <f>IF(C38=0,0,E38/C38)</f>
        <v>6.1407292541008092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0</v>
      </c>
      <c r="D40" s="22">
        <v>23674000</v>
      </c>
      <c r="E40" s="22">
        <f>D40-C40</f>
        <v>23674000</v>
      </c>
      <c r="F40" s="306">
        <f>IF(C40=0,0,E40/C40)</f>
        <v>0</v>
      </c>
    </row>
    <row r="41" spans="1:8" ht="24" customHeight="1" x14ac:dyDescent="0.25">
      <c r="A41" s="307"/>
      <c r="B41" s="308" t="s">
        <v>42</v>
      </c>
      <c r="C41" s="309">
        <f>+C38+C40</f>
        <v>70291000</v>
      </c>
      <c r="D41" s="309">
        <f>+D38+D40</f>
        <v>525603000</v>
      </c>
      <c r="E41" s="309">
        <f>D41-C41</f>
        <v>455312000</v>
      </c>
      <c r="F41" s="310">
        <f>IF(C41=0,0,E41/C41)</f>
        <v>6.4775291289069727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206860000</v>
      </c>
      <c r="D43" s="309">
        <f>D22+D29+D31+D32+D33+D41</f>
        <v>1057738000</v>
      </c>
      <c r="E43" s="309">
        <f>D43-C43</f>
        <v>850878000</v>
      </c>
      <c r="F43" s="310">
        <f>IF(C43=0,0,E43/C43)</f>
        <v>4.1133036836507779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22665000</v>
      </c>
      <c r="D49" s="22">
        <v>68313000</v>
      </c>
      <c r="E49" s="22">
        <f t="shared" ref="E49:E56" si="2">D49-C49</f>
        <v>45648000</v>
      </c>
      <c r="F49" s="306">
        <f t="shared" ref="F49:F56" si="3">IF(C49=0,0,E49/C49)</f>
        <v>2.0140304434149572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6002000</v>
      </c>
      <c r="D50" s="22">
        <v>75613000</v>
      </c>
      <c r="E50" s="22">
        <f t="shared" si="2"/>
        <v>69611000</v>
      </c>
      <c r="F50" s="306">
        <f t="shared" si="3"/>
        <v>11.597967344218594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727000</v>
      </c>
      <c r="D51" s="22">
        <v>15903000</v>
      </c>
      <c r="E51" s="22">
        <f t="shared" si="2"/>
        <v>15176000</v>
      </c>
      <c r="F51" s="306">
        <f t="shared" si="3"/>
        <v>20.874828060522695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3409000</v>
      </c>
      <c r="D53" s="22">
        <v>7821000</v>
      </c>
      <c r="E53" s="22">
        <f t="shared" si="2"/>
        <v>4412000</v>
      </c>
      <c r="F53" s="306">
        <f t="shared" si="3"/>
        <v>1.2942211792314462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12980000</v>
      </c>
      <c r="D55" s="22">
        <v>11999000</v>
      </c>
      <c r="E55" s="22">
        <f t="shared" si="2"/>
        <v>-981000</v>
      </c>
      <c r="F55" s="306">
        <f t="shared" si="3"/>
        <v>-7.5577812018489982E-2</v>
      </c>
    </row>
    <row r="56" spans="1:6" ht="24" customHeight="1" x14ac:dyDescent="0.25">
      <c r="A56" s="307"/>
      <c r="B56" s="308" t="s">
        <v>54</v>
      </c>
      <c r="C56" s="309">
        <f>SUM(C49:C55)</f>
        <v>45783000</v>
      </c>
      <c r="D56" s="309">
        <f>SUM(D49:D55)</f>
        <v>179649000</v>
      </c>
      <c r="E56" s="309">
        <f t="shared" si="2"/>
        <v>133866000</v>
      </c>
      <c r="F56" s="310">
        <f t="shared" si="3"/>
        <v>2.9239237271476313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0</v>
      </c>
      <c r="D59" s="22">
        <v>256156000</v>
      </c>
      <c r="E59" s="22">
        <f>D59-C59</f>
        <v>256156000</v>
      </c>
      <c r="F59" s="306">
        <f>IF(C59=0,0,E59/C59)</f>
        <v>0</v>
      </c>
    </row>
    <row r="60" spans="1:6" ht="24" customHeight="1" x14ac:dyDescent="0.2">
      <c r="A60" s="304">
        <v>2</v>
      </c>
      <c r="B60" s="305" t="s">
        <v>57</v>
      </c>
      <c r="C60" s="22">
        <v>11018000</v>
      </c>
      <c r="D60" s="22">
        <v>0</v>
      </c>
      <c r="E60" s="22">
        <f>D60-C60</f>
        <v>-11018000</v>
      </c>
      <c r="F60" s="306">
        <f>IF(C60=0,0,E60/C60)</f>
        <v>-1</v>
      </c>
    </row>
    <row r="61" spans="1:6" ht="24" customHeight="1" x14ac:dyDescent="0.25">
      <c r="A61" s="307"/>
      <c r="B61" s="308" t="s">
        <v>58</v>
      </c>
      <c r="C61" s="309">
        <f>SUM(C59:C60)</f>
        <v>11018000</v>
      </c>
      <c r="D61" s="309">
        <f>SUM(D59:D60)</f>
        <v>256156000</v>
      </c>
      <c r="E61" s="309">
        <f>D61-C61</f>
        <v>245138000</v>
      </c>
      <c r="F61" s="310">
        <f>IF(C61=0,0,E61/C61)</f>
        <v>22.248865492829914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74894000</v>
      </c>
      <c r="D63" s="22">
        <v>314044000</v>
      </c>
      <c r="E63" s="22">
        <f>D63-C63</f>
        <v>239150000</v>
      </c>
      <c r="F63" s="306">
        <f>IF(C63=0,0,E63/C63)</f>
        <v>3.1931796939674739</v>
      </c>
    </row>
    <row r="64" spans="1:6" ht="24" customHeight="1" x14ac:dyDescent="0.2">
      <c r="A64" s="304">
        <v>4</v>
      </c>
      <c r="B64" s="305" t="s">
        <v>60</v>
      </c>
      <c r="C64" s="22">
        <v>24062000</v>
      </c>
      <c r="D64" s="22">
        <v>79162000</v>
      </c>
      <c r="E64" s="22">
        <f>D64-C64</f>
        <v>55100000</v>
      </c>
      <c r="F64" s="306">
        <f>IF(C64=0,0,E64/C64)</f>
        <v>2.2899177125758459</v>
      </c>
    </row>
    <row r="65" spans="1:6" ht="24" customHeight="1" x14ac:dyDescent="0.25">
      <c r="A65" s="307"/>
      <c r="B65" s="308" t="s">
        <v>61</v>
      </c>
      <c r="C65" s="309">
        <f>SUM(C61:C64)</f>
        <v>109974000</v>
      </c>
      <c r="D65" s="309">
        <f>SUM(D61:D64)</f>
        <v>649362000</v>
      </c>
      <c r="E65" s="309">
        <f>D65-C65</f>
        <v>539388000</v>
      </c>
      <c r="F65" s="310">
        <f>IF(C65=0,0,E65/C65)</f>
        <v>4.9046865622783571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955000</v>
      </c>
      <c r="D67" s="22">
        <v>0</v>
      </c>
      <c r="E67" s="22">
        <f>D67-C67</f>
        <v>-955000</v>
      </c>
      <c r="F67" s="321">
        <f>IF(C67=0,0,E67/C67)</f>
        <v>-1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32395000</v>
      </c>
      <c r="D70" s="22">
        <v>123226000</v>
      </c>
      <c r="E70" s="22">
        <f>D70-C70</f>
        <v>90831000</v>
      </c>
      <c r="F70" s="306">
        <f>IF(C70=0,0,E70/C70)</f>
        <v>2.8038586201574316</v>
      </c>
    </row>
    <row r="71" spans="1:6" ht="24" customHeight="1" x14ac:dyDescent="0.2">
      <c r="A71" s="304">
        <v>2</v>
      </c>
      <c r="B71" s="305" t="s">
        <v>65</v>
      </c>
      <c r="C71" s="22">
        <v>1922000</v>
      </c>
      <c r="D71" s="22">
        <v>33642000</v>
      </c>
      <c r="E71" s="22">
        <f>D71-C71</f>
        <v>31720000</v>
      </c>
      <c r="F71" s="306">
        <f>IF(C71=0,0,E71/C71)</f>
        <v>16.503642039542143</v>
      </c>
    </row>
    <row r="72" spans="1:6" ht="24" customHeight="1" x14ac:dyDescent="0.2">
      <c r="A72" s="304">
        <v>3</v>
      </c>
      <c r="B72" s="305" t="s">
        <v>66</v>
      </c>
      <c r="C72" s="22">
        <v>15831000</v>
      </c>
      <c r="D72" s="22">
        <v>71859000</v>
      </c>
      <c r="E72" s="22">
        <f>D72-C72</f>
        <v>56028000</v>
      </c>
      <c r="F72" s="306">
        <f>IF(C72=0,0,E72/C72)</f>
        <v>3.5391320826227024</v>
      </c>
    </row>
    <row r="73" spans="1:6" ht="24" customHeight="1" x14ac:dyDescent="0.25">
      <c r="A73" s="304"/>
      <c r="B73" s="308" t="s">
        <v>67</v>
      </c>
      <c r="C73" s="309">
        <f>SUM(C70:C72)</f>
        <v>50148000</v>
      </c>
      <c r="D73" s="309">
        <f>SUM(D70:D72)</f>
        <v>228727000</v>
      </c>
      <c r="E73" s="309">
        <f>D73-C73</f>
        <v>178579000</v>
      </c>
      <c r="F73" s="310">
        <f>IF(C73=0,0,E73/C73)</f>
        <v>3.5610393236021376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206860000</v>
      </c>
      <c r="D75" s="309">
        <f>D56+D65+D67+D73</f>
        <v>1057738000</v>
      </c>
      <c r="E75" s="309">
        <f>D75-C75</f>
        <v>850878000</v>
      </c>
      <c r="F75" s="310">
        <f>IF(C75=0,0,E75/C75)</f>
        <v>4.1133036836507779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75" bottom="0.75" header="0.3" footer="0.3"/>
  <pageSetup scale="73" fitToHeight="0" orientation="portrait" horizontalDpi="1200" verticalDpi="1200" r:id="rId1"/>
  <headerFooter>
    <oddHeader>&amp;LOFFICE OF HEALTH CARE ACCESS&amp;CTWELVE MONTHS ACTUAL FILING&amp;RSAINT MARY`S HOSPITAL</oddHeader>
    <oddFooter>&amp;LREPORT 100&amp;CPAGE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tabSelected="1" zoomScale="75" zoomScaleSheetLayoutView="75" workbookViewId="0">
      <selection activeCell="H56" sqref="H56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5" width="16.42578125" style="225" bestFit="1" customWidth="1"/>
    <col min="6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832217000</v>
      </c>
      <c r="D11" s="76">
        <v>763437000</v>
      </c>
      <c r="E11" s="76">
        <f t="shared" ref="E11:E20" si="0">D11-C11</f>
        <v>-68780000</v>
      </c>
      <c r="F11" s="77">
        <f t="shared" ref="F11:F20" si="1">IF(C11=0,0,E11/C11)</f>
        <v>-8.2646713537454772E-2</v>
      </c>
    </row>
    <row r="12" spans="1:7" ht="23.1" customHeight="1" x14ac:dyDescent="0.2">
      <c r="A12" s="74">
        <v>2</v>
      </c>
      <c r="B12" s="75" t="s">
        <v>72</v>
      </c>
      <c r="C12" s="76">
        <v>536081000</v>
      </c>
      <c r="D12" s="76">
        <v>492276000</v>
      </c>
      <c r="E12" s="76">
        <f t="shared" si="0"/>
        <v>-43805000</v>
      </c>
      <c r="F12" s="77">
        <f t="shared" si="1"/>
        <v>-8.1713397788766989E-2</v>
      </c>
    </row>
    <row r="13" spans="1:7" ht="23.1" customHeight="1" x14ac:dyDescent="0.2">
      <c r="A13" s="74">
        <v>3</v>
      </c>
      <c r="B13" s="75" t="s">
        <v>73</v>
      </c>
      <c r="C13" s="76">
        <v>1072000</v>
      </c>
      <c r="D13" s="76">
        <v>6950000</v>
      </c>
      <c r="E13" s="76">
        <f t="shared" si="0"/>
        <v>5878000</v>
      </c>
      <c r="F13" s="77">
        <f t="shared" si="1"/>
        <v>5.4832089552238807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295064000</v>
      </c>
      <c r="D15" s="79">
        <f>D11-D12-D13-D14</f>
        <v>264211000</v>
      </c>
      <c r="E15" s="79">
        <f t="shared" si="0"/>
        <v>-30853000</v>
      </c>
      <c r="F15" s="80">
        <f t="shared" si="1"/>
        <v>-0.10456375565978906</v>
      </c>
    </row>
    <row r="16" spans="1:7" ht="23.1" customHeight="1" x14ac:dyDescent="0.2">
      <c r="A16" s="74">
        <v>5</v>
      </c>
      <c r="B16" s="75" t="s">
        <v>76</v>
      </c>
      <c r="C16" s="76">
        <v>9675000</v>
      </c>
      <c r="D16" s="76">
        <v>7524000</v>
      </c>
      <c r="E16" s="76">
        <f t="shared" si="0"/>
        <v>-2151000</v>
      </c>
      <c r="F16" s="77">
        <f t="shared" si="1"/>
        <v>-0.22232558139534883</v>
      </c>
      <c r="G16" s="65"/>
    </row>
    <row r="17" spans="1:7" ht="31.5" customHeight="1" x14ac:dyDescent="0.25">
      <c r="A17" s="71"/>
      <c r="B17" s="81" t="s">
        <v>77</v>
      </c>
      <c r="C17" s="79">
        <f>C15-C16</f>
        <v>285389000</v>
      </c>
      <c r="D17" s="79">
        <f>D15-D16</f>
        <v>256687000</v>
      </c>
      <c r="E17" s="79">
        <f t="shared" si="0"/>
        <v>-28702000</v>
      </c>
      <c r="F17" s="80">
        <f t="shared" si="1"/>
        <v>-0.100571500653494</v>
      </c>
    </row>
    <row r="18" spans="1:7" ht="23.1" customHeight="1" x14ac:dyDescent="0.2">
      <c r="A18" s="74">
        <v>6</v>
      </c>
      <c r="B18" s="75" t="s">
        <v>78</v>
      </c>
      <c r="C18" s="76">
        <v>10072000</v>
      </c>
      <c r="D18" s="76">
        <v>9039000</v>
      </c>
      <c r="E18" s="76">
        <f t="shared" si="0"/>
        <v>-1033000</v>
      </c>
      <c r="F18" s="77">
        <f t="shared" si="1"/>
        <v>-0.10256155679110406</v>
      </c>
      <c r="G18" s="65"/>
    </row>
    <row r="19" spans="1:7" ht="33" customHeight="1" x14ac:dyDescent="0.2">
      <c r="A19" s="74">
        <v>7</v>
      </c>
      <c r="B19" s="82" t="s">
        <v>79</v>
      </c>
      <c r="C19" s="76">
        <v>0</v>
      </c>
      <c r="D19" s="76">
        <v>0</v>
      </c>
      <c r="E19" s="76">
        <f t="shared" si="0"/>
        <v>0</v>
      </c>
      <c r="F19" s="77">
        <f t="shared" si="1"/>
        <v>0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295461000</v>
      </c>
      <c r="D20" s="79">
        <f>SUM(D17:D19)</f>
        <v>265726000</v>
      </c>
      <c r="E20" s="79">
        <f t="shared" si="0"/>
        <v>-29735000</v>
      </c>
      <c r="F20" s="80">
        <f t="shared" si="1"/>
        <v>-0.10063933987903649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123197000</v>
      </c>
      <c r="D23" s="76">
        <v>110216000</v>
      </c>
      <c r="E23" s="76">
        <f t="shared" ref="E23:E32" si="2">D23-C23</f>
        <v>-12981000</v>
      </c>
      <c r="F23" s="77">
        <f t="shared" ref="F23:F32" si="3">IF(C23=0,0,E23/C23)</f>
        <v>-0.1053678255152317</v>
      </c>
    </row>
    <row r="24" spans="1:7" ht="23.1" customHeight="1" x14ac:dyDescent="0.2">
      <c r="A24" s="74">
        <v>2</v>
      </c>
      <c r="B24" s="75" t="s">
        <v>83</v>
      </c>
      <c r="C24" s="76">
        <v>32298000</v>
      </c>
      <c r="D24" s="76">
        <v>28306000</v>
      </c>
      <c r="E24" s="76">
        <f t="shared" si="2"/>
        <v>-3992000</v>
      </c>
      <c r="F24" s="77">
        <f t="shared" si="3"/>
        <v>-0.12359898445724193</v>
      </c>
    </row>
    <row r="25" spans="1:7" ht="23.1" customHeight="1" x14ac:dyDescent="0.2">
      <c r="A25" s="74">
        <v>3</v>
      </c>
      <c r="B25" s="75" t="s">
        <v>84</v>
      </c>
      <c r="C25" s="76">
        <v>9916000</v>
      </c>
      <c r="D25" s="76">
        <v>8934000</v>
      </c>
      <c r="E25" s="76">
        <f t="shared" si="2"/>
        <v>-982000</v>
      </c>
      <c r="F25" s="77">
        <f t="shared" si="3"/>
        <v>-9.9031867688584102E-2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43411000</v>
      </c>
      <c r="D26" s="76">
        <v>34973000</v>
      </c>
      <c r="E26" s="76">
        <f t="shared" si="2"/>
        <v>-8438000</v>
      </c>
      <c r="F26" s="77">
        <f t="shared" si="3"/>
        <v>-0.1943746976572758</v>
      </c>
    </row>
    <row r="27" spans="1:7" ht="23.1" customHeight="1" x14ac:dyDescent="0.2">
      <c r="A27" s="74">
        <v>5</v>
      </c>
      <c r="B27" s="75" t="s">
        <v>86</v>
      </c>
      <c r="C27" s="76">
        <v>11636000</v>
      </c>
      <c r="D27" s="76">
        <v>10110000</v>
      </c>
      <c r="E27" s="76">
        <f t="shared" si="2"/>
        <v>-1526000</v>
      </c>
      <c r="F27" s="77">
        <f t="shared" si="3"/>
        <v>-0.13114472327260226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980000</v>
      </c>
      <c r="D29" s="76">
        <v>210000</v>
      </c>
      <c r="E29" s="76">
        <f t="shared" si="2"/>
        <v>-770000</v>
      </c>
      <c r="F29" s="77">
        <f t="shared" si="3"/>
        <v>-0.7857142857142857</v>
      </c>
    </row>
    <row r="30" spans="1:7" ht="23.1" customHeight="1" x14ac:dyDescent="0.2">
      <c r="A30" s="74">
        <v>8</v>
      </c>
      <c r="B30" s="75" t="s">
        <v>89</v>
      </c>
      <c r="C30" s="76">
        <v>4154000</v>
      </c>
      <c r="D30" s="76">
        <v>1201000</v>
      </c>
      <c r="E30" s="76">
        <f t="shared" si="2"/>
        <v>-2953000</v>
      </c>
      <c r="F30" s="77">
        <f t="shared" si="3"/>
        <v>-0.71088107847857485</v>
      </c>
    </row>
    <row r="31" spans="1:7" ht="23.1" customHeight="1" x14ac:dyDescent="0.2">
      <c r="A31" s="74">
        <v>9</v>
      </c>
      <c r="B31" s="75" t="s">
        <v>90</v>
      </c>
      <c r="C31" s="76">
        <v>67708000</v>
      </c>
      <c r="D31" s="76">
        <v>63037000</v>
      </c>
      <c r="E31" s="76">
        <f t="shared" si="2"/>
        <v>-4671000</v>
      </c>
      <c r="F31" s="77">
        <f t="shared" si="3"/>
        <v>-6.8987416553435335E-2</v>
      </c>
    </row>
    <row r="32" spans="1:7" ht="23.1" customHeight="1" x14ac:dyDescent="0.25">
      <c r="A32" s="71"/>
      <c r="B32" s="78" t="s">
        <v>91</v>
      </c>
      <c r="C32" s="79">
        <f>SUM(C23:C31)</f>
        <v>293300000</v>
      </c>
      <c r="D32" s="79">
        <f>SUM(D23:D31)</f>
        <v>256987000</v>
      </c>
      <c r="E32" s="79">
        <f t="shared" si="2"/>
        <v>-36313000</v>
      </c>
      <c r="F32" s="80">
        <f t="shared" si="3"/>
        <v>-0.12380838731674054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2161000</v>
      </c>
      <c r="D34" s="79">
        <f>+D20-D32</f>
        <v>8739000</v>
      </c>
      <c r="E34" s="79">
        <f>D34-C34</f>
        <v>6578000</v>
      </c>
      <c r="F34" s="80">
        <f>IF(C34=0,0,E34/C34)</f>
        <v>3.0439611291068949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1565000</v>
      </c>
      <c r="D37" s="76">
        <v>1263000</v>
      </c>
      <c r="E37" s="76">
        <f>D37-C37</f>
        <v>-302000</v>
      </c>
      <c r="F37" s="77">
        <f>IF(C37=0,0,E37/C37)</f>
        <v>-0.19297124600638976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963000</v>
      </c>
      <c r="D39" s="76">
        <v>82000</v>
      </c>
      <c r="E39" s="76">
        <f>D39-C39</f>
        <v>-881000</v>
      </c>
      <c r="F39" s="77">
        <f>IF(C39=0,0,E39/C39)</f>
        <v>-0.91484942886812048</v>
      </c>
    </row>
    <row r="40" spans="1:6" ht="23.1" customHeight="1" x14ac:dyDescent="0.25">
      <c r="A40" s="83"/>
      <c r="B40" s="78" t="s">
        <v>97</v>
      </c>
      <c r="C40" s="79">
        <f>SUM(C37:C39)</f>
        <v>2528000</v>
      </c>
      <c r="D40" s="79">
        <f>SUM(D37:D39)</f>
        <v>1345000</v>
      </c>
      <c r="E40" s="79">
        <f>D40-C40</f>
        <v>-1183000</v>
      </c>
      <c r="F40" s="80">
        <f>IF(C40=0,0,E40/C40)</f>
        <v>-0.46795886075949367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4689000</v>
      </c>
      <c r="D42" s="79">
        <f>D34+D40</f>
        <v>10084000</v>
      </c>
      <c r="E42" s="79">
        <f>D42-C42</f>
        <v>5395000</v>
      </c>
      <c r="F42" s="80">
        <f>IF(C42=0,0,E42/C42)</f>
        <v>1.1505651524845384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4689000</v>
      </c>
      <c r="D49" s="79">
        <f>D42+D47</f>
        <v>10084000</v>
      </c>
      <c r="E49" s="79">
        <f>D49-C49</f>
        <v>5395000</v>
      </c>
      <c r="F49" s="80">
        <f>IF(C49=0,0,E49/C49)</f>
        <v>1.1505651524845384</v>
      </c>
    </row>
  </sheetData>
  <mergeCells count="4">
    <mergeCell ref="A1:F1"/>
    <mergeCell ref="A2:F2"/>
    <mergeCell ref="A3:F3"/>
    <mergeCell ref="A4:F4"/>
  </mergeCells>
  <printOptions gridLines="1"/>
  <pageMargins left="0.25" right="0.25" top="0.75" bottom="0.75" header="0.3" footer="0.3"/>
  <pageSetup scale="76" fitToHeight="0" orientation="portrait" horizontalDpi="1200" verticalDpi="1200" r:id="rId1"/>
  <headerFooter>
    <oddHeader>&amp;LOFFICE OF HEALTH CARE ACCESS&amp;CTWELVE MONTHS ACTUAL FILING&amp;RSAINT MARY`S HOSPITAL</oddHeader>
    <oddFooter>&amp;LREPORT 100&amp;CPAGE &amp;P of &amp;N&amp;R&amp;D,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Foster, Tillman</cp:lastModifiedBy>
  <cp:lastPrinted>2017-09-19T20:02:28Z</cp:lastPrinted>
  <dcterms:created xsi:type="dcterms:W3CDTF">2017-09-14T16:37:15Z</dcterms:created>
  <dcterms:modified xsi:type="dcterms:W3CDTF">2017-09-19T20:07:06Z</dcterms:modified>
</cp:coreProperties>
</file>