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E87" i="22"/>
  <c r="D87" i="22"/>
  <c r="C87" i="22"/>
  <c r="E86" i="22"/>
  <c r="E88" i="22" s="1"/>
  <c r="D86" i="22"/>
  <c r="D88" i="22"/>
  <c r="C86" i="22"/>
  <c r="E83" i="22"/>
  <c r="E101" i="22" s="1"/>
  <c r="D83" i="22"/>
  <c r="C83" i="22"/>
  <c r="E76" i="22"/>
  <c r="D76" i="22"/>
  <c r="D77" i="22" s="1"/>
  <c r="C76" i="22"/>
  <c r="C77" i="22" s="1"/>
  <c r="C109" i="22" s="1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 s="1"/>
  <c r="D21" i="21"/>
  <c r="E21" i="21" s="1"/>
  <c r="C21" i="21"/>
  <c r="D19" i="21"/>
  <c r="E19" i="21" s="1"/>
  <c r="F19" i="21" s="1"/>
  <c r="C19" i="21"/>
  <c r="E17" i="21"/>
  <c r="F17" i="21" s="1"/>
  <c r="E15" i="21"/>
  <c r="F15" i="21" s="1"/>
  <c r="D45" i="20"/>
  <c r="C45" i="20"/>
  <c r="D44" i="20"/>
  <c r="E44" i="20"/>
  <c r="C44" i="20"/>
  <c r="D43" i="20"/>
  <c r="C43" i="20"/>
  <c r="D36" i="20"/>
  <c r="D40" i="20"/>
  <c r="E40" i="20" s="1"/>
  <c r="F40" i="20" s="1"/>
  <c r="C36" i="20"/>
  <c r="C40" i="20" s="1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C39" i="20"/>
  <c r="C41" i="20" s="1"/>
  <c r="E24" i="20"/>
  <c r="F24" i="20" s="1"/>
  <c r="E23" i="20"/>
  <c r="F23" i="20" s="1"/>
  <c r="E22" i="20"/>
  <c r="D19" i="20"/>
  <c r="D20" i="20"/>
  <c r="E20" i="20" s="1"/>
  <c r="F20" i="20" s="1"/>
  <c r="C19" i="20"/>
  <c r="C20" i="20" s="1"/>
  <c r="E18" i="20"/>
  <c r="F18" i="20" s="1"/>
  <c r="D16" i="20"/>
  <c r="C16" i="20"/>
  <c r="E16" i="20" s="1"/>
  <c r="F16" i="20" s="1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48" i="19"/>
  <c r="C49" i="19" s="1"/>
  <c r="C36" i="19"/>
  <c r="C32" i="19"/>
  <c r="C33" i="19" s="1"/>
  <c r="C21" i="19"/>
  <c r="C22" i="19" s="1"/>
  <c r="E328" i="18"/>
  <c r="E325" i="18"/>
  <c r="D324" i="18"/>
  <c r="D326" i="18" s="1"/>
  <c r="C324" i="18"/>
  <c r="C326" i="18" s="1"/>
  <c r="C330" i="18" s="1"/>
  <c r="E318" i="18"/>
  <c r="E315" i="18"/>
  <c r="D314" i="18"/>
  <c r="C314" i="18"/>
  <c r="C316" i="18" s="1"/>
  <c r="C320" i="18" s="1"/>
  <c r="E308" i="18"/>
  <c r="E305" i="18"/>
  <c r="D301" i="18"/>
  <c r="C301" i="18"/>
  <c r="D293" i="18"/>
  <c r="C293" i="18"/>
  <c r="D292" i="18"/>
  <c r="C292" i="18"/>
  <c r="D291" i="18"/>
  <c r="E291" i="18" s="1"/>
  <c r="C291" i="18"/>
  <c r="D290" i="18"/>
  <c r="E290" i="18" s="1"/>
  <c r="C290" i="18"/>
  <c r="D288" i="18"/>
  <c r="E288" i="18"/>
  <c r="C288" i="18"/>
  <c r="D287" i="18"/>
  <c r="E287" i="18" s="1"/>
  <c r="C287" i="18"/>
  <c r="D282" i="18"/>
  <c r="E282" i="18" s="1"/>
  <c r="C282" i="18"/>
  <c r="D281" i="18"/>
  <c r="C281" i="18"/>
  <c r="D280" i="18"/>
  <c r="E280" i="18"/>
  <c r="C280" i="18"/>
  <c r="D279" i="18"/>
  <c r="C279" i="18"/>
  <c r="D278" i="18"/>
  <c r="C278" i="18"/>
  <c r="E278" i="18" s="1"/>
  <c r="D277" i="18"/>
  <c r="E277" i="18" s="1"/>
  <c r="C277" i="18"/>
  <c r="D276" i="18"/>
  <c r="C276" i="18"/>
  <c r="E276" i="18" s="1"/>
  <c r="E270" i="18"/>
  <c r="D265" i="18"/>
  <c r="D302" i="18" s="1"/>
  <c r="C265" i="18"/>
  <c r="C302" i="18"/>
  <c r="D262" i="18"/>
  <c r="C262" i="18"/>
  <c r="E262" i="18" s="1"/>
  <c r="D251" i="18"/>
  <c r="C251" i="18"/>
  <c r="E251" i="18" s="1"/>
  <c r="D233" i="18"/>
  <c r="C233" i="18"/>
  <c r="D232" i="18"/>
  <c r="E232" i="18" s="1"/>
  <c r="C232" i="18"/>
  <c r="D231" i="18"/>
  <c r="C231" i="18"/>
  <c r="D230" i="18"/>
  <c r="E230" i="18"/>
  <c r="C230" i="18"/>
  <c r="D228" i="18"/>
  <c r="E228" i="18" s="1"/>
  <c r="C228" i="18"/>
  <c r="D227" i="18"/>
  <c r="C227" i="18"/>
  <c r="D221" i="18"/>
  <c r="C221" i="18"/>
  <c r="C245" i="18" s="1"/>
  <c r="D220" i="18"/>
  <c r="D244" i="18" s="1"/>
  <c r="C220" i="18"/>
  <c r="D219" i="18"/>
  <c r="D243" i="18" s="1"/>
  <c r="C219" i="18"/>
  <c r="C243" i="18"/>
  <c r="E243" i="18" s="1"/>
  <c r="D218" i="18"/>
  <c r="D242" i="18" s="1"/>
  <c r="C218" i="18"/>
  <c r="D216" i="18"/>
  <c r="C216" i="18"/>
  <c r="C240" i="18"/>
  <c r="D215" i="18"/>
  <c r="D239" i="18"/>
  <c r="C215" i="18"/>
  <c r="D210" i="18"/>
  <c r="E209" i="18"/>
  <c r="E208" i="18"/>
  <c r="E207" i="18"/>
  <c r="E206" i="18"/>
  <c r="D205" i="18"/>
  <c r="C205" i="18"/>
  <c r="C210" i="18" s="1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D178" i="18"/>
  <c r="C178" i="18"/>
  <c r="E178" i="18" s="1"/>
  <c r="D177" i="18"/>
  <c r="C177" i="18"/>
  <c r="D176" i="18"/>
  <c r="C176" i="18"/>
  <c r="D174" i="18"/>
  <c r="E174" i="18" s="1"/>
  <c r="C174" i="18"/>
  <c r="D173" i="18"/>
  <c r="C173" i="18"/>
  <c r="D167" i="18"/>
  <c r="C167" i="18"/>
  <c r="D166" i="18"/>
  <c r="C166" i="18"/>
  <c r="E166" i="18" s="1"/>
  <c r="D165" i="18"/>
  <c r="C165" i="18"/>
  <c r="E165" i="18"/>
  <c r="D164" i="18"/>
  <c r="E164" i="18"/>
  <c r="C164" i="18"/>
  <c r="D162" i="18"/>
  <c r="C162" i="18"/>
  <c r="E162" i="18" s="1"/>
  <c r="D161" i="18"/>
  <c r="C161" i="18"/>
  <c r="E155" i="18"/>
  <c r="E154" i="18"/>
  <c r="E153" i="18"/>
  <c r="E152" i="18"/>
  <c r="D151" i="18"/>
  <c r="C151" i="18"/>
  <c r="E150" i="18"/>
  <c r="E149" i="18"/>
  <c r="D144" i="18"/>
  <c r="E143" i="18"/>
  <c r="E142" i="18"/>
  <c r="E141" i="18"/>
  <c r="E140" i="18"/>
  <c r="D139" i="18"/>
  <c r="E139" i="18" s="1"/>
  <c r="C139" i="18"/>
  <c r="E138" i="18"/>
  <c r="E137" i="18"/>
  <c r="D75" i="18"/>
  <c r="E75" i="18"/>
  <c r="C75" i="18"/>
  <c r="D74" i="18"/>
  <c r="C74" i="18"/>
  <c r="E74" i="18" s="1"/>
  <c r="D73" i="18"/>
  <c r="C73" i="18"/>
  <c r="D72" i="18"/>
  <c r="C72" i="18"/>
  <c r="D70" i="18"/>
  <c r="C70" i="18"/>
  <c r="D69" i="18"/>
  <c r="C69" i="18"/>
  <c r="E69" i="18" s="1"/>
  <c r="E64" i="18"/>
  <c r="E63" i="18"/>
  <c r="E62" i="18"/>
  <c r="E61" i="18"/>
  <c r="D60" i="18"/>
  <c r="C60" i="18"/>
  <c r="C289" i="18"/>
  <c r="E59" i="18"/>
  <c r="E58" i="18"/>
  <c r="D55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C40" i="18"/>
  <c r="D39" i="18"/>
  <c r="C39" i="18"/>
  <c r="E39" i="18" s="1"/>
  <c r="D38" i="18"/>
  <c r="E38" i="18" s="1"/>
  <c r="C38" i="18"/>
  <c r="D37" i="18"/>
  <c r="C37" i="18"/>
  <c r="D36" i="18"/>
  <c r="C36" i="18"/>
  <c r="D32" i="18"/>
  <c r="D33" i="18" s="1"/>
  <c r="E33" i="18" s="1"/>
  <c r="C32" i="18"/>
  <c r="C33" i="18" s="1"/>
  <c r="E31" i="18"/>
  <c r="E30" i="18"/>
  <c r="E29" i="18"/>
  <c r="E28" i="18"/>
  <c r="E27" i="18"/>
  <c r="E26" i="18"/>
  <c r="E25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E332" i="17"/>
  <c r="F332" i="17" s="1"/>
  <c r="E331" i="17"/>
  <c r="F331" i="17" s="1"/>
  <c r="F330" i="17"/>
  <c r="E330" i="17"/>
  <c r="E329" i="17"/>
  <c r="F329" i="17" s="1"/>
  <c r="F316" i="17"/>
  <c r="E316" i="17"/>
  <c r="F311" i="17"/>
  <c r="D311" i="17"/>
  <c r="C311" i="17"/>
  <c r="E311" i="17" s="1"/>
  <c r="E308" i="17"/>
  <c r="F308" i="17"/>
  <c r="D307" i="17"/>
  <c r="E307" i="17" s="1"/>
  <c r="F307" i="17" s="1"/>
  <c r="C307" i="17"/>
  <c r="D299" i="17"/>
  <c r="E299" i="17" s="1"/>
  <c r="F299" i="17" s="1"/>
  <c r="C299" i="17"/>
  <c r="D298" i="17"/>
  <c r="C298" i="17"/>
  <c r="F298" i="17" s="1"/>
  <c r="D297" i="17"/>
  <c r="C297" i="17"/>
  <c r="E297" i="17" s="1"/>
  <c r="D296" i="17"/>
  <c r="C296" i="17"/>
  <c r="D295" i="17"/>
  <c r="C295" i="17"/>
  <c r="D294" i="17"/>
  <c r="C294" i="17"/>
  <c r="E294" i="17" s="1"/>
  <c r="F294" i="17" s="1"/>
  <c r="D250" i="17"/>
  <c r="D306" i="17" s="1"/>
  <c r="C250" i="17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E238" i="17" s="1"/>
  <c r="F238" i="17" s="1"/>
  <c r="C238" i="17"/>
  <c r="D237" i="17"/>
  <c r="C237" i="17"/>
  <c r="E234" i="17"/>
  <c r="F234" i="17" s="1"/>
  <c r="E233" i="17"/>
  <c r="F233" i="17" s="1"/>
  <c r="D230" i="17"/>
  <c r="E230" i="17"/>
  <c r="C230" i="17"/>
  <c r="D229" i="17"/>
  <c r="E229" i="17"/>
  <c r="C229" i="17"/>
  <c r="E228" i="17"/>
  <c r="F228" i="17" s="1"/>
  <c r="D226" i="17"/>
  <c r="D227" i="17"/>
  <c r="E227" i="17" s="1"/>
  <c r="F227" i="17" s="1"/>
  <c r="C226" i="17"/>
  <c r="C227" i="17"/>
  <c r="E225" i="17"/>
  <c r="F225" i="17" s="1"/>
  <c r="E224" i="17"/>
  <c r="F224" i="17" s="1"/>
  <c r="D223" i="17"/>
  <c r="C223" i="17"/>
  <c r="E223" i="17" s="1"/>
  <c r="E222" i="17"/>
  <c r="F222" i="17" s="1"/>
  <c r="E221" i="17"/>
  <c r="F221" i="17" s="1"/>
  <c r="D204" i="17"/>
  <c r="C204" i="17"/>
  <c r="C285" i="17" s="1"/>
  <c r="D203" i="17"/>
  <c r="C203" i="17"/>
  <c r="C283" i="17"/>
  <c r="D198" i="17"/>
  <c r="D200" i="17" s="1"/>
  <c r="E200" i="17" s="1"/>
  <c r="F200" i="17" s="1"/>
  <c r="C198" i="17"/>
  <c r="C290" i="17" s="1"/>
  <c r="D191" i="17"/>
  <c r="E191" i="17" s="1"/>
  <c r="F191" i="17" s="1"/>
  <c r="C191" i="17"/>
  <c r="C280" i="17" s="1"/>
  <c r="D189" i="17"/>
  <c r="D278" i="17" s="1"/>
  <c r="C189" i="17"/>
  <c r="C278" i="17"/>
  <c r="D188" i="17"/>
  <c r="C188" i="17"/>
  <c r="C277" i="17" s="1"/>
  <c r="D180" i="17"/>
  <c r="C180" i="17"/>
  <c r="D179" i="17"/>
  <c r="C179" i="17"/>
  <c r="F179" i="17" s="1"/>
  <c r="F171" i="17"/>
  <c r="D171" i="17"/>
  <c r="E171" i="17"/>
  <c r="C171" i="17"/>
  <c r="C172" i="17" s="1"/>
  <c r="D170" i="17"/>
  <c r="C170" i="17"/>
  <c r="F169" i="17"/>
  <c r="E169" i="17"/>
  <c r="F168" i="17"/>
  <c r="E168" i="17"/>
  <c r="D165" i="17"/>
  <c r="C165" i="17"/>
  <c r="D164" i="17"/>
  <c r="E164" i="17" s="1"/>
  <c r="C164" i="17"/>
  <c r="F164" i="17" s="1"/>
  <c r="F163" i="17"/>
  <c r="E163" i="17"/>
  <c r="D158" i="17"/>
  <c r="C158" i="17"/>
  <c r="F157" i="17"/>
  <c r="E157" i="17"/>
  <c r="F156" i="17"/>
  <c r="E156" i="17"/>
  <c r="F155" i="17"/>
  <c r="D155" i="17"/>
  <c r="E155" i="17" s="1"/>
  <c r="C155" i="17"/>
  <c r="F154" i="17"/>
  <c r="E154" i="17"/>
  <c r="F153" i="17"/>
  <c r="E153" i="17"/>
  <c r="D145" i="17"/>
  <c r="C145" i="17"/>
  <c r="D144" i="17"/>
  <c r="D146" i="17" s="1"/>
  <c r="C144" i="17"/>
  <c r="C146" i="17" s="1"/>
  <c r="D136" i="17"/>
  <c r="D137" i="17"/>
  <c r="D207" i="17" s="1"/>
  <c r="D208" i="17" s="1"/>
  <c r="C136" i="17"/>
  <c r="C137" i="17"/>
  <c r="D135" i="17"/>
  <c r="E135" i="17" s="1"/>
  <c r="F135" i="17" s="1"/>
  <c r="C135" i="17"/>
  <c r="E134" i="17"/>
  <c r="F134" i="17" s="1"/>
  <c r="E133" i="17"/>
  <c r="F133" i="17" s="1"/>
  <c r="D130" i="17"/>
  <c r="C130" i="17"/>
  <c r="D129" i="17"/>
  <c r="E129" i="17" s="1"/>
  <c r="C129" i="17"/>
  <c r="E128" i="17"/>
  <c r="F128" i="17" s="1"/>
  <c r="D123" i="17"/>
  <c r="D192" i="17" s="1"/>
  <c r="C123" i="17"/>
  <c r="F122" i="17"/>
  <c r="E122" i="17"/>
  <c r="E121" i="17"/>
  <c r="F121" i="17" s="1"/>
  <c r="D120" i="17"/>
  <c r="C120" i="17"/>
  <c r="F119" i="17"/>
  <c r="E119" i="17"/>
  <c r="E118" i="17"/>
  <c r="F118" i="17" s="1"/>
  <c r="D110" i="17"/>
  <c r="E110" i="17" s="1"/>
  <c r="F110" i="17" s="1"/>
  <c r="C110" i="17"/>
  <c r="D109" i="17"/>
  <c r="C109" i="17"/>
  <c r="C111" i="17"/>
  <c r="D101" i="17"/>
  <c r="D102" i="17" s="1"/>
  <c r="D103" i="17" s="1"/>
  <c r="C101" i="17"/>
  <c r="C102" i="17" s="1"/>
  <c r="D100" i="17"/>
  <c r="C100" i="17"/>
  <c r="E99" i="17"/>
  <c r="F99" i="17" s="1"/>
  <c r="E98" i="17"/>
  <c r="F98" i="17" s="1"/>
  <c r="D95" i="17"/>
  <c r="E95" i="17" s="1"/>
  <c r="C95" i="17"/>
  <c r="D94" i="17"/>
  <c r="C94" i="17"/>
  <c r="E93" i="17"/>
  <c r="F93" i="17" s="1"/>
  <c r="D88" i="17"/>
  <c r="D89" i="17" s="1"/>
  <c r="C88" i="17"/>
  <c r="C89" i="17" s="1"/>
  <c r="E87" i="17"/>
  <c r="F87" i="17" s="1"/>
  <c r="E86" i="17"/>
  <c r="F86" i="17" s="1"/>
  <c r="D85" i="17"/>
  <c r="C85" i="17"/>
  <c r="E85" i="17" s="1"/>
  <c r="F85" i="17" s="1"/>
  <c r="E84" i="17"/>
  <c r="F84" i="17" s="1"/>
  <c r="E83" i="17"/>
  <c r="F83" i="17" s="1"/>
  <c r="D76" i="17"/>
  <c r="D77" i="17" s="1"/>
  <c r="C76" i="17"/>
  <c r="E74" i="17"/>
  <c r="F74" i="17" s="1"/>
  <c r="E73" i="17"/>
  <c r="F73" i="17"/>
  <c r="D67" i="17"/>
  <c r="C67" i="17"/>
  <c r="D66" i="17"/>
  <c r="C66" i="17"/>
  <c r="D59" i="17"/>
  <c r="D60" i="17" s="1"/>
  <c r="C59" i="17"/>
  <c r="C60" i="17"/>
  <c r="D58" i="17"/>
  <c r="C58" i="17"/>
  <c r="E57" i="17"/>
  <c r="F57" i="17" s="1"/>
  <c r="E56" i="17"/>
  <c r="F56" i="17" s="1"/>
  <c r="D53" i="17"/>
  <c r="E53" i="17" s="1"/>
  <c r="F53" i="17" s="1"/>
  <c r="C53" i="17"/>
  <c r="D52" i="17"/>
  <c r="C52" i="17"/>
  <c r="E51" i="17"/>
  <c r="F51" i="17"/>
  <c r="D47" i="17"/>
  <c r="C47" i="17"/>
  <c r="C48" i="17"/>
  <c r="E46" i="17"/>
  <c r="F46" i="17"/>
  <c r="E45" i="17"/>
  <c r="F45" i="17" s="1"/>
  <c r="D44" i="17"/>
  <c r="E44" i="17" s="1"/>
  <c r="F44" i="17" s="1"/>
  <c r="C44" i="17"/>
  <c r="E43" i="17"/>
  <c r="F43" i="17" s="1"/>
  <c r="E42" i="17"/>
  <c r="F42" i="17" s="1"/>
  <c r="D36" i="17"/>
  <c r="C36" i="17"/>
  <c r="E36" i="17" s="1"/>
  <c r="F36" i="17" s="1"/>
  <c r="D35" i="17"/>
  <c r="C35" i="17"/>
  <c r="D30" i="17"/>
  <c r="C30" i="17"/>
  <c r="C31" i="17"/>
  <c r="C32" i="17" s="1"/>
  <c r="D29" i="17"/>
  <c r="C29" i="17"/>
  <c r="E29" i="17" s="1"/>
  <c r="F29" i="17" s="1"/>
  <c r="E28" i="17"/>
  <c r="F28" i="17"/>
  <c r="E27" i="17"/>
  <c r="F27" i="17" s="1"/>
  <c r="D24" i="17"/>
  <c r="E24" i="17" s="1"/>
  <c r="F24" i="17" s="1"/>
  <c r="C24" i="17"/>
  <c r="D23" i="17"/>
  <c r="C23" i="17"/>
  <c r="E22" i="17"/>
  <c r="F22" i="17"/>
  <c r="D20" i="17"/>
  <c r="C20" i="17"/>
  <c r="E19" i="17"/>
  <c r="F19" i="17" s="1"/>
  <c r="E18" i="17"/>
  <c r="F18" i="17"/>
  <c r="D17" i="17"/>
  <c r="E17" i="17" s="1"/>
  <c r="F17" i="17" s="1"/>
  <c r="C17" i="17"/>
  <c r="E16" i="17"/>
  <c r="F16" i="17" s="1"/>
  <c r="E15" i="17"/>
  <c r="F15" i="17" s="1"/>
  <c r="D22" i="16"/>
  <c r="E22" i="16"/>
  <c r="C22" i="16"/>
  <c r="E21" i="16"/>
  <c r="F21" i="16" s="1"/>
  <c r="D18" i="16"/>
  <c r="E18" i="16" s="1"/>
  <c r="C18" i="16"/>
  <c r="E17" i="16"/>
  <c r="F17" i="16" s="1"/>
  <c r="D14" i="16"/>
  <c r="C14" i="16"/>
  <c r="E13" i="16"/>
  <c r="F13" i="16" s="1"/>
  <c r="E12" i="16"/>
  <c r="F12" i="16" s="1"/>
  <c r="D107" i="15"/>
  <c r="C107" i="15"/>
  <c r="E106" i="15"/>
  <c r="F106" i="15" s="1"/>
  <c r="F105" i="15"/>
  <c r="E105" i="15"/>
  <c r="E104" i="15"/>
  <c r="F104" i="15" s="1"/>
  <c r="D100" i="15"/>
  <c r="C100" i="15"/>
  <c r="F99" i="15"/>
  <c r="E99" i="15"/>
  <c r="E98" i="15"/>
  <c r="F98" i="15" s="1"/>
  <c r="E97" i="15"/>
  <c r="F97" i="15" s="1"/>
  <c r="E96" i="15"/>
  <c r="F96" i="15" s="1"/>
  <c r="E95" i="15"/>
  <c r="F95" i="15" s="1"/>
  <c r="D92" i="15"/>
  <c r="C92" i="15"/>
  <c r="F91" i="15"/>
  <c r="E91" i="15"/>
  <c r="F90" i="15"/>
  <c r="E90" i="15"/>
  <c r="E89" i="15"/>
  <c r="F89" i="15" s="1"/>
  <c r="E88" i="15"/>
  <c r="F88" i="15" s="1"/>
  <c r="F87" i="15"/>
  <c r="E87" i="15"/>
  <c r="F86" i="15"/>
  <c r="E86" i="15"/>
  <c r="E85" i="15"/>
  <c r="F85" i="15" s="1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F73" i="15" s="1"/>
  <c r="D70" i="15"/>
  <c r="C70" i="15"/>
  <c r="E69" i="15"/>
  <c r="F69" i="15" s="1"/>
  <c r="E68" i="15"/>
  <c r="F68" i="15" s="1"/>
  <c r="D65" i="15"/>
  <c r="E65" i="15" s="1"/>
  <c r="C65" i="15"/>
  <c r="E64" i="15"/>
  <c r="F64" i="15" s="1"/>
  <c r="E63" i="15"/>
  <c r="F63" i="15" s="1"/>
  <c r="D60" i="15"/>
  <c r="C60" i="15"/>
  <c r="E59" i="15"/>
  <c r="F59" i="15" s="1"/>
  <c r="F58" i="15"/>
  <c r="E58" i="15"/>
  <c r="E60" i="15"/>
  <c r="F60" i="15" s="1"/>
  <c r="D55" i="15"/>
  <c r="C55" i="15"/>
  <c r="F54" i="15"/>
  <c r="E54" i="15"/>
  <c r="F53" i="15"/>
  <c r="E53" i="15"/>
  <c r="D50" i="15"/>
  <c r="C50" i="15"/>
  <c r="E49" i="15"/>
  <c r="F49" i="15" s="1"/>
  <c r="E48" i="15"/>
  <c r="F48" i="15" s="1"/>
  <c r="D45" i="15"/>
  <c r="C45" i="15"/>
  <c r="F44" i="15"/>
  <c r="E44" i="15"/>
  <c r="F43" i="15"/>
  <c r="E43" i="15"/>
  <c r="D37" i="15"/>
  <c r="C37" i="15"/>
  <c r="F36" i="15"/>
  <c r="E36" i="15"/>
  <c r="F35" i="15"/>
  <c r="E35" i="15"/>
  <c r="F34" i="15"/>
  <c r="E34" i="15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E23" i="15" s="1"/>
  <c r="C23" i="15"/>
  <c r="F22" i="15"/>
  <c r="E22" i="15"/>
  <c r="E21" i="15"/>
  <c r="F21" i="15" s="1"/>
  <c r="E20" i="15"/>
  <c r="F20" i="15" s="1"/>
  <c r="E19" i="15"/>
  <c r="F19" i="15" s="1"/>
  <c r="D16" i="15"/>
  <c r="C16" i="15"/>
  <c r="F15" i="15"/>
  <c r="E15" i="15"/>
  <c r="E14" i="15"/>
  <c r="F14" i="15" s="1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G33" i="14"/>
  <c r="G36" i="14" s="1"/>
  <c r="G38" i="14" s="1"/>
  <c r="G40" i="14" s="1"/>
  <c r="F17" i="14"/>
  <c r="E17" i="14"/>
  <c r="E33" i="14" s="1"/>
  <c r="E36" i="14"/>
  <c r="E38" i="14" s="1"/>
  <c r="E40" i="14" s="1"/>
  <c r="D17" i="14"/>
  <c r="C17" i="14"/>
  <c r="C33" i="14" s="1"/>
  <c r="C36" i="14" s="1"/>
  <c r="C38" i="14" s="1"/>
  <c r="C40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/>
  <c r="D77" i="13" s="1"/>
  <c r="C78" i="13"/>
  <c r="E73" i="13"/>
  <c r="E75" i="13" s="1"/>
  <c r="D73" i="13"/>
  <c r="D75" i="13"/>
  <c r="C73" i="13"/>
  <c r="C75" i="13" s="1"/>
  <c r="E71" i="13"/>
  <c r="D71" i="13"/>
  <c r="C71" i="13"/>
  <c r="E66" i="13"/>
  <c r="E65" i="13"/>
  <c r="D66" i="13"/>
  <c r="D65" i="13" s="1"/>
  <c r="C66" i="13"/>
  <c r="C65" i="13" s="1"/>
  <c r="E60" i="13"/>
  <c r="D60" i="13"/>
  <c r="C60" i="13"/>
  <c r="E58" i="13"/>
  <c r="D58" i="13"/>
  <c r="C58" i="13"/>
  <c r="E55" i="13"/>
  <c r="E50" i="13" s="1"/>
  <c r="D55" i="13"/>
  <c r="C55" i="13"/>
  <c r="C50" i="13" s="1"/>
  <c r="E54" i="13"/>
  <c r="D54" i="13"/>
  <c r="C54" i="13"/>
  <c r="E48" i="13"/>
  <c r="E46" i="13"/>
  <c r="E59" i="13" s="1"/>
  <c r="E61" i="13" s="1"/>
  <c r="E57" i="13" s="1"/>
  <c r="D46" i="13"/>
  <c r="D59" i="13" s="1"/>
  <c r="D61" i="13" s="1"/>
  <c r="D57" i="13" s="1"/>
  <c r="C46" i="13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C25" i="13"/>
  <c r="C24" i="13"/>
  <c r="E13" i="13"/>
  <c r="D13" i="13"/>
  <c r="D25" i="13" s="1"/>
  <c r="C13" i="13"/>
  <c r="C15" i="13" s="1"/>
  <c r="D47" i="12"/>
  <c r="E47" i="12" s="1"/>
  <c r="C47" i="12"/>
  <c r="F47" i="12" s="1"/>
  <c r="F46" i="12"/>
  <c r="E46" i="12"/>
  <c r="F45" i="12"/>
  <c r="E45" i="12"/>
  <c r="D40" i="12"/>
  <c r="C40" i="12"/>
  <c r="E39" i="12"/>
  <c r="F39" i="12" s="1"/>
  <c r="F38" i="12"/>
  <c r="E38" i="12"/>
  <c r="E37" i="12"/>
  <c r="F37" i="12" s="1"/>
  <c r="D32" i="12"/>
  <c r="E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F26" i="12"/>
  <c r="E26" i="12"/>
  <c r="E25" i="12"/>
  <c r="F25" i="12" s="1"/>
  <c r="E24" i="12"/>
  <c r="F24" i="12" s="1"/>
  <c r="E23" i="12"/>
  <c r="F23" i="12" s="1"/>
  <c r="F19" i="12"/>
  <c r="E19" i="12"/>
  <c r="E18" i="12"/>
  <c r="F18" i="12" s="1"/>
  <c r="E16" i="12"/>
  <c r="F16" i="12" s="1"/>
  <c r="D15" i="12"/>
  <c r="E15" i="12"/>
  <c r="C15" i="12"/>
  <c r="C17" i="12" s="1"/>
  <c r="C20" i="12" s="1"/>
  <c r="F14" i="12"/>
  <c r="E14" i="12"/>
  <c r="E13" i="12"/>
  <c r="F13" i="12" s="1"/>
  <c r="E12" i="12"/>
  <c r="F12" i="12" s="1"/>
  <c r="E11" i="12"/>
  <c r="F11" i="12" s="1"/>
  <c r="D73" i="11"/>
  <c r="C73" i="11"/>
  <c r="E72" i="11"/>
  <c r="F72" i="11" s="1"/>
  <c r="E71" i="11"/>
  <c r="F71" i="11" s="1"/>
  <c r="F70" i="11"/>
  <c r="E70" i="11"/>
  <c r="F67" i="11"/>
  <c r="E67" i="11"/>
  <c r="F64" i="11"/>
  <c r="E64" i="11"/>
  <c r="E63" i="11"/>
  <c r="F63" i="11" s="1"/>
  <c r="D61" i="11"/>
  <c r="D65" i="11"/>
  <c r="C61" i="11"/>
  <c r="F60" i="11"/>
  <c r="E60" i="11"/>
  <c r="E59" i="11"/>
  <c r="F59" i="11" s="1"/>
  <c r="D56" i="11"/>
  <c r="E56" i="11" s="1"/>
  <c r="F56" i="11" s="1"/>
  <c r="C56" i="11"/>
  <c r="E55" i="11"/>
  <c r="F55" i="11" s="1"/>
  <c r="F54" i="11"/>
  <c r="E54" i="11"/>
  <c r="F53" i="11"/>
  <c r="E53" i="1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 s="1"/>
  <c r="F29" i="11" s="1"/>
  <c r="C29" i="11"/>
  <c r="E28" i="11"/>
  <c r="F28" i="11" s="1"/>
  <c r="F27" i="11"/>
  <c r="E27" i="11"/>
  <c r="E26" i="11"/>
  <c r="F26" i="11" s="1"/>
  <c r="E25" i="11"/>
  <c r="F25" i="11" s="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F14" i="11"/>
  <c r="E14" i="11"/>
  <c r="E13" i="11"/>
  <c r="F13" i="11" s="1"/>
  <c r="D120" i="10"/>
  <c r="E120" i="10" s="1"/>
  <c r="C120" i="10"/>
  <c r="F120" i="10" s="1"/>
  <c r="D119" i="10"/>
  <c r="C119" i="10"/>
  <c r="F119" i="10" s="1"/>
  <c r="D118" i="10"/>
  <c r="E118" i="10" s="1"/>
  <c r="C118" i="10"/>
  <c r="F118" i="10" s="1"/>
  <c r="D117" i="10"/>
  <c r="C117" i="10"/>
  <c r="F117" i="10" s="1"/>
  <c r="D116" i="10"/>
  <c r="E116" i="10" s="1"/>
  <c r="C116" i="10"/>
  <c r="F116" i="10" s="1"/>
  <c r="D115" i="10"/>
  <c r="C115" i="10"/>
  <c r="F115" i="10" s="1"/>
  <c r="D114" i="10"/>
  <c r="C114" i="10"/>
  <c r="F114" i="10" s="1"/>
  <c r="D113" i="10"/>
  <c r="C113" i="10"/>
  <c r="D112" i="10"/>
  <c r="C112" i="10"/>
  <c r="F112" i="10" s="1"/>
  <c r="D108" i="10"/>
  <c r="C108" i="10"/>
  <c r="F108" i="10" s="1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 s="1"/>
  <c r="C84" i="10"/>
  <c r="F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E59" i="10" s="1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 s="1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E204" i="9" s="1"/>
  <c r="F204" i="9" s="1"/>
  <c r="C204" i="9"/>
  <c r="D203" i="9"/>
  <c r="C203" i="9"/>
  <c r="D202" i="9"/>
  <c r="E202" i="9" s="1"/>
  <c r="C202" i="9"/>
  <c r="D201" i="9"/>
  <c r="C201" i="9"/>
  <c r="D200" i="9"/>
  <c r="E200" i="9" s="1"/>
  <c r="C200" i="9"/>
  <c r="D199" i="9"/>
  <c r="C199" i="9"/>
  <c r="D198" i="9"/>
  <c r="C198" i="9"/>
  <c r="C207" i="9" s="1"/>
  <c r="D193" i="9"/>
  <c r="C193" i="9"/>
  <c r="D192" i="9"/>
  <c r="C192" i="9"/>
  <c r="E192" i="9" s="1"/>
  <c r="F191" i="9"/>
  <c r="E191" i="9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E184" i="9"/>
  <c r="F184" i="9" s="1"/>
  <c r="F183" i="9"/>
  <c r="E183" i="9"/>
  <c r="F180" i="9"/>
  <c r="D180" i="9"/>
  <c r="E180" i="9" s="1"/>
  <c r="C180" i="9"/>
  <c r="F179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E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C141" i="9"/>
  <c r="D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C128" i="9"/>
  <c r="D127" i="9"/>
  <c r="C127" i="9"/>
  <c r="E127" i="9" s="1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C115" i="9"/>
  <c r="D114" i="9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F108" i="9"/>
  <c r="E108" i="9"/>
  <c r="E107" i="9"/>
  <c r="F107" i="9" s="1"/>
  <c r="E106" i="9"/>
  <c r="F106" i="9" s="1"/>
  <c r="E105" i="9"/>
  <c r="F105" i="9" s="1"/>
  <c r="D102" i="9"/>
  <c r="C102" i="9"/>
  <c r="F102" i="9" s="1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D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E50" i="9" s="1"/>
  <c r="D49" i="9"/>
  <c r="E49" i="9" s="1"/>
  <c r="F49" i="9" s="1"/>
  <c r="C49" i="9"/>
  <c r="E48" i="9"/>
  <c r="F48" i="9" s="1"/>
  <c r="E47" i="9"/>
  <c r="F47" i="9" s="1"/>
  <c r="E46" i="9"/>
  <c r="F46" i="9" s="1"/>
  <c r="E45" i="9"/>
  <c r="F45" i="9" s="1"/>
  <c r="E44" i="9"/>
  <c r="F44" i="9" s="1"/>
  <c r="F43" i="9"/>
  <c r="E43" i="9"/>
  <c r="E42" i="9"/>
  <c r="F42" i="9" s="1"/>
  <c r="E41" i="9"/>
  <c r="F41" i="9" s="1"/>
  <c r="E40" i="9"/>
  <c r="F40" i="9" s="1"/>
  <c r="D37" i="9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E24" i="9" s="1"/>
  <c r="F24" i="9" s="1"/>
  <c r="D23" i="9"/>
  <c r="C23" i="9"/>
  <c r="E22" i="9"/>
  <c r="F22" i="9" s="1"/>
  <c r="F21" i="9"/>
  <c r="E21" i="9"/>
  <c r="E20" i="9"/>
  <c r="F20" i="9" s="1"/>
  <c r="F19" i="9"/>
  <c r="E19" i="9"/>
  <c r="E18" i="9"/>
  <c r="F18" i="9" s="1"/>
  <c r="E17" i="9"/>
  <c r="F17" i="9" s="1"/>
  <c r="E16" i="9"/>
  <c r="F16" i="9" s="1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 s="1"/>
  <c r="D166" i="8" s="1"/>
  <c r="C164" i="8"/>
  <c r="C160" i="8" s="1"/>
  <c r="C166" i="8" s="1"/>
  <c r="E162" i="8"/>
  <c r="D162" i="8"/>
  <c r="C162" i="8"/>
  <c r="E161" i="8"/>
  <c r="D161" i="8"/>
  <c r="C161" i="8"/>
  <c r="E147" i="8"/>
  <c r="E143" i="8" s="1"/>
  <c r="D147" i="8"/>
  <c r="D143" i="8" s="1"/>
  <c r="C147" i="8"/>
  <c r="E145" i="8"/>
  <c r="D145" i="8"/>
  <c r="C145" i="8"/>
  <c r="E144" i="8"/>
  <c r="D144" i="8"/>
  <c r="C144" i="8"/>
  <c r="C143" i="8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C107" i="8"/>
  <c r="C109" i="8" s="1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E79" i="8" s="1"/>
  <c r="D84" i="8"/>
  <c r="D79" i="8" s="1"/>
  <c r="C84" i="8"/>
  <c r="E83" i="8"/>
  <c r="D83" i="8"/>
  <c r="C83" i="8"/>
  <c r="C79" i="8" s="1"/>
  <c r="E77" i="8"/>
  <c r="E71" i="8" s="1"/>
  <c r="C77" i="8"/>
  <c r="E75" i="8"/>
  <c r="E88" i="8" s="1"/>
  <c r="E90" i="8" s="1"/>
  <c r="E86" i="8" s="1"/>
  <c r="D75" i="8"/>
  <c r="C75" i="8"/>
  <c r="C88" i="8" s="1"/>
  <c r="E74" i="8"/>
  <c r="D74" i="8"/>
  <c r="C74" i="8"/>
  <c r="E67" i="8"/>
  <c r="D67" i="8"/>
  <c r="C67" i="8"/>
  <c r="E38" i="8"/>
  <c r="D38" i="8"/>
  <c r="D57" i="8"/>
  <c r="D62" i="8" s="1"/>
  <c r="C38" i="8"/>
  <c r="E33" i="8"/>
  <c r="E34" i="8"/>
  <c r="D33" i="8"/>
  <c r="D34" i="8"/>
  <c r="E26" i="8"/>
  <c r="D26" i="8"/>
  <c r="C26" i="8"/>
  <c r="C25" i="8"/>
  <c r="C27" i="8" s="1"/>
  <c r="C21" i="8" s="1"/>
  <c r="C15" i="8"/>
  <c r="C24" i="8" s="1"/>
  <c r="C20" i="8" s="1"/>
  <c r="E13" i="8"/>
  <c r="D13" i="8"/>
  <c r="C13" i="8"/>
  <c r="F186" i="7"/>
  <c r="E186" i="7"/>
  <c r="D183" i="7"/>
  <c r="C183" i="7"/>
  <c r="E182" i="7"/>
  <c r="F182" i="7" s="1"/>
  <c r="E181" i="7"/>
  <c r="F181" i="7" s="1"/>
  <c r="F180" i="7"/>
  <c r="E180" i="7"/>
  <c r="F179" i="7"/>
  <c r="E179" i="7"/>
  <c r="F178" i="7"/>
  <c r="E178" i="7"/>
  <c r="E177" i="7"/>
  <c r="F177" i="7" s="1"/>
  <c r="E176" i="7"/>
  <c r="F176" i="7" s="1"/>
  <c r="F175" i="7"/>
  <c r="E175" i="7"/>
  <c r="F174" i="7"/>
  <c r="E174" i="7"/>
  <c r="E173" i="7"/>
  <c r="F173" i="7" s="1"/>
  <c r="E172" i="7"/>
  <c r="F172" i="7" s="1"/>
  <c r="F171" i="7"/>
  <c r="E171" i="7"/>
  <c r="E170" i="7"/>
  <c r="F170" i="7" s="1"/>
  <c r="D167" i="7"/>
  <c r="C167" i="7"/>
  <c r="E166" i="7"/>
  <c r="F166" i="7" s="1"/>
  <c r="E165" i="7"/>
  <c r="F165" i="7" s="1"/>
  <c r="E164" i="7"/>
  <c r="F164" i="7" s="1"/>
  <c r="E163" i="7"/>
  <c r="F163" i="7" s="1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E152" i="7"/>
  <c r="F152" i="7" s="1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E145" i="7"/>
  <c r="F145" i="7" s="1"/>
  <c r="E144" i="7"/>
  <c r="F144" i="7" s="1"/>
  <c r="F143" i="7"/>
  <c r="E143" i="7"/>
  <c r="E142" i="7"/>
  <c r="F142" i="7" s="1"/>
  <c r="E141" i="7"/>
  <c r="F141" i="7" s="1"/>
  <c r="E140" i="7"/>
  <c r="F140" i="7" s="1"/>
  <c r="E139" i="7"/>
  <c r="F139" i="7" s="1"/>
  <c r="F138" i="7"/>
  <c r="E138" i="7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E130" i="7"/>
  <c r="F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E124" i="7"/>
  <c r="F124" i="7" s="1"/>
  <c r="D121" i="7"/>
  <c r="C121" i="7"/>
  <c r="E120" i="7"/>
  <c r="F120" i="7" s="1"/>
  <c r="E119" i="7"/>
  <c r="F119" i="7" s="1"/>
  <c r="E118" i="7"/>
  <c r="F118" i="7" s="1"/>
  <c r="F117" i="7"/>
  <c r="E117" i="7"/>
  <c r="F116" i="7"/>
  <c r="E116" i="7"/>
  <c r="E115" i="7"/>
  <c r="F115" i="7" s="1"/>
  <c r="E114" i="7"/>
  <c r="F114" i="7" s="1"/>
  <c r="E113" i="7"/>
  <c r="F113" i="7" s="1"/>
  <c r="F112" i="7"/>
  <c r="E112" i="7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E90" i="7" s="1"/>
  <c r="F90" i="7" s="1"/>
  <c r="C90" i="7"/>
  <c r="F89" i="7"/>
  <c r="E89" i="7"/>
  <c r="E88" i="7"/>
  <c r="F88" i="7" s="1"/>
  <c r="E87" i="7"/>
  <c r="F87" i="7" s="1"/>
  <c r="F86" i="7"/>
  <c r="E86" i="7"/>
  <c r="F85" i="7"/>
  <c r="E85" i="7"/>
  <c r="E84" i="7"/>
  <c r="F84" i="7" s="1"/>
  <c r="E83" i="7"/>
  <c r="F83" i="7" s="1"/>
  <c r="F82" i="7"/>
  <c r="E82" i="7"/>
  <c r="F81" i="7"/>
  <c r="E81" i="7"/>
  <c r="E80" i="7"/>
  <c r="F80" i="7" s="1"/>
  <c r="E79" i="7"/>
  <c r="F79" i="7" s="1"/>
  <c r="F78" i="7"/>
  <c r="E78" i="7"/>
  <c r="F77" i="7"/>
  <c r="E77" i="7"/>
  <c r="E76" i="7"/>
  <c r="F76" i="7" s="1"/>
  <c r="E75" i="7"/>
  <c r="F75" i="7" s="1"/>
  <c r="F74" i="7"/>
  <c r="E74" i="7"/>
  <c r="F73" i="7"/>
  <c r="E73" i="7"/>
  <c r="E72" i="7"/>
  <c r="F72" i="7" s="1"/>
  <c r="E71" i="7"/>
  <c r="F71" i="7" s="1"/>
  <c r="F70" i="7"/>
  <c r="E70" i="7"/>
  <c r="F69" i="7"/>
  <c r="E69" i="7"/>
  <c r="E68" i="7"/>
  <c r="F68" i="7" s="1"/>
  <c r="E67" i="7"/>
  <c r="F67" i="7" s="1"/>
  <c r="F66" i="7"/>
  <c r="E66" i="7"/>
  <c r="F65" i="7"/>
  <c r="E65" i="7"/>
  <c r="E64" i="7"/>
  <c r="F64" i="7" s="1"/>
  <c r="E63" i="7"/>
  <c r="F63" i="7" s="1"/>
  <c r="F62" i="7"/>
  <c r="E62" i="7"/>
  <c r="D59" i="7"/>
  <c r="C59" i="7"/>
  <c r="F58" i="7"/>
  <c r="E58" i="7"/>
  <c r="E57" i="7"/>
  <c r="F57" i="7" s="1"/>
  <c r="F56" i="7"/>
  <c r="E56" i="7"/>
  <c r="F55" i="7"/>
  <c r="E55" i="7"/>
  <c r="E54" i="7"/>
  <c r="F54" i="7" s="1"/>
  <c r="E53" i="7"/>
  <c r="F53" i="7" s="1"/>
  <c r="F50" i="7"/>
  <c r="E50" i="7"/>
  <c r="F47" i="7"/>
  <c r="E47" i="7"/>
  <c r="F44" i="7"/>
  <c r="E44" i="7"/>
  <c r="D41" i="7"/>
  <c r="E41" i="7" s="1"/>
  <c r="F41" i="7"/>
  <c r="C41" i="7"/>
  <c r="E40" i="7"/>
  <c r="F40" i="7" s="1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E29" i="7"/>
  <c r="F29" i="7" s="1"/>
  <c r="F28" i="7"/>
  <c r="E28" i="7"/>
  <c r="F27" i="7"/>
  <c r="E27" i="7"/>
  <c r="D24" i="7"/>
  <c r="C24" i="7"/>
  <c r="E23" i="7"/>
  <c r="F23" i="7" s="1"/>
  <c r="F22" i="7"/>
  <c r="E22" i="7"/>
  <c r="F21" i="7"/>
  <c r="E21" i="7"/>
  <c r="D18" i="7"/>
  <c r="E18" i="7" s="1"/>
  <c r="F18" i="7" s="1"/>
  <c r="C18" i="7"/>
  <c r="F17" i="7"/>
  <c r="E17" i="7"/>
  <c r="E16" i="7"/>
  <c r="F16" i="7" s="1"/>
  <c r="F15" i="7"/>
  <c r="E15" i="7"/>
  <c r="D179" i="6"/>
  <c r="E179" i="6" s="1"/>
  <c r="F179" i="6" s="1"/>
  <c r="C179" i="6"/>
  <c r="F178" i="6"/>
  <c r="E178" i="6"/>
  <c r="F177" i="6"/>
  <c r="E177" i="6"/>
  <c r="E176" i="6"/>
  <c r="F176" i="6" s="1"/>
  <c r="F175" i="6"/>
  <c r="E175" i="6"/>
  <c r="F174" i="6"/>
  <c r="E174" i="6"/>
  <c r="E173" i="6"/>
  <c r="F173" i="6" s="1"/>
  <c r="E172" i="6"/>
  <c r="F172" i="6" s="1"/>
  <c r="F171" i="6"/>
  <c r="E171" i="6"/>
  <c r="F170" i="6"/>
  <c r="E170" i="6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F159" i="6"/>
  <c r="E159" i="6"/>
  <c r="F158" i="6"/>
  <c r="E158" i="6"/>
  <c r="E157" i="6"/>
  <c r="F157" i="6" s="1"/>
  <c r="F156" i="6"/>
  <c r="E156" i="6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F147" i="6"/>
  <c r="E147" i="6"/>
  <c r="E146" i="6"/>
  <c r="F146" i="6" s="1"/>
  <c r="F145" i="6"/>
  <c r="E145" i="6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F130" i="6"/>
  <c r="E130" i="6"/>
  <c r="F129" i="6"/>
  <c r="E129" i="6"/>
  <c r="E128" i="6"/>
  <c r="F128" i="6" s="1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F120" i="6"/>
  <c r="E120" i="6"/>
  <c r="E119" i="6"/>
  <c r="F119" i="6" s="1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D111" i="6"/>
  <c r="C111" i="6"/>
  <c r="F110" i="6"/>
  <c r="E110" i="6"/>
  <c r="F109" i="6"/>
  <c r="E109" i="6"/>
  <c r="F108" i="6"/>
  <c r="E108" i="6"/>
  <c r="E107" i="6"/>
  <c r="F107" i="6" s="1"/>
  <c r="E106" i="6"/>
  <c r="F106" i="6" s="1"/>
  <c r="E105" i="6"/>
  <c r="F105" i="6" s="1"/>
  <c r="F104" i="6"/>
  <c r="E104" i="6"/>
  <c r="F103" i="6"/>
  <c r="E103" i="6"/>
  <c r="E102" i="6"/>
  <c r="F102" i="6" s="1"/>
  <c r="E101" i="6"/>
  <c r="F101" i="6" s="1"/>
  <c r="F100" i="6"/>
  <c r="E100" i="6"/>
  <c r="D94" i="6"/>
  <c r="C94" i="6"/>
  <c r="F94" i="6" s="1"/>
  <c r="D93" i="6"/>
  <c r="E93" i="6"/>
  <c r="C93" i="6"/>
  <c r="F93" i="6" s="1"/>
  <c r="D92" i="6"/>
  <c r="C92" i="6"/>
  <c r="D91" i="6"/>
  <c r="E91" i="6" s="1"/>
  <c r="F91" i="6"/>
  <c r="C91" i="6"/>
  <c r="D90" i="6"/>
  <c r="E90" i="6" s="1"/>
  <c r="F90" i="6" s="1"/>
  <c r="C90" i="6"/>
  <c r="D89" i="6"/>
  <c r="C89" i="6"/>
  <c r="D88" i="6"/>
  <c r="E88" i="6" s="1"/>
  <c r="C88" i="6"/>
  <c r="F87" i="6"/>
  <c r="D87" i="6"/>
  <c r="E87" i="6"/>
  <c r="C87" i="6"/>
  <c r="D86" i="6"/>
  <c r="C86" i="6"/>
  <c r="D85" i="6"/>
  <c r="E85" i="6" s="1"/>
  <c r="F85" i="6" s="1"/>
  <c r="C85" i="6"/>
  <c r="D84" i="6"/>
  <c r="C84" i="6"/>
  <c r="D81" i="6"/>
  <c r="E81" i="6" s="1"/>
  <c r="F81" i="6" s="1"/>
  <c r="C81" i="6"/>
  <c r="F80" i="6"/>
  <c r="E80" i="6"/>
  <c r="F79" i="6"/>
  <c r="E79" i="6"/>
  <c r="F78" i="6"/>
  <c r="E78" i="6"/>
  <c r="F77" i="6"/>
  <c r="E77" i="6"/>
  <c r="E76" i="6"/>
  <c r="F76" i="6" s="1"/>
  <c r="F75" i="6"/>
  <c r="E75" i="6"/>
  <c r="F74" i="6"/>
  <c r="E74" i="6"/>
  <c r="F73" i="6"/>
  <c r="E73" i="6"/>
  <c r="E72" i="6"/>
  <c r="F72" i="6" s="1"/>
  <c r="F71" i="6"/>
  <c r="E71" i="6"/>
  <c r="F70" i="6"/>
  <c r="E70" i="6"/>
  <c r="D68" i="6"/>
  <c r="E68" i="6" s="1"/>
  <c r="F68" i="6" s="1"/>
  <c r="C68" i="6"/>
  <c r="F67" i="6"/>
  <c r="E67" i="6"/>
  <c r="F66" i="6"/>
  <c r="E66" i="6"/>
  <c r="F65" i="6"/>
  <c r="E65" i="6"/>
  <c r="F64" i="6"/>
  <c r="E64" i="6"/>
  <c r="E63" i="6"/>
  <c r="F63" i="6" s="1"/>
  <c r="F62" i="6"/>
  <c r="E62" i="6"/>
  <c r="F61" i="6"/>
  <c r="E61" i="6"/>
  <c r="F60" i="6"/>
  <c r="E60" i="6"/>
  <c r="E59" i="6"/>
  <c r="F59" i="6" s="1"/>
  <c r="F58" i="6"/>
  <c r="E58" i="6"/>
  <c r="F57" i="6"/>
  <c r="E57" i="6"/>
  <c r="D51" i="6"/>
  <c r="C51" i="6"/>
  <c r="F51" i="6" s="1"/>
  <c r="F50" i="6"/>
  <c r="D50" i="6"/>
  <c r="E50" i="6" s="1"/>
  <c r="C50" i="6"/>
  <c r="D49" i="6"/>
  <c r="C49" i="6"/>
  <c r="D48" i="6"/>
  <c r="E48" i="6" s="1"/>
  <c r="F48" i="6" s="1"/>
  <c r="C48" i="6"/>
  <c r="D47" i="6"/>
  <c r="C47" i="6"/>
  <c r="D46" i="6"/>
  <c r="C46" i="6"/>
  <c r="D45" i="6"/>
  <c r="C45" i="6"/>
  <c r="F44" i="6"/>
  <c r="D44" i="6"/>
  <c r="E44" i="6"/>
  <c r="C44" i="6"/>
  <c r="D43" i="6"/>
  <c r="C43" i="6"/>
  <c r="D42" i="6"/>
  <c r="C42" i="6"/>
  <c r="D41" i="6"/>
  <c r="D52" i="6" s="1"/>
  <c r="C41" i="6"/>
  <c r="D38" i="6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C48" i="5"/>
  <c r="F48" i="5" s="1"/>
  <c r="F47" i="5"/>
  <c r="E47" i="5"/>
  <c r="F46" i="5"/>
  <c r="E46" i="5"/>
  <c r="D41" i="5"/>
  <c r="E41" i="5" s="1"/>
  <c r="C41" i="5"/>
  <c r="F41" i="5"/>
  <c r="E40" i="5"/>
  <c r="F40" i="5" s="1"/>
  <c r="F39" i="5"/>
  <c r="E39" i="5"/>
  <c r="E38" i="5"/>
  <c r="F38" i="5" s="1"/>
  <c r="D33" i="5"/>
  <c r="E33" i="5" s="1"/>
  <c r="C33" i="5"/>
  <c r="E32" i="5"/>
  <c r="F32" i="5" s="1"/>
  <c r="F31" i="5"/>
  <c r="E31" i="5"/>
  <c r="E30" i="5"/>
  <c r="F30" i="5" s="1"/>
  <c r="F29" i="5"/>
  <c r="E29" i="5"/>
  <c r="F28" i="5"/>
  <c r="E28" i="5"/>
  <c r="E27" i="5"/>
  <c r="F27" i="5" s="1"/>
  <c r="E26" i="5"/>
  <c r="F26" i="5" s="1"/>
  <c r="E25" i="5"/>
  <c r="F25" i="5" s="1"/>
  <c r="E24" i="5"/>
  <c r="F24" i="5" s="1"/>
  <c r="E20" i="5"/>
  <c r="F20" i="5" s="1"/>
  <c r="E19" i="5"/>
  <c r="F19" i="5" s="1"/>
  <c r="E17" i="5"/>
  <c r="F17" i="5" s="1"/>
  <c r="D16" i="5"/>
  <c r="C16" i="5"/>
  <c r="C18" i="5" s="1"/>
  <c r="F15" i="5"/>
  <c r="E15" i="5"/>
  <c r="E14" i="5"/>
  <c r="F14" i="5" s="1"/>
  <c r="E13" i="5"/>
  <c r="F13" i="5" s="1"/>
  <c r="E12" i="5"/>
  <c r="F12" i="5" s="1"/>
  <c r="D73" i="4"/>
  <c r="C73" i="4"/>
  <c r="F72" i="4"/>
  <c r="E72" i="4"/>
  <c r="E71" i="4"/>
  <c r="F71" i="4" s="1"/>
  <c r="E70" i="4"/>
  <c r="F70" i="4" s="1"/>
  <c r="F67" i="4"/>
  <c r="E67" i="4"/>
  <c r="F64" i="4"/>
  <c r="E64" i="4"/>
  <c r="E63" i="4"/>
  <c r="F63" i="4" s="1"/>
  <c r="D61" i="4"/>
  <c r="D65" i="4" s="1"/>
  <c r="C61" i="4"/>
  <c r="C65" i="4"/>
  <c r="F60" i="4"/>
  <c r="E60" i="4"/>
  <c r="E59" i="4"/>
  <c r="F59" i="4" s="1"/>
  <c r="D56" i="4"/>
  <c r="C56" i="4"/>
  <c r="E55" i="4"/>
  <c r="F55" i="4" s="1"/>
  <c r="F54" i="4"/>
  <c r="E54" i="4"/>
  <c r="E53" i="4"/>
  <c r="F53" i="4" s="1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F40" i="4"/>
  <c r="E40" i="4"/>
  <c r="D38" i="4"/>
  <c r="D41" i="4" s="1"/>
  <c r="C38" i="4"/>
  <c r="F37" i="4"/>
  <c r="E37" i="4"/>
  <c r="F36" i="4"/>
  <c r="E36" i="4"/>
  <c r="E33" i="4"/>
  <c r="F33" i="4" s="1"/>
  <c r="F32" i="4"/>
  <c r="E32" i="4"/>
  <c r="F31" i="4"/>
  <c r="E31" i="4"/>
  <c r="D29" i="4"/>
  <c r="E29" i="4" s="1"/>
  <c r="F29" i="4"/>
  <c r="C29" i="4"/>
  <c r="E28" i="4"/>
  <c r="F28" i="4" s="1"/>
  <c r="F27" i="4"/>
  <c r="E27" i="4"/>
  <c r="F26" i="4"/>
  <c r="E26" i="4"/>
  <c r="F25" i="4"/>
  <c r="E25" i="4"/>
  <c r="D22" i="4"/>
  <c r="C22" i="4"/>
  <c r="E21" i="4"/>
  <c r="F21" i="4" s="1"/>
  <c r="E20" i="4"/>
  <c r="F20" i="4" s="1"/>
  <c r="E19" i="4"/>
  <c r="F19" i="4" s="1"/>
  <c r="F18" i="4"/>
  <c r="E18" i="4"/>
  <c r="E17" i="4"/>
  <c r="F17" i="4" s="1"/>
  <c r="E16" i="4"/>
  <c r="F16" i="4" s="1"/>
  <c r="E15" i="4"/>
  <c r="F15" i="4" s="1"/>
  <c r="E14" i="4"/>
  <c r="F14" i="4" s="1"/>
  <c r="F13" i="4"/>
  <c r="E13" i="4"/>
  <c r="C108" i="22"/>
  <c r="C23" i="22"/>
  <c r="C36" i="22" s="1"/>
  <c r="E23" i="22"/>
  <c r="E30" i="22" s="1"/>
  <c r="E48" i="22" s="1"/>
  <c r="C34" i="22"/>
  <c r="E34" i="22"/>
  <c r="E102" i="22"/>
  <c r="E103" i="22" s="1"/>
  <c r="C22" i="22"/>
  <c r="E22" i="22"/>
  <c r="E295" i="17"/>
  <c r="E296" i="17"/>
  <c r="F296" i="17" s="1"/>
  <c r="E39" i="20"/>
  <c r="F39" i="20" s="1"/>
  <c r="E19" i="20"/>
  <c r="F19" i="20" s="1"/>
  <c r="D22" i="18"/>
  <c r="E37" i="18"/>
  <c r="C65" i="18"/>
  <c r="C294" i="18" s="1"/>
  <c r="C66" i="18"/>
  <c r="C71" i="18"/>
  <c r="E32" i="18"/>
  <c r="E36" i="18"/>
  <c r="C144" i="18"/>
  <c r="C145" i="18" s="1"/>
  <c r="E188" i="18"/>
  <c r="D252" i="18"/>
  <c r="C217" i="18"/>
  <c r="C241" i="18"/>
  <c r="E219" i="18"/>
  <c r="C222" i="18"/>
  <c r="C246" i="18" s="1"/>
  <c r="E233" i="18"/>
  <c r="E102" i="17"/>
  <c r="C61" i="17"/>
  <c r="F102" i="17"/>
  <c r="C103" i="17"/>
  <c r="D21" i="17"/>
  <c r="E101" i="17"/>
  <c r="F101" i="17" s="1"/>
  <c r="E136" i="17"/>
  <c r="F136" i="17" s="1"/>
  <c r="E144" i="17"/>
  <c r="F144" i="17" s="1"/>
  <c r="E188" i="17"/>
  <c r="F188" i="17"/>
  <c r="C21" i="17"/>
  <c r="E59" i="17"/>
  <c r="F59" i="17" s="1"/>
  <c r="D159" i="17"/>
  <c r="D172" i="17"/>
  <c r="E172" i="17" s="1"/>
  <c r="C279" i="17"/>
  <c r="D215" i="17"/>
  <c r="E189" i="17"/>
  <c r="F189" i="17" s="1"/>
  <c r="C190" i="17"/>
  <c r="C199" i="17"/>
  <c r="C200" i="17"/>
  <c r="C286" i="17"/>
  <c r="C205" i="17"/>
  <c r="C206" i="17"/>
  <c r="C214" i="17"/>
  <c r="C304" i="17" s="1"/>
  <c r="C215" i="17"/>
  <c r="E226" i="17"/>
  <c r="F226" i="17" s="1"/>
  <c r="C254" i="17"/>
  <c r="C255" i="17"/>
  <c r="C261" i="17"/>
  <c r="C262" i="17"/>
  <c r="C272" i="17" s="1"/>
  <c r="C264" i="17"/>
  <c r="C300" i="17" s="1"/>
  <c r="C267" i="17"/>
  <c r="C269" i="17"/>
  <c r="C274" i="17"/>
  <c r="D193" i="17"/>
  <c r="D274" i="17"/>
  <c r="E274" i="17" s="1"/>
  <c r="F274" i="17" s="1"/>
  <c r="D283" i="17"/>
  <c r="D286" i="17" s="1"/>
  <c r="E286" i="17" s="1"/>
  <c r="D285" i="17"/>
  <c r="D269" i="17"/>
  <c r="E269" i="17"/>
  <c r="F295" i="17"/>
  <c r="F297" i="17"/>
  <c r="I33" i="14"/>
  <c r="I36" i="14" s="1"/>
  <c r="I17" i="14"/>
  <c r="H17" i="14"/>
  <c r="D15" i="13"/>
  <c r="D24" i="13" s="1"/>
  <c r="C17" i="13"/>
  <c r="C28" i="13" s="1"/>
  <c r="C70" i="13" s="1"/>
  <c r="C72" i="13" s="1"/>
  <c r="C69" i="13" s="1"/>
  <c r="D48" i="13"/>
  <c r="D42" i="13" s="1"/>
  <c r="D17" i="12"/>
  <c r="D20" i="12" s="1"/>
  <c r="E22" i="11"/>
  <c r="F22" i="11"/>
  <c r="E112" i="10"/>
  <c r="D25" i="8"/>
  <c r="D27" i="8"/>
  <c r="D15" i="8"/>
  <c r="D24" i="8" s="1"/>
  <c r="D20" i="8" s="1"/>
  <c r="C53" i="8"/>
  <c r="C43" i="8"/>
  <c r="E53" i="8"/>
  <c r="E43" i="8"/>
  <c r="C49" i="8"/>
  <c r="E57" i="8"/>
  <c r="E62" i="8"/>
  <c r="D88" i="8"/>
  <c r="D90" i="8"/>
  <c r="D86" i="8" s="1"/>
  <c r="D77" i="8"/>
  <c r="D71" i="8"/>
  <c r="C71" i="8"/>
  <c r="E49" i="8"/>
  <c r="C57" i="8"/>
  <c r="C62" i="8" s="1"/>
  <c r="E157" i="8"/>
  <c r="D49" i="8"/>
  <c r="E41" i="6"/>
  <c r="F41" i="6" s="1"/>
  <c r="E84" i="6"/>
  <c r="F84" i="6" s="1"/>
  <c r="E38" i="4"/>
  <c r="E61" i="4"/>
  <c r="F61" i="4" s="1"/>
  <c r="E53" i="22"/>
  <c r="E45" i="22"/>
  <c r="E39" i="22"/>
  <c r="E35" i="22"/>
  <c r="C111" i="22"/>
  <c r="C46" i="22"/>
  <c r="C40" i="22"/>
  <c r="C53" i="22"/>
  <c r="C45" i="22"/>
  <c r="C39" i="22"/>
  <c r="C35" i="22"/>
  <c r="E54" i="22"/>
  <c r="E36" i="22"/>
  <c r="D255" i="17"/>
  <c r="E255" i="17"/>
  <c r="C91" i="17"/>
  <c r="C92" i="17" s="1"/>
  <c r="C271" i="17"/>
  <c r="D91" i="17"/>
  <c r="D92" i="17" s="1"/>
  <c r="E21" i="17"/>
  <c r="E103" i="17"/>
  <c r="F103" i="17" s="1"/>
  <c r="C62" i="17"/>
  <c r="C63" i="17" s="1"/>
  <c r="C105" i="17"/>
  <c r="E17" i="12"/>
  <c r="F17" i="12" s="1"/>
  <c r="C34" i="12"/>
  <c r="D21" i="8"/>
  <c r="C21" i="5"/>
  <c r="C35" i="5"/>
  <c r="C43" i="5" s="1"/>
  <c r="F23" i="17" l="1"/>
  <c r="C193" i="17"/>
  <c r="C282" i="17" s="1"/>
  <c r="C192" i="17"/>
  <c r="E192" i="17" s="1"/>
  <c r="F192" i="17" s="1"/>
  <c r="F123" i="17"/>
  <c r="C124" i="17"/>
  <c r="C42" i="12"/>
  <c r="C49" i="12" s="1"/>
  <c r="E109" i="22"/>
  <c r="E108" i="22"/>
  <c r="E20" i="12"/>
  <c r="F20" i="12" s="1"/>
  <c r="D34" i="12"/>
  <c r="E165" i="17"/>
  <c r="F165" i="17"/>
  <c r="C173" i="17"/>
  <c r="F172" i="17"/>
  <c r="E314" i="18"/>
  <c r="D316" i="18"/>
  <c r="F285" i="17"/>
  <c r="C211" i="18"/>
  <c r="C234" i="18"/>
  <c r="C180" i="18"/>
  <c r="D41" i="11"/>
  <c r="D43" i="11" s="1"/>
  <c r="E38" i="11"/>
  <c r="F38" i="11" s="1"/>
  <c r="E198" i="9"/>
  <c r="D207" i="9"/>
  <c r="E207" i="9" s="1"/>
  <c r="F207" i="9" s="1"/>
  <c r="E80" i="13"/>
  <c r="E77" i="13" s="1"/>
  <c r="F33" i="14"/>
  <c r="F31" i="14"/>
  <c r="E16" i="15"/>
  <c r="F16" i="15" s="1"/>
  <c r="F130" i="17"/>
  <c r="E130" i="17"/>
  <c r="C22" i="18"/>
  <c r="E22" i="18" s="1"/>
  <c r="E21" i="18"/>
  <c r="D71" i="18"/>
  <c r="E60" i="18"/>
  <c r="C101" i="22"/>
  <c r="C102" i="22"/>
  <c r="E123" i="17"/>
  <c r="C283" i="18"/>
  <c r="E283" i="18" s="1"/>
  <c r="F286" i="17"/>
  <c r="E265" i="18"/>
  <c r="E144" i="18"/>
  <c r="D145" i="18"/>
  <c r="E145" i="18" s="1"/>
  <c r="C273" i="17"/>
  <c r="E283" i="17"/>
  <c r="F283" i="17" s="1"/>
  <c r="F269" i="17"/>
  <c r="C139" i="17"/>
  <c r="F37" i="9"/>
  <c r="E37" i="9"/>
  <c r="F154" i="9"/>
  <c r="F113" i="10"/>
  <c r="E113" i="10"/>
  <c r="C122" i="10"/>
  <c r="F122" i="10" s="1"/>
  <c r="E60" i="17"/>
  <c r="F60" i="17" s="1"/>
  <c r="D61" i="17"/>
  <c r="E237" i="17"/>
  <c r="F237" i="17" s="1"/>
  <c r="C68" i="17"/>
  <c r="F67" i="17"/>
  <c r="D260" i="18"/>
  <c r="E195" i="18"/>
  <c r="C121" i="10"/>
  <c r="D20" i="13"/>
  <c r="C41" i="4"/>
  <c r="E41" i="4" s="1"/>
  <c r="F41" i="4" s="1"/>
  <c r="F38" i="4"/>
  <c r="E203" i="17"/>
  <c r="F203" i="17" s="1"/>
  <c r="D267" i="17"/>
  <c r="D205" i="17"/>
  <c r="E205" i="17" s="1"/>
  <c r="F205" i="17" s="1"/>
  <c r="C261" i="18"/>
  <c r="C189" i="18"/>
  <c r="E189" i="18" s="1"/>
  <c r="I38" i="14"/>
  <c r="I40" i="14" s="1"/>
  <c r="C149" i="8"/>
  <c r="F23" i="9"/>
  <c r="E201" i="9"/>
  <c r="F201" i="9" s="1"/>
  <c r="E107" i="15"/>
  <c r="F107" i="15" s="1"/>
  <c r="E23" i="17"/>
  <c r="C90" i="17"/>
  <c r="D277" i="17"/>
  <c r="D261" i="17"/>
  <c r="D206" i="17"/>
  <c r="C287" i="17"/>
  <c r="C291" i="17" s="1"/>
  <c r="C284" i="17"/>
  <c r="E167" i="18"/>
  <c r="E177" i="18"/>
  <c r="E261" i="18"/>
  <c r="C54" i="22"/>
  <c r="D262" i="17"/>
  <c r="E73" i="4"/>
  <c r="F73" i="4" s="1"/>
  <c r="F33" i="5"/>
  <c r="E23" i="9"/>
  <c r="E141" i="9"/>
  <c r="D27" i="13"/>
  <c r="E298" i="17"/>
  <c r="C295" i="18"/>
  <c r="E173" i="18"/>
  <c r="E281" i="18"/>
  <c r="E114" i="10"/>
  <c r="D17" i="13"/>
  <c r="D28" i="13" s="1"/>
  <c r="D70" i="13" s="1"/>
  <c r="D72" i="13" s="1"/>
  <c r="D190" i="17"/>
  <c r="C75" i="4"/>
  <c r="E86" i="6"/>
  <c r="E89" i="6"/>
  <c r="F89" i="6" s="1"/>
  <c r="E137" i="6"/>
  <c r="F137" i="6" s="1"/>
  <c r="C37" i="17"/>
  <c r="E94" i="17"/>
  <c r="E179" i="17"/>
  <c r="E73" i="18"/>
  <c r="E179" i="18"/>
  <c r="C253" i="18"/>
  <c r="C254" i="18" s="1"/>
  <c r="E166" i="6"/>
  <c r="F166" i="6" s="1"/>
  <c r="F50" i="9"/>
  <c r="E206" i="9"/>
  <c r="F206" i="9" s="1"/>
  <c r="E42" i="13"/>
  <c r="E324" i="18"/>
  <c r="E88" i="17"/>
  <c r="F88" i="17" s="1"/>
  <c r="C175" i="18"/>
  <c r="D17" i="8"/>
  <c r="C104" i="17"/>
  <c r="D173" i="17"/>
  <c r="E173" i="17" s="1"/>
  <c r="C30" i="22"/>
  <c r="E108" i="10"/>
  <c r="E285" i="17"/>
  <c r="C270" i="17"/>
  <c r="E190" i="17"/>
  <c r="F190" i="17" s="1"/>
  <c r="D124" i="17"/>
  <c r="D214" i="17"/>
  <c r="E51" i="6"/>
  <c r="D188" i="7"/>
  <c r="E102" i="9"/>
  <c r="E96" i="10"/>
  <c r="E119" i="10"/>
  <c r="E37" i="15"/>
  <c r="F37" i="15" s="1"/>
  <c r="F129" i="17"/>
  <c r="E145" i="17"/>
  <c r="F145" i="17" s="1"/>
  <c r="D245" i="18"/>
  <c r="E245" i="18" s="1"/>
  <c r="E221" i="18"/>
  <c r="C252" i="18"/>
  <c r="E231" i="18"/>
  <c r="E38" i="6"/>
  <c r="F38" i="6" s="1"/>
  <c r="F94" i="17"/>
  <c r="D208" i="9"/>
  <c r="E215" i="17"/>
  <c r="F215" i="17" s="1"/>
  <c r="E89" i="9"/>
  <c r="F89" i="9"/>
  <c r="F140" i="9"/>
  <c r="E140" i="9"/>
  <c r="C207" i="17"/>
  <c r="F207" i="17" s="1"/>
  <c r="C138" i="17"/>
  <c r="C140" i="17" s="1"/>
  <c r="C141" i="17" s="1"/>
  <c r="C306" i="17"/>
  <c r="E250" i="17"/>
  <c r="F250" i="17" s="1"/>
  <c r="D122" i="10"/>
  <c r="E122" i="10" s="1"/>
  <c r="D50" i="13"/>
  <c r="E31" i="14"/>
  <c r="E30" i="15"/>
  <c r="E45" i="15"/>
  <c r="F45" i="15" s="1"/>
  <c r="E58" i="17"/>
  <c r="E67" i="17"/>
  <c r="E306" i="17"/>
  <c r="E72" i="18"/>
  <c r="C93" i="22"/>
  <c r="D161" i="17"/>
  <c r="D162" i="17" s="1"/>
  <c r="E42" i="6"/>
  <c r="F42" i="6" s="1"/>
  <c r="E49" i="6"/>
  <c r="F49" i="6" s="1"/>
  <c r="E167" i="7"/>
  <c r="D109" i="8"/>
  <c r="D106" i="8" s="1"/>
  <c r="E63" i="9"/>
  <c r="E179" i="9"/>
  <c r="E199" i="9"/>
  <c r="E60" i="10"/>
  <c r="E100" i="15"/>
  <c r="F100" i="15" s="1"/>
  <c r="F22" i="16"/>
  <c r="E120" i="17"/>
  <c r="F120" i="17" s="1"/>
  <c r="C239" i="17"/>
  <c r="C43" i="18"/>
  <c r="C44" i="18" s="1"/>
  <c r="E227" i="18"/>
  <c r="E293" i="18"/>
  <c r="E45" i="20"/>
  <c r="F45" i="20" s="1"/>
  <c r="D75" i="4"/>
  <c r="E48" i="5"/>
  <c r="E46" i="6"/>
  <c r="F46" i="6" s="1"/>
  <c r="E153" i="9"/>
  <c r="D121" i="10"/>
  <c r="E73" i="11"/>
  <c r="F73" i="11" s="1"/>
  <c r="E279" i="18"/>
  <c r="E36" i="20"/>
  <c r="F36" i="20" s="1"/>
  <c r="C88" i="22"/>
  <c r="C126" i="17"/>
  <c r="C127" i="17" s="1"/>
  <c r="C148" i="17" s="1"/>
  <c r="E47" i="6"/>
  <c r="E92" i="6"/>
  <c r="F92" i="6" s="1"/>
  <c r="E124" i="6"/>
  <c r="F124" i="6" s="1"/>
  <c r="E114" i="9"/>
  <c r="F15" i="12"/>
  <c r="C80" i="13"/>
  <c r="C77" i="13" s="1"/>
  <c r="D282" i="17"/>
  <c r="E204" i="17"/>
  <c r="F204" i="17" s="1"/>
  <c r="D239" i="17"/>
  <c r="F44" i="20"/>
  <c r="E92" i="17"/>
  <c r="F92" i="17" s="1"/>
  <c r="C50" i="5"/>
  <c r="D48" i="17"/>
  <c r="E47" i="17"/>
  <c r="F47" i="17" s="1"/>
  <c r="E260" i="18"/>
  <c r="F23" i="10"/>
  <c r="E23" i="10"/>
  <c r="C65" i="11"/>
  <c r="E65" i="11" s="1"/>
  <c r="E61" i="11"/>
  <c r="F61" i="11" s="1"/>
  <c r="D68" i="17"/>
  <c r="E66" i="17"/>
  <c r="F66" i="17" s="1"/>
  <c r="E55" i="18"/>
  <c r="C284" i="18"/>
  <c r="D156" i="18"/>
  <c r="D163" i="18"/>
  <c r="E151" i="18"/>
  <c r="D175" i="18"/>
  <c r="E175" i="18" s="1"/>
  <c r="D229" i="18"/>
  <c r="E229" i="18" s="1"/>
  <c r="E205" i="18"/>
  <c r="D108" i="22"/>
  <c r="D109" i="22"/>
  <c r="E59" i="7"/>
  <c r="F59" i="7" s="1"/>
  <c r="D95" i="7"/>
  <c r="E161" i="18"/>
  <c r="C268" i="17"/>
  <c r="C263" i="17"/>
  <c r="F167" i="7"/>
  <c r="E91" i="17"/>
  <c r="F91" i="17" s="1"/>
  <c r="C106" i="17"/>
  <c r="E38" i="22"/>
  <c r="E207" i="17"/>
  <c r="E41" i="20"/>
  <c r="F41" i="20" s="1"/>
  <c r="E167" i="9"/>
  <c r="F192" i="9"/>
  <c r="E205" i="9"/>
  <c r="F205" i="9" s="1"/>
  <c r="D69" i="13"/>
  <c r="C288" i="17"/>
  <c r="E210" i="18"/>
  <c r="D234" i="18"/>
  <c r="E234" i="18" s="1"/>
  <c r="D211" i="18"/>
  <c r="D180" i="18"/>
  <c r="E180" i="18" s="1"/>
  <c r="E14" i="16"/>
  <c r="F14" i="16" s="1"/>
  <c r="E206" i="17"/>
  <c r="F206" i="17" s="1"/>
  <c r="E52" i="6"/>
  <c r="D31" i="17"/>
  <c r="E30" i="17"/>
  <c r="F30" i="17" s="1"/>
  <c r="D111" i="17"/>
  <c r="E111" i="17" s="1"/>
  <c r="F111" i="17" s="1"/>
  <c r="E109" i="17"/>
  <c r="F109" i="17" s="1"/>
  <c r="C76" i="18"/>
  <c r="E70" i="18"/>
  <c r="F65" i="4"/>
  <c r="D18" i="5"/>
  <c r="E16" i="5"/>
  <c r="F16" i="5" s="1"/>
  <c r="E62" i="9"/>
  <c r="F88" i="9"/>
  <c r="E88" i="9"/>
  <c r="D75" i="11"/>
  <c r="F92" i="15"/>
  <c r="E92" i="15"/>
  <c r="E154" i="8"/>
  <c r="E152" i="8"/>
  <c r="E156" i="8"/>
  <c r="E155" i="8"/>
  <c r="E153" i="8"/>
  <c r="D156" i="8"/>
  <c r="D154" i="8"/>
  <c r="D152" i="8"/>
  <c r="D155" i="8"/>
  <c r="D153" i="8"/>
  <c r="D157" i="8"/>
  <c r="C188" i="7"/>
  <c r="E183" i="7"/>
  <c r="F183" i="7" s="1"/>
  <c r="E56" i="22"/>
  <c r="E113" i="22"/>
  <c r="C17" i="8"/>
  <c r="C216" i="17"/>
  <c r="F47" i="6"/>
  <c r="C239" i="18"/>
  <c r="E239" i="18" s="1"/>
  <c r="E215" i="18"/>
  <c r="C223" i="18"/>
  <c r="C247" i="18" s="1"/>
  <c r="E20" i="17"/>
  <c r="F20" i="17" s="1"/>
  <c r="D266" i="17"/>
  <c r="C156" i="18"/>
  <c r="C163" i="18"/>
  <c r="C324" i="17"/>
  <c r="C113" i="17"/>
  <c r="E25" i="6"/>
  <c r="F25" i="6"/>
  <c r="C208" i="9"/>
  <c r="E208" i="9" s="1"/>
  <c r="F199" i="9"/>
  <c r="C322" i="17"/>
  <c r="C266" i="17"/>
  <c r="C194" i="17"/>
  <c r="D43" i="4"/>
  <c r="E22" i="4"/>
  <c r="F22" i="4" s="1"/>
  <c r="C155" i="8"/>
  <c r="C153" i="8"/>
  <c r="C156" i="8"/>
  <c r="C154" i="8"/>
  <c r="C152" i="8"/>
  <c r="C157" i="8"/>
  <c r="D49" i="17"/>
  <c r="E278" i="17"/>
  <c r="F278" i="17" s="1"/>
  <c r="D288" i="17"/>
  <c r="E46" i="22"/>
  <c r="E40" i="22"/>
  <c r="E111" i="22"/>
  <c r="E25" i="8"/>
  <c r="E27" i="8" s="1"/>
  <c r="E15" i="8"/>
  <c r="F255" i="17"/>
  <c r="C125" i="17"/>
  <c r="F58" i="17"/>
  <c r="C29" i="22"/>
  <c r="C110" i="22"/>
  <c r="E45" i="6"/>
  <c r="F45" i="6" s="1"/>
  <c r="E94" i="6"/>
  <c r="E76" i="9"/>
  <c r="F76" i="9" s="1"/>
  <c r="F107" i="10"/>
  <c r="E107" i="10"/>
  <c r="E25" i="13"/>
  <c r="E27" i="13" s="1"/>
  <c r="E15" i="13"/>
  <c r="C48" i="13"/>
  <c r="C42" i="13" s="1"/>
  <c r="C59" i="13"/>
  <c r="C61" i="13" s="1"/>
  <c r="C57" i="13" s="1"/>
  <c r="E52" i="17"/>
  <c r="F52" i="17" s="1"/>
  <c r="E180" i="17"/>
  <c r="D181" i="17"/>
  <c r="D280" i="17"/>
  <c r="D264" i="17"/>
  <c r="C244" i="18"/>
  <c r="E244" i="18" s="1"/>
  <c r="E220" i="18"/>
  <c r="E301" i="18"/>
  <c r="D303" i="18"/>
  <c r="D23" i="22"/>
  <c r="D33" i="22"/>
  <c r="D34" i="22"/>
  <c r="D22" i="22"/>
  <c r="C103" i="22"/>
  <c r="D194" i="17"/>
  <c r="E193" i="17"/>
  <c r="F193" i="17" s="1"/>
  <c r="C49" i="17"/>
  <c r="F21" i="17"/>
  <c r="F121" i="10"/>
  <c r="D330" i="18"/>
  <c r="E330" i="18" s="1"/>
  <c r="E326" i="18"/>
  <c r="E252" i="18"/>
  <c r="E43" i="6"/>
  <c r="F43" i="6" s="1"/>
  <c r="F86" i="6"/>
  <c r="E121" i="7"/>
  <c r="F121" i="7" s="1"/>
  <c r="C140" i="8"/>
  <c r="C136" i="8"/>
  <c r="C135" i="8"/>
  <c r="E70" i="15"/>
  <c r="F70" i="15" s="1"/>
  <c r="D240" i="18"/>
  <c r="D222" i="18"/>
  <c r="E216" i="18"/>
  <c r="D46" i="20"/>
  <c r="E43" i="20"/>
  <c r="E24" i="7"/>
  <c r="F24" i="7" s="1"/>
  <c r="D37" i="17"/>
  <c r="E37" i="17" s="1"/>
  <c r="F37" i="17" s="1"/>
  <c r="E35" i="17"/>
  <c r="F35" i="17" s="1"/>
  <c r="F180" i="17"/>
  <c r="C181" i="17"/>
  <c r="F181" i="17" s="1"/>
  <c r="D284" i="18"/>
  <c r="F114" i="9"/>
  <c r="C27" i="13"/>
  <c r="F50" i="15"/>
  <c r="D290" i="17"/>
  <c r="E290" i="17" s="1"/>
  <c r="F290" i="17" s="1"/>
  <c r="E198" i="17"/>
  <c r="D199" i="17"/>
  <c r="E199" i="17" s="1"/>
  <c r="F199" i="17" s="1"/>
  <c r="C242" i="18"/>
  <c r="E242" i="18" s="1"/>
  <c r="E218" i="18"/>
  <c r="E302" i="18"/>
  <c r="C303" i="18"/>
  <c r="C306" i="18" s="1"/>
  <c r="C310" i="18" s="1"/>
  <c r="F88" i="6"/>
  <c r="D43" i="8"/>
  <c r="D53" i="8"/>
  <c r="F71" i="10"/>
  <c r="E71" i="10"/>
  <c r="C77" i="17"/>
  <c r="E77" i="17" s="1"/>
  <c r="E76" i="17"/>
  <c r="F76" i="17" s="1"/>
  <c r="E170" i="17"/>
  <c r="F170" i="17"/>
  <c r="D217" i="18"/>
  <c r="E56" i="4"/>
  <c r="F56" i="4" s="1"/>
  <c r="E65" i="4"/>
  <c r="C52" i="6"/>
  <c r="C95" i="6"/>
  <c r="E153" i="6"/>
  <c r="F153" i="6" s="1"/>
  <c r="C95" i="7"/>
  <c r="D149" i="8"/>
  <c r="E75" i="9"/>
  <c r="F75" i="9" s="1"/>
  <c r="E203" i="9"/>
  <c r="F203" i="9" s="1"/>
  <c r="D33" i="14"/>
  <c r="D36" i="14" s="1"/>
  <c r="D38" i="14" s="1"/>
  <c r="D40" i="14" s="1"/>
  <c r="D31" i="14"/>
  <c r="D76" i="18"/>
  <c r="E71" i="18"/>
  <c r="C60" i="19"/>
  <c r="C64" i="19"/>
  <c r="C65" i="19" s="1"/>
  <c r="C114" i="19" s="1"/>
  <c r="C116" i="19" s="1"/>
  <c r="C119" i="19" s="1"/>
  <c r="C123" i="19" s="1"/>
  <c r="D41" i="20"/>
  <c r="E29" i="22"/>
  <c r="E110" i="22"/>
  <c r="E75" i="4"/>
  <c r="F75" i="4" s="1"/>
  <c r="D95" i="6"/>
  <c r="E35" i="7"/>
  <c r="F35" i="7" s="1"/>
  <c r="E193" i="9"/>
  <c r="F193" i="9" s="1"/>
  <c r="D138" i="17"/>
  <c r="E137" i="17"/>
  <c r="F137" i="17" s="1"/>
  <c r="F229" i="17"/>
  <c r="E111" i="6"/>
  <c r="F111" i="6" s="1"/>
  <c r="E30" i="7"/>
  <c r="F30" i="7" s="1"/>
  <c r="E149" i="8"/>
  <c r="F127" i="9"/>
  <c r="C43" i="11"/>
  <c r="F32" i="12"/>
  <c r="F40" i="12"/>
  <c r="C31" i="14"/>
  <c r="I31" i="14" s="1"/>
  <c r="E50" i="15"/>
  <c r="E75" i="15"/>
  <c r="F75" i="15" s="1"/>
  <c r="D102" i="22"/>
  <c r="D101" i="22"/>
  <c r="F198" i="9"/>
  <c r="F65" i="15"/>
  <c r="F18" i="16"/>
  <c r="E89" i="17"/>
  <c r="F89" i="17" s="1"/>
  <c r="F95" i="17"/>
  <c r="E146" i="17"/>
  <c r="F146" i="17" s="1"/>
  <c r="C159" i="17"/>
  <c r="E159" i="17" s="1"/>
  <c r="F158" i="17"/>
  <c r="D43" i="18"/>
  <c r="D44" i="18" s="1"/>
  <c r="F22" i="20"/>
  <c r="E25" i="20"/>
  <c r="F25" i="20" s="1"/>
  <c r="C90" i="8"/>
  <c r="C86" i="8" s="1"/>
  <c r="E115" i="9"/>
  <c r="F115" i="9" s="1"/>
  <c r="F48" i="10"/>
  <c r="E48" i="10"/>
  <c r="F21" i="21"/>
  <c r="E101" i="9"/>
  <c r="D289" i="18"/>
  <c r="E289" i="18" s="1"/>
  <c r="D65" i="18"/>
  <c r="C37" i="19"/>
  <c r="C38" i="19" s="1"/>
  <c r="C127" i="19" s="1"/>
  <c r="C129" i="19" s="1"/>
  <c r="C133" i="19" s="1"/>
  <c r="C46" i="20"/>
  <c r="E166" i="9"/>
  <c r="F202" i="9"/>
  <c r="E117" i="10"/>
  <c r="E158" i="17"/>
  <c r="E54" i="18"/>
  <c r="E176" i="18"/>
  <c r="E292" i="18"/>
  <c r="F128" i="9"/>
  <c r="F200" i="9"/>
  <c r="E72" i="10"/>
  <c r="E115" i="10"/>
  <c r="E40" i="12"/>
  <c r="F23" i="15"/>
  <c r="E55" i="15"/>
  <c r="F55" i="15" s="1"/>
  <c r="E100" i="17"/>
  <c r="F100" i="17" s="1"/>
  <c r="F198" i="17"/>
  <c r="F223" i="17"/>
  <c r="F230" i="17"/>
  <c r="E40" i="18"/>
  <c r="F124" i="17" l="1"/>
  <c r="C97" i="18"/>
  <c r="C95" i="18"/>
  <c r="C96" i="18"/>
  <c r="C98" i="18"/>
  <c r="C89" i="18"/>
  <c r="C101" i="18"/>
  <c r="C99" i="18"/>
  <c r="C87" i="18"/>
  <c r="C84" i="18"/>
  <c r="C258" i="18"/>
  <c r="C85" i="18"/>
  <c r="C90" i="18" s="1"/>
  <c r="C91" i="18" s="1"/>
  <c r="C105" i="18" s="1"/>
  <c r="C100" i="18"/>
  <c r="C102" i="18" s="1"/>
  <c r="C103" i="18" s="1"/>
  <c r="C88" i="18"/>
  <c r="C83" i="18"/>
  <c r="C86" i="18"/>
  <c r="E267" i="17"/>
  <c r="F267" i="17" s="1"/>
  <c r="D270" i="17"/>
  <c r="E270" i="17" s="1"/>
  <c r="F270" i="17" s="1"/>
  <c r="F173" i="17"/>
  <c r="C175" i="17"/>
  <c r="C176" i="17" s="1"/>
  <c r="C174" i="17"/>
  <c r="C43" i="4"/>
  <c r="C208" i="17"/>
  <c r="C210" i="17" s="1"/>
  <c r="D254" i="17"/>
  <c r="E254" i="17" s="1"/>
  <c r="F254" i="17" s="1"/>
  <c r="D216" i="17"/>
  <c r="E43" i="11"/>
  <c r="E43" i="4"/>
  <c r="F43" i="4" s="1"/>
  <c r="E214" i="17"/>
  <c r="F214" i="17" s="1"/>
  <c r="E158" i="8"/>
  <c r="E239" i="17"/>
  <c r="F239" i="17" s="1"/>
  <c r="D126" i="17"/>
  <c r="E124" i="17"/>
  <c r="D28" i="8"/>
  <c r="D112" i="8"/>
  <c r="D111" i="8" s="1"/>
  <c r="E262" i="17"/>
  <c r="F262" i="17" s="1"/>
  <c r="D272" i="17"/>
  <c r="E272" i="17" s="1"/>
  <c r="F272" i="17" s="1"/>
  <c r="C139" i="8"/>
  <c r="C137" i="8"/>
  <c r="C138" i="8"/>
  <c r="D209" i="17"/>
  <c r="D104" i="17"/>
  <c r="E104" i="17" s="1"/>
  <c r="F104" i="17" s="1"/>
  <c r="E61" i="17"/>
  <c r="F61" i="17" s="1"/>
  <c r="C235" i="18"/>
  <c r="C181" i="18"/>
  <c r="D22" i="13"/>
  <c r="D21" i="13"/>
  <c r="E121" i="10"/>
  <c r="D320" i="18"/>
  <c r="E320" i="18" s="1"/>
  <c r="E316" i="18"/>
  <c r="D271" i="17"/>
  <c r="D268" i="17"/>
  <c r="D263" i="17"/>
  <c r="E263" i="17" s="1"/>
  <c r="F263" i="17" s="1"/>
  <c r="C141" i="8"/>
  <c r="E277" i="17"/>
  <c r="F277" i="17" s="1"/>
  <c r="D287" i="17"/>
  <c r="D284" i="17"/>
  <c r="E284" i="17" s="1"/>
  <c r="F284" i="17" s="1"/>
  <c r="D279" i="17"/>
  <c r="E279" i="17" s="1"/>
  <c r="F279" i="17" s="1"/>
  <c r="C161" i="17"/>
  <c r="C162" i="17" s="1"/>
  <c r="E181" i="17"/>
  <c r="D174" i="17"/>
  <c r="E174" i="17" s="1"/>
  <c r="E261" i="17"/>
  <c r="F261" i="17" s="1"/>
  <c r="H33" i="14"/>
  <c r="H36" i="14" s="1"/>
  <c r="H38" i="14" s="1"/>
  <c r="H40" i="14" s="1"/>
  <c r="F36" i="14"/>
  <c r="F38" i="14" s="1"/>
  <c r="F40" i="14" s="1"/>
  <c r="D42" i="12"/>
  <c r="E34" i="12"/>
  <c r="F34" i="12" s="1"/>
  <c r="E41" i="11"/>
  <c r="F41" i="11" s="1"/>
  <c r="E284" i="18"/>
  <c r="H31" i="14"/>
  <c r="E68" i="17"/>
  <c r="F68" i="17" s="1"/>
  <c r="C113" i="22"/>
  <c r="C56" i="22"/>
  <c r="C48" i="22"/>
  <c r="C38" i="22"/>
  <c r="E24" i="8"/>
  <c r="E20" i="8" s="1"/>
  <c r="E17" i="8"/>
  <c r="C305" i="17"/>
  <c r="E268" i="17"/>
  <c r="F268" i="17" s="1"/>
  <c r="C22" i="13"/>
  <c r="C20" i="13"/>
  <c r="C21" i="13"/>
  <c r="D54" i="22"/>
  <c r="D46" i="22"/>
  <c r="D111" i="22"/>
  <c r="D30" i="22"/>
  <c r="D40" i="22"/>
  <c r="D36" i="22"/>
  <c r="E21" i="8"/>
  <c r="C195" i="17"/>
  <c r="C28" i="8"/>
  <c r="C112" i="8"/>
  <c r="C111" i="8" s="1"/>
  <c r="D235" i="18"/>
  <c r="E211" i="18"/>
  <c r="D181" i="18"/>
  <c r="E181" i="18" s="1"/>
  <c r="E55" i="22"/>
  <c r="E112" i="22"/>
  <c r="E47" i="22"/>
  <c r="E37" i="22"/>
  <c r="F52" i="6"/>
  <c r="C50" i="17"/>
  <c r="E303" i="18"/>
  <c r="D306" i="18"/>
  <c r="C158" i="8"/>
  <c r="C265" i="17"/>
  <c r="F208" i="9"/>
  <c r="D158" i="8"/>
  <c r="E208" i="17"/>
  <c r="F208" i="17" s="1"/>
  <c r="E163" i="18"/>
  <c r="F65" i="11"/>
  <c r="C75" i="11"/>
  <c r="D195" i="17"/>
  <c r="D125" i="17"/>
  <c r="E125" i="17" s="1"/>
  <c r="F125" i="17" s="1"/>
  <c r="D160" i="17"/>
  <c r="E160" i="17" s="1"/>
  <c r="D90" i="17"/>
  <c r="E90" i="17" s="1"/>
  <c r="F90" i="17" s="1"/>
  <c r="E48" i="17"/>
  <c r="F48" i="17" s="1"/>
  <c r="D99" i="18"/>
  <c r="D96" i="18"/>
  <c r="D97" i="18"/>
  <c r="E97" i="18" s="1"/>
  <c r="D89" i="18"/>
  <c r="E89" i="18" s="1"/>
  <c r="D95" i="18"/>
  <c r="D87" i="18"/>
  <c r="E87" i="18" s="1"/>
  <c r="D84" i="18"/>
  <c r="D100" i="18"/>
  <c r="D88" i="18"/>
  <c r="E88" i="18" s="1"/>
  <c r="D85" i="18"/>
  <c r="E85" i="18" s="1"/>
  <c r="D83" i="18"/>
  <c r="E44" i="18"/>
  <c r="D101" i="18"/>
  <c r="E101" i="18" s="1"/>
  <c r="D86" i="18"/>
  <c r="E86" i="18" s="1"/>
  <c r="D258" i="18"/>
  <c r="D98" i="18"/>
  <c r="C47" i="22"/>
  <c r="C55" i="22"/>
  <c r="C37" i="22"/>
  <c r="C112" i="22"/>
  <c r="C77" i="18"/>
  <c r="C259" i="18"/>
  <c r="C263" i="18" s="1"/>
  <c r="D168" i="18"/>
  <c r="D157" i="18"/>
  <c r="E156" i="18"/>
  <c r="D196" i="17"/>
  <c r="E194" i="17"/>
  <c r="F194" i="17" s="1"/>
  <c r="F282" i="17"/>
  <c r="C281" i="17"/>
  <c r="C157" i="18"/>
  <c r="C169" i="18" s="1"/>
  <c r="C168" i="18"/>
  <c r="D259" i="18"/>
  <c r="E43" i="18"/>
  <c r="F43" i="11"/>
  <c r="C196" i="17"/>
  <c r="E288" i="17"/>
  <c r="D289" i="17"/>
  <c r="E266" i="17"/>
  <c r="F266" i="17" s="1"/>
  <c r="F288" i="17"/>
  <c r="E95" i="7"/>
  <c r="F95" i="7" s="1"/>
  <c r="E282" i="17"/>
  <c r="E138" i="17"/>
  <c r="F138" i="17" s="1"/>
  <c r="D139" i="17"/>
  <c r="E139" i="17" s="1"/>
  <c r="F139" i="17" s="1"/>
  <c r="E216" i="17"/>
  <c r="F216" i="17" s="1"/>
  <c r="D103" i="22"/>
  <c r="C264" i="18"/>
  <c r="C266" i="18" s="1"/>
  <c r="C267" i="18" s="1"/>
  <c r="D135" i="8"/>
  <c r="D140" i="8"/>
  <c r="D137" i="8"/>
  <c r="D138" i="8"/>
  <c r="D136" i="8"/>
  <c r="D139" i="8"/>
  <c r="D246" i="18"/>
  <c r="E246" i="18" s="1"/>
  <c r="E222" i="18"/>
  <c r="D223" i="18"/>
  <c r="D110" i="22"/>
  <c r="D53" i="22"/>
  <c r="D35" i="22"/>
  <c r="D45" i="22"/>
  <c r="D39" i="22"/>
  <c r="D29" i="22"/>
  <c r="E264" i="17"/>
  <c r="F264" i="17" s="1"/>
  <c r="D300" i="17"/>
  <c r="E300" i="17" s="1"/>
  <c r="F300" i="17" s="1"/>
  <c r="D265" i="17"/>
  <c r="E265" i="17" s="1"/>
  <c r="E188" i="7"/>
  <c r="F188" i="7"/>
  <c r="C289" i="17"/>
  <c r="E21" i="13"/>
  <c r="E46" i="20"/>
  <c r="F46" i="20" s="1"/>
  <c r="F43" i="20"/>
  <c r="D66" i="18"/>
  <c r="D294" i="18"/>
  <c r="E294" i="18" s="1"/>
  <c r="E65" i="18"/>
  <c r="F159" i="17"/>
  <c r="C160" i="17"/>
  <c r="E138" i="8"/>
  <c r="E139" i="8"/>
  <c r="E136" i="8"/>
  <c r="E137" i="8"/>
  <c r="E140" i="8"/>
  <c r="E135" i="8"/>
  <c r="E95" i="6"/>
  <c r="F95" i="6" s="1"/>
  <c r="E76" i="18"/>
  <c r="D77" i="18"/>
  <c r="D241" i="18"/>
  <c r="E241" i="18" s="1"/>
  <c r="E217" i="18"/>
  <c r="E240" i="18"/>
  <c r="D253" i="18"/>
  <c r="E280" i="17"/>
  <c r="F280" i="17" s="1"/>
  <c r="D281" i="17"/>
  <c r="E281" i="17" s="1"/>
  <c r="E24" i="13"/>
  <c r="E20" i="13" s="1"/>
  <c r="E17" i="13"/>
  <c r="E28" i="13" s="1"/>
  <c r="E70" i="13" s="1"/>
  <c r="E72" i="13" s="1"/>
  <c r="E69" i="13" s="1"/>
  <c r="E49" i="17"/>
  <c r="F49" i="17" s="1"/>
  <c r="D50" i="17"/>
  <c r="D21" i="5"/>
  <c r="E18" i="5"/>
  <c r="F18" i="5" s="1"/>
  <c r="E31" i="17"/>
  <c r="F31" i="17" s="1"/>
  <c r="D32" i="17"/>
  <c r="E235" i="18" l="1"/>
  <c r="F174" i="17"/>
  <c r="D99" i="8"/>
  <c r="D101" i="8" s="1"/>
  <c r="D98" i="8" s="1"/>
  <c r="D22" i="8"/>
  <c r="D273" i="17"/>
  <c r="E273" i="17" s="1"/>
  <c r="F273" i="17" s="1"/>
  <c r="D304" i="17"/>
  <c r="E304" i="17" s="1"/>
  <c r="F304" i="17" s="1"/>
  <c r="E271" i="17"/>
  <c r="F271" i="17" s="1"/>
  <c r="E99" i="18"/>
  <c r="D49" i="12"/>
  <c r="E49" i="12" s="1"/>
  <c r="F49" i="12" s="1"/>
  <c r="E42" i="12"/>
  <c r="F42" i="12" s="1"/>
  <c r="E22" i="13"/>
  <c r="E161" i="17"/>
  <c r="F161" i="17" s="1"/>
  <c r="E98" i="18"/>
  <c r="E100" i="18"/>
  <c r="C209" i="17"/>
  <c r="D291" i="17"/>
  <c r="E287" i="17"/>
  <c r="F287" i="17" s="1"/>
  <c r="F176" i="17"/>
  <c r="C211" i="17"/>
  <c r="D127" i="17"/>
  <c r="E127" i="17" s="1"/>
  <c r="F127" i="17" s="1"/>
  <c r="E126" i="17"/>
  <c r="F126" i="17" s="1"/>
  <c r="F160" i="17"/>
  <c r="E95" i="18"/>
  <c r="E223" i="18"/>
  <c r="D247" i="18"/>
  <c r="E247" i="18" s="1"/>
  <c r="D197" i="17"/>
  <c r="E196" i="17"/>
  <c r="E195" i="17"/>
  <c r="F195" i="17" s="1"/>
  <c r="C70" i="17"/>
  <c r="C309" i="17"/>
  <c r="E141" i="8"/>
  <c r="D112" i="22"/>
  <c r="D47" i="22"/>
  <c r="D37" i="22"/>
  <c r="D55" i="22"/>
  <c r="C269" i="18"/>
  <c r="C268" i="18"/>
  <c r="C271" i="18" s="1"/>
  <c r="E50" i="17"/>
  <c r="F50" i="17" s="1"/>
  <c r="D295" i="18"/>
  <c r="E295" i="18" s="1"/>
  <c r="E66" i="18"/>
  <c r="E289" i="17"/>
  <c r="E168" i="18"/>
  <c r="F265" i="17"/>
  <c r="D124" i="18"/>
  <c r="D123" i="18"/>
  <c r="E123" i="18" s="1"/>
  <c r="D115" i="18"/>
  <c r="D112" i="18"/>
  <c r="D113" i="18"/>
  <c r="D110" i="18"/>
  <c r="D126" i="18"/>
  <c r="D121" i="18"/>
  <c r="E77" i="18"/>
  <c r="D122" i="18"/>
  <c r="D111" i="18"/>
  <c r="D127" i="18"/>
  <c r="D109" i="18"/>
  <c r="D125" i="18"/>
  <c r="D114" i="18"/>
  <c r="D35" i="5"/>
  <c r="E21" i="5"/>
  <c r="F21" i="5" s="1"/>
  <c r="F289" i="17"/>
  <c r="D141" i="8"/>
  <c r="E259" i="18"/>
  <c r="D263" i="18"/>
  <c r="E263" i="18" s="1"/>
  <c r="E83" i="18"/>
  <c r="D91" i="18"/>
  <c r="E209" i="17"/>
  <c r="F209" i="17" s="1"/>
  <c r="C99" i="8"/>
  <c r="C101" i="8" s="1"/>
  <c r="C98" i="8" s="1"/>
  <c r="C22" i="8"/>
  <c r="E112" i="8"/>
  <c r="E111" i="8" s="1"/>
  <c r="E28" i="8"/>
  <c r="D140" i="17"/>
  <c r="D210" i="17"/>
  <c r="D62" i="17"/>
  <c r="D175" i="17"/>
  <c r="D105" i="17"/>
  <c r="E32" i="17"/>
  <c r="F32" i="17" s="1"/>
  <c r="D56" i="22"/>
  <c r="D48" i="22"/>
  <c r="D38" i="22"/>
  <c r="D113" i="22"/>
  <c r="E253" i="18"/>
  <c r="D254" i="18"/>
  <c r="E254" i="18" s="1"/>
  <c r="E157" i="18"/>
  <c r="D169" i="18"/>
  <c r="E169" i="18" s="1"/>
  <c r="D102" i="18"/>
  <c r="E102" i="18" s="1"/>
  <c r="E96" i="18"/>
  <c r="E75" i="11"/>
  <c r="F75" i="11" s="1"/>
  <c r="C323" i="17"/>
  <c r="C183" i="17"/>
  <c r="F183" i="17" s="1"/>
  <c r="F162" i="17"/>
  <c r="E162" i="17"/>
  <c r="C197" i="17"/>
  <c r="F196" i="17"/>
  <c r="F281" i="17"/>
  <c r="C114" i="18"/>
  <c r="C109" i="18"/>
  <c r="C112" i="18"/>
  <c r="C113" i="18"/>
  <c r="C127" i="18"/>
  <c r="C110" i="18"/>
  <c r="C121" i="18"/>
  <c r="C123" i="18"/>
  <c r="C111" i="18"/>
  <c r="C122" i="18"/>
  <c r="C115" i="18"/>
  <c r="C126" i="18"/>
  <c r="C125" i="18"/>
  <c r="C124" i="18"/>
  <c r="E258" i="18"/>
  <c r="D264" i="18"/>
  <c r="D90" i="18"/>
  <c r="E90" i="18" s="1"/>
  <c r="E84" i="18"/>
  <c r="D310" i="18"/>
  <c r="E310" i="18" s="1"/>
  <c r="E306" i="18"/>
  <c r="D305" i="17" l="1"/>
  <c r="E291" i="17"/>
  <c r="F291" i="17" s="1"/>
  <c r="E125" i="18"/>
  <c r="E124" i="18"/>
  <c r="D103" i="18"/>
  <c r="E103" i="18" s="1"/>
  <c r="E105" i="17"/>
  <c r="F105" i="17" s="1"/>
  <c r="D106" i="17"/>
  <c r="E175" i="17"/>
  <c r="F175" i="17" s="1"/>
  <c r="D176" i="17"/>
  <c r="C128" i="18"/>
  <c r="C129" i="18" s="1"/>
  <c r="F323" i="17"/>
  <c r="C325" i="17"/>
  <c r="E62" i="17"/>
  <c r="F62" i="17" s="1"/>
  <c r="D63" i="17"/>
  <c r="D43" i="5"/>
  <c r="E35" i="5"/>
  <c r="F35" i="5" s="1"/>
  <c r="E121" i="18"/>
  <c r="C310" i="17"/>
  <c r="E210" i="17"/>
  <c r="F210" i="17" s="1"/>
  <c r="D211" i="17"/>
  <c r="E211" i="17" s="1"/>
  <c r="F211" i="17" s="1"/>
  <c r="E91" i="18"/>
  <c r="D105" i="18"/>
  <c r="E105" i="18" s="1"/>
  <c r="E99" i="8"/>
  <c r="E101" i="8" s="1"/>
  <c r="E98" i="8" s="1"/>
  <c r="E22" i="8"/>
  <c r="E109" i="18"/>
  <c r="E113" i="18"/>
  <c r="E264" i="18"/>
  <c r="D266" i="18"/>
  <c r="E126" i="18"/>
  <c r="D141" i="17"/>
  <c r="E140" i="17"/>
  <c r="F140" i="17" s="1"/>
  <c r="E110" i="18"/>
  <c r="D116" i="18"/>
  <c r="D117" i="18" s="1"/>
  <c r="C116" i="18"/>
  <c r="C117" i="18" s="1"/>
  <c r="C131" i="18" s="1"/>
  <c r="E127" i="18"/>
  <c r="E112" i="18"/>
  <c r="D128" i="18"/>
  <c r="E128" i="18" s="1"/>
  <c r="E122" i="18"/>
  <c r="E114" i="18"/>
  <c r="E111" i="18"/>
  <c r="E115" i="18"/>
  <c r="E197" i="17"/>
  <c r="F197" i="17" s="1"/>
  <c r="D309" i="17" l="1"/>
  <c r="E305" i="17"/>
  <c r="F305" i="17" s="1"/>
  <c r="E117" i="18"/>
  <c r="D322" i="17"/>
  <c r="E322" i="17" s="1"/>
  <c r="F322" i="17" s="1"/>
  <c r="E141" i="17"/>
  <c r="F141" i="17" s="1"/>
  <c r="D148" i="17"/>
  <c r="E148" i="17" s="1"/>
  <c r="F148" i="17" s="1"/>
  <c r="D129" i="18"/>
  <c r="E129" i="18" s="1"/>
  <c r="C312" i="17"/>
  <c r="E43" i="5"/>
  <c r="F43" i="5" s="1"/>
  <c r="D50" i="5"/>
  <c r="E50" i="5" s="1"/>
  <c r="F50" i="5" s="1"/>
  <c r="E266" i="18"/>
  <c r="D267" i="18"/>
  <c r="E63" i="17"/>
  <c r="F63" i="17" s="1"/>
  <c r="D70" i="17"/>
  <c r="E70" i="17" s="1"/>
  <c r="F70" i="17" s="1"/>
  <c r="E106" i="17"/>
  <c r="F106" i="17" s="1"/>
  <c r="D324" i="17"/>
  <c r="D113" i="17"/>
  <c r="E113" i="17" s="1"/>
  <c r="F113" i="17" s="1"/>
  <c r="E176" i="17"/>
  <c r="D183" i="17"/>
  <c r="E183" i="17" s="1"/>
  <c r="D323" i="17"/>
  <c r="E323" i="17" s="1"/>
  <c r="E116" i="18"/>
  <c r="E309" i="17" l="1"/>
  <c r="F309" i="17" s="1"/>
  <c r="D310" i="17"/>
  <c r="D269" i="18"/>
  <c r="E269" i="18" s="1"/>
  <c r="E267" i="18"/>
  <c r="D268" i="18"/>
  <c r="D325" i="17"/>
  <c r="E325" i="17" s="1"/>
  <c r="F325" i="17" s="1"/>
  <c r="E324" i="17"/>
  <c r="F324" i="17" s="1"/>
  <c r="C313" i="17"/>
  <c r="D131" i="18"/>
  <c r="E131" i="18" s="1"/>
  <c r="D312" i="17" l="1"/>
  <c r="E310" i="17"/>
  <c r="F310" i="17" s="1"/>
  <c r="D271" i="18"/>
  <c r="E271" i="18" s="1"/>
  <c r="E268" i="18"/>
  <c r="C256" i="17"/>
  <c r="C251" i="17"/>
  <c r="C314" i="17"/>
  <c r="C315" i="17"/>
  <c r="E312" i="17" l="1"/>
  <c r="F312" i="17" s="1"/>
  <c r="D313" i="17"/>
  <c r="C318" i="17"/>
  <c r="C257" i="17"/>
  <c r="D251" i="17" l="1"/>
  <c r="E251" i="17" s="1"/>
  <c r="F251" i="17" s="1"/>
  <c r="E313" i="17"/>
  <c r="F313" i="17" s="1"/>
  <c r="D315" i="17"/>
  <c r="E315" i="17" s="1"/>
  <c r="F315" i="17" s="1"/>
  <c r="D256" i="17"/>
  <c r="D314" i="17"/>
  <c r="D318" i="17" l="1"/>
  <c r="E318" i="17" s="1"/>
  <c r="F318" i="17" s="1"/>
  <c r="E314" i="17"/>
  <c r="F314" i="17" s="1"/>
  <c r="D257" i="17"/>
  <c r="E257" i="17" s="1"/>
  <c r="F257" i="17" s="1"/>
  <c r="E256" i="17"/>
  <c r="F256" i="17" s="1"/>
</calcChain>
</file>

<file path=xl/sharedStrings.xml><?xml version="1.0" encoding="utf-8"?>
<sst xmlns="http://schemas.openxmlformats.org/spreadsheetml/2006/main" count="2334" uniqueCount="1009">
  <si>
    <t>SAINT FRANCIS HOSPITAL AND MEDICAL CENTER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</si>
  <si>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</si>
  <si>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</si>
  <si>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</si>
  <si>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</si>
  <si>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</si>
  <si>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</si>
  <si>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</si>
  <si>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</si>
  <si>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</si>
  <si>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</si>
  <si>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</si>
  <si>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</si>
  <si>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</si>
  <si>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</si>
  <si>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</si>
  <si>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</si>
  <si>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</si>
  <si>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</si>
  <si>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</si>
  <si>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</si>
  <si>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</si>
  <si>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</si>
  <si>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</si>
  <si>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</si>
  <si>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</si>
  <si>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</si>
  <si>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</si>
  <si>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</si>
  <si>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</si>
  <si>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</si>
  <si>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</si>
  <si>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</si>
  <si>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</si>
  <si>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</si>
  <si>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</si>
  <si>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</si>
  <si>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</si>
  <si>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</si>
  <si>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</si>
  <si>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</si>
  <si>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</si>
  <si>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</si>
  <si>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</si>
  <si>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</si>
  <si>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</si>
  <si>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</si>
  <si>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</si>
  <si>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</si>
  <si>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</si>
  <si>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</si>
  <si>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</si>
  <si>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</si>
  <si>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</si>
  <si>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</si>
  <si>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</si>
  <si>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</si>
  <si>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</si>
  <si>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</si>
  <si>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</si>
  <si>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</si>
  <si>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</si>
  <si>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</si>
  <si>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</si>
  <si>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</si>
  <si>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</si>
  <si>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</si>
  <si>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</si>
  <si>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</si>
  <si>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</si>
  <si>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</si>
  <si>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</si>
  <si>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</si>
  <si>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</si>
  <si>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</si>
  <si>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</si>
  <si>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</si>
  <si>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</si>
  <si>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</si>
  <si>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</si>
  <si>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</si>
  <si>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</si>
  <si>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</si>
  <si>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</si>
  <si>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</si>
  <si>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</si>
  <si>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</si>
  <si>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</si>
  <si>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</si>
  <si>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</si>
  <si>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</si>
  <si>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</si>
  <si>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</si>
  <si>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</si>
  <si>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</si>
  <si>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</si>
  <si>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</si>
  <si>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</si>
  <si>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</si>
  <si>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</si>
  <si>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</si>
  <si>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</si>
  <si>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</si>
  <si>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</si>
  <si>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</si>
  <si>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</si>
  <si>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</si>
  <si>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</si>
  <si>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</si>
  <si>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</si>
  <si>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</si>
  <si>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</si>
  <si>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</si>
  <si>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</si>
  <si>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</si>
  <si>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</si>
  <si>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</si>
  <si>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</si>
  <si>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</si>
  <si>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</si>
  <si>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</si>
  <si>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</si>
  <si>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</si>
  <si>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</si>
  <si>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</si>
  <si>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</si>
  <si>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</si>
  <si>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</si>
  <si>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</si>
  <si>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</si>
  <si>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</si>
  <si>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</si>
  <si>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</si>
  <si>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</si>
  <si>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</si>
  <si>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</si>
  <si>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</si>
  <si>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</si>
  <si>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</si>
  <si>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</si>
  <si>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</si>
  <si>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</si>
  <si>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</si>
  <si>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</si>
  <si>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</si>
  <si>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</si>
  <si>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</si>
  <si>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</si>
  <si>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</si>
  <si>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</si>
  <si>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</si>
  <si>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</si>
  <si>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</si>
  <si>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</si>
  <si>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</si>
  <si>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</si>
  <si>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</si>
  <si>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</si>
  <si>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</si>
  <si>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</si>
  <si>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</si>
  <si>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</si>
  <si>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</si>
  <si>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</si>
  <si>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</si>
  <si>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</si>
  <si>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</si>
  <si>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</si>
  <si>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</si>
  <si>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</si>
  <si>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</si>
  <si>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</si>
  <si>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</si>
  <si>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</si>
  <si>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</si>
  <si>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</si>
  <si>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</si>
  <si>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</si>
  <si>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</si>
  <si>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</si>
  <si>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</si>
  <si>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</si>
  <si>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</si>
  <si>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</si>
  <si>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</si>
  <si>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</si>
  <si>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</si>
  <si>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</si>
  <si>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</si>
  <si>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</si>
  <si>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</si>
  <si>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</si>
  <si>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</si>
  <si>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</si>
  <si>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</si>
  <si>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</si>
  <si>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</si>
  <si>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</si>
  <si>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</si>
  <si>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</si>
  <si>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</si>
  <si>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</si>
  <si>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</si>
  <si>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</si>
  <si>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</si>
  <si>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</si>
  <si>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</si>
  <si>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</si>
  <si>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</si>
  <si>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</si>
  <si>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</si>
  <si>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</si>
  <si>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</si>
  <si>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</si>
  <si>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</si>
  <si>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</si>
  <si>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</si>
  <si>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</si>
  <si>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</si>
  <si>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</si>
  <si>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</si>
  <si>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</si>
  <si>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</si>
  <si>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</si>
  <si>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</si>
  <si>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</si>
  <si>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</si>
  <si>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</si>
  <si>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</si>
  <si>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</si>
  <si>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</si>
  <si>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</si>
  <si>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</si>
  <si>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</si>
  <si>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</si>
  <si>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</si>
  <si>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</si>
  <si>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</si>
  <si>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</si>
  <si>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</si>
  <si>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</si>
  <si>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</si>
  <si>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</si>
  <si>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</si>
  <si>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</si>
  <si>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</si>
  <si>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</si>
  <si>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</si>
  <si>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</si>
  <si>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</si>
  <si>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</si>
  <si>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</si>
  <si>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</si>
  <si>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</si>
  <si>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</si>
  <si>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</si>
  <si>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</si>
  <si>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</si>
  <si>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</si>
  <si>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</si>
  <si>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</si>
  <si>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</si>
  <si>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</si>
  <si>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</si>
  <si>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</si>
  <si>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</si>
  <si>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</si>
  <si>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</si>
  <si>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</si>
  <si>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</si>
  <si>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</si>
  <si>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</si>
  <si>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</si>
  <si>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</si>
  <si>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</si>
  <si>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</si>
  <si>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</si>
  <si>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</si>
  <si>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</si>
  <si>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</si>
  <si>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</si>
  <si>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</si>
  <si>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</si>
  <si>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</si>
  <si>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</si>
  <si>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</si>
  <si>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</si>
  <si>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</si>
  <si>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</si>
  <si>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</si>
  <si>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</si>
  <si>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</si>
  <si>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</si>
  <si>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</si>
  <si>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</si>
  <si>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</si>
  <si>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</si>
  <si>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</si>
  <si>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</si>
  <si>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</si>
  <si>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</si>
  <si>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</si>
  <si>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</si>
  <si>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</si>
  <si>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</si>
  <si>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</si>
  <si>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</si>
  <si>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</si>
  <si>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</si>
  <si>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</si>
  <si>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</si>
  <si>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</si>
  <si>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</si>
  <si>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</si>
  <si>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</si>
  <si>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</si>
  <si>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</si>
  <si>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</si>
  <si>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</si>
  <si>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</si>
  <si>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</si>
  <si>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</si>
  <si>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</si>
  <si>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</si>
  <si>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</si>
  <si>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</si>
  <si>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</si>
  <si>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</si>
  <si>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</si>
  <si>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</si>
  <si>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</si>
  <si>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</si>
  <si>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</si>
  <si>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</si>
  <si>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</si>
  <si>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</si>
  <si>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</si>
  <si>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</si>
  <si>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</si>
  <si>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</si>
  <si>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</si>
  <si>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</si>
  <si>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</si>
  <si>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</si>
  <si>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</si>
  <si>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</si>
  <si>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</si>
  <si>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</si>
  <si>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</si>
  <si>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</si>
  <si>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</si>
  <si>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</si>
  <si>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</si>
  <si>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</si>
  <si>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</si>
  <si>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</si>
  <si>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</si>
  <si>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</si>
  <si>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</si>
  <si>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</si>
  <si>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</si>
  <si>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</si>
  <si>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</si>
  <si>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</si>
  <si>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</si>
  <si>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</si>
  <si>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</si>
  <si>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</si>
  <si>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</si>
  <si>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</si>
  <si>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</si>
  <si>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</si>
  <si>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</si>
  <si>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</si>
  <si>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</si>
  <si>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</si>
  <si>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</si>
  <si>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</si>
  <si>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</si>
  <si>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</si>
  <si>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</si>
  <si>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</si>
  <si>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</si>
  <si>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</si>
  <si>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</si>
  <si>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</si>
  <si>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</si>
  <si>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</si>
  <si>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</si>
  <si>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</si>
  <si>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</si>
  <si>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</si>
  <si>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</si>
  <si>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</si>
  <si>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</si>
  <si>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</si>
  <si>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</si>
  <si>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</si>
  <si>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</si>
  <si>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</si>
  <si>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</si>
  <si>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</si>
  <si>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</si>
  <si>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</si>
  <si>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</si>
  <si>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</si>
  <si>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</si>
  <si>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</si>
  <si>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</si>
  <si>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</si>
  <si>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</si>
  <si>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</si>
  <si>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</si>
  <si>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</si>
  <si>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</si>
  <si>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</si>
  <si>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</si>
  <si>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</si>
  <si>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</si>
  <si>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</si>
  <si>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</si>
  <si>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</si>
  <si>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</si>
  <si>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</si>
  <si>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</si>
  <si>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</si>
  <si>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</si>
  <si>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</si>
  <si>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</si>
  <si>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</si>
  <si>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</si>
  <si>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</si>
  <si>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</si>
  <si>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</si>
  <si>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</si>
  <si>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</si>
  <si>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</si>
  <si>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</si>
  <si>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</si>
  <si>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</si>
  <si>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</si>
  <si>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</si>
  <si>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</si>
  <si>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</si>
  <si>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</si>
  <si>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</si>
  <si>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</si>
  <si>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</si>
  <si>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</si>
  <si>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</si>
  <si>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</si>
  <si>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</si>
  <si>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</si>
  <si>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</si>
  <si>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</si>
  <si>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</si>
  <si>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</si>
  <si>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</si>
  <si>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</si>
  <si>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</si>
  <si>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</si>
  <si>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</si>
  <si>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</si>
  <si>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</si>
  <si>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</si>
  <si>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</si>
  <si>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</si>
  <si>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</si>
  <si>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</si>
  <si>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</si>
  <si>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</si>
  <si>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</si>
  <si>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</si>
  <si>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</si>
  <si>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</si>
  <si>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</si>
  <si>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</si>
  <si>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</si>
  <si>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</si>
  <si>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</si>
  <si>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</si>
  <si>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</si>
  <si>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</si>
  <si>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</si>
  <si>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</si>
  <si>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</si>
  <si>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</si>
  <si>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</si>
  <si>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</si>
  <si>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</si>
  <si>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</si>
  <si>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</si>
  <si>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</si>
  <si>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</si>
  <si>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</si>
  <si>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</si>
  <si>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</si>
  <si>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</si>
  <si>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</si>
  <si>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</si>
  <si>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TRINITY HEALTH - NEW ENGLAND, INC. (FORMERLY SAINT FRANCIS CARE, INC.)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</si>
  <si>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</si>
  <si>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</si>
  <si>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</si>
  <si>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</si>
  <si>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</si>
  <si>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</si>
  <si>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</si>
  <si>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</si>
  <si>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</si>
  <si>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</si>
  <si>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</si>
  <si>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</si>
  <si>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</si>
  <si>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</si>
  <si>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</si>
  <si>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</si>
  <si>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</si>
  <si>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</si>
  <si>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</si>
  <si>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</si>
  <si>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</si>
  <si>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</si>
  <si>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</si>
  <si>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</si>
  <si>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</si>
  <si>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</si>
  <si>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</si>
  <si>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</si>
  <si>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</si>
  <si>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</si>
  <si>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</si>
  <si>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</si>
  <si>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</si>
  <si>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</si>
  <si>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</si>
  <si>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</si>
  <si>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</si>
  <si>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</si>
  <si>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</si>
  <si>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</si>
  <si>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</si>
  <si>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</si>
  <si>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</si>
  <si>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</si>
  <si>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</si>
  <si>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</si>
  <si>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</si>
  <si>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</si>
  <si>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</si>
  <si>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</si>
  <si>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</si>
  <si>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</si>
  <si>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</si>
  <si>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</si>
  <si>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</si>
  <si>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</si>
  <si>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</si>
  <si>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</si>
  <si>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</si>
  <si>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</si>
  <si>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</si>
  <si>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</si>
  <si>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</si>
  <si>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</si>
  <si>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</si>
  <si>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</si>
  <si>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</si>
  <si>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</si>
  <si>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</si>
  <si>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</si>
  <si>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</si>
  <si>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</si>
  <si>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</si>
  <si>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</si>
  <si>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</si>
  <si>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</si>
  <si>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</si>
  <si>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</si>
  <si>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</si>
  <si>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</si>
  <si>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</si>
  <si>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</si>
  <si>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</si>
  <si>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</si>
  <si>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</si>
  <si>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</si>
  <si>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</si>
  <si>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</si>
  <si>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</si>
  <si>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</si>
  <si>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</si>
  <si>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</si>
  <si>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</si>
  <si>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</si>
  <si>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</si>
  <si>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</si>
  <si>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</si>
  <si>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</si>
  <si>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</si>
  <si>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</si>
  <si>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</si>
  <si>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</si>
  <si>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</si>
  <si>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</si>
  <si>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</si>
  <si>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</si>
  <si>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</si>
  <si>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</si>
  <si>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</si>
  <si>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</si>
  <si>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</si>
  <si>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</si>
  <si>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</si>
  <si>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</si>
  <si>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</si>
  <si>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</si>
  <si>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</si>
  <si>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</si>
  <si>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</si>
  <si>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</si>
  <si>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Saint Francis Hospital</t>
  </si>
  <si>
    <t>SFHMC - Mount Sinai Campus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</si>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</sst>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topLeftCell="A34" zoomScale="75" zoomScaleSheetLayoutView="75" workbookViewId="0">
      <selection activeCell="F54" sqref="F54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6.7109375" style="1" bestFit="1" customWidth="1"/>
    <col min="5" max="5" width="17.42578125" style="55" bestFit="1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76694000</v>
      </c>
      <c r="D13" s="22">
        <v>17282000</v>
      </c>
      <c r="E13" s="22">
        <f t="shared" ref="E13:E22" si="0">D13-C13</f>
        <v>-59412000</v>
      </c>
      <c r="F13" s="23">
        <f t="shared" ref="F13:F22" si="1">IF(C13=0,0,E13/C13)</f>
        <v>-0.77466294625394427</v>
      </c>
    </row>
    <row r="14" spans="1:8" ht="24" customHeight="1" x14ac:dyDescent="0.2">
      <c r="A14" s="20">
        <v>2</v>
      </c>
      <c r="B14" s="21" t="s">
        <v>17</v>
      </c>
      <c r="C14" s="22">
        <v>9418000</v>
      </c>
      <c r="D14" s="22">
        <v>37626000</v>
      </c>
      <c r="E14" s="22">
        <f t="shared" si="0"/>
        <v>28208000</v>
      </c>
      <c r="F14" s="23">
        <f t="shared" si="1"/>
        <v>2.9951157358250158</v>
      </c>
    </row>
    <row r="15" spans="1:8" ht="24" customHeight="1" x14ac:dyDescent="0.2">
      <c r="A15" s="20">
        <v>3</v>
      </c>
      <c r="B15" s="21" t="s">
        <v>18</v>
      </c>
      <c r="C15" s="22">
        <v>65284000</v>
      </c>
      <c r="D15" s="22">
        <v>64589000</v>
      </c>
      <c r="E15" s="22">
        <f t="shared" si="0"/>
        <v>-695000</v>
      </c>
      <c r="F15" s="23">
        <f t="shared" si="1"/>
        <v>-1.0645793762637093E-2</v>
      </c>
    </row>
    <row r="16" spans="1:8" ht="24" customHeight="1" x14ac:dyDescent="0.2">
      <c r="A16" s="20">
        <v>4</v>
      </c>
      <c r="B16" s="21" t="s">
        <v>19</v>
      </c>
      <c r="C16" s="22">
        <v>1521000</v>
      </c>
      <c r="D16" s="22">
        <v>0</v>
      </c>
      <c r="E16" s="22">
        <f t="shared" si="0"/>
        <v>-1521000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4864000</v>
      </c>
      <c r="D17" s="22">
        <v>47486000</v>
      </c>
      <c r="E17" s="22">
        <f t="shared" si="0"/>
        <v>42622000</v>
      </c>
      <c r="F17" s="23">
        <f t="shared" si="1"/>
        <v>8.762746710526315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5513000</v>
      </c>
      <c r="E18" s="22">
        <f t="shared" si="0"/>
        <v>5513000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9701000</v>
      </c>
      <c r="D19" s="22">
        <v>8913000</v>
      </c>
      <c r="E19" s="22">
        <f t="shared" si="0"/>
        <v>-788000</v>
      </c>
      <c r="F19" s="23">
        <f t="shared" si="1"/>
        <v>-8.1228739305226269E-2</v>
      </c>
    </row>
    <row r="20" spans="1:11" ht="24" customHeight="1" x14ac:dyDescent="0.2">
      <c r="A20" s="20">
        <v>8</v>
      </c>
      <c r="B20" s="21" t="s">
        <v>23</v>
      </c>
      <c r="C20" s="22">
        <v>8457000</v>
      </c>
      <c r="D20" s="22">
        <v>3861000</v>
      </c>
      <c r="E20" s="22">
        <f t="shared" si="0"/>
        <v>-4596000</v>
      </c>
      <c r="F20" s="23">
        <f t="shared" si="1"/>
        <v>-0.54345512593118128</v>
      </c>
    </row>
    <row r="21" spans="1:11" ht="24" customHeight="1" x14ac:dyDescent="0.2">
      <c r="A21" s="20">
        <v>9</v>
      </c>
      <c r="B21" s="21" t="s">
        <v>24</v>
      </c>
      <c r="C21" s="22">
        <v>2211000</v>
      </c>
      <c r="D21" s="22">
        <v>3498000</v>
      </c>
      <c r="E21" s="22">
        <f t="shared" si="0"/>
        <v>1287000</v>
      </c>
      <c r="F21" s="23">
        <f t="shared" si="1"/>
        <v>0.58208955223880599</v>
      </c>
    </row>
    <row r="22" spans="1:11" ht="24" customHeight="1" x14ac:dyDescent="0.25">
      <c r="A22" s="24"/>
      <c r="B22" s="25" t="s">
        <v>25</v>
      </c>
      <c r="C22" s="26">
        <f>SUM(C13:C21)</f>
        <v>178150000</v>
      </c>
      <c r="D22" s="26">
        <f>SUM(D13:D21)</f>
        <v>188768000</v>
      </c>
      <c r="E22" s="26">
        <f t="shared" si="0"/>
        <v>10618000</v>
      </c>
      <c r="F22" s="27">
        <f t="shared" si="1"/>
        <v>5.9601459444288518E-2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48893000</v>
      </c>
      <c r="D25" s="22">
        <v>0</v>
      </c>
      <c r="E25" s="22">
        <f>D25-C25</f>
        <v>-48893000</v>
      </c>
      <c r="F25" s="23">
        <f>IF(C25=0,0,E25/C25)</f>
        <v>-1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21784000</v>
      </c>
      <c r="D26" s="22">
        <v>98242000</v>
      </c>
      <c r="E26" s="22">
        <f>D26-C26</f>
        <v>76458000</v>
      </c>
      <c r="F26" s="23">
        <f>IF(C26=0,0,E26/C26)</f>
        <v>3.5098237238340064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3582000</v>
      </c>
      <c r="D28" s="22">
        <v>2118000</v>
      </c>
      <c r="E28" s="22">
        <f>D28-C28</f>
        <v>-1464000</v>
      </c>
      <c r="F28" s="23">
        <f>IF(C28=0,0,E28/C28)</f>
        <v>-0.40871021775544386</v>
      </c>
    </row>
    <row r="29" spans="1:11" ht="24" customHeight="1" x14ac:dyDescent="0.25">
      <c r="A29" s="24"/>
      <c r="B29" s="25" t="s">
        <v>32</v>
      </c>
      <c r="C29" s="26">
        <f>SUM(C25:C28)</f>
        <v>74259000</v>
      </c>
      <c r="D29" s="26">
        <f>SUM(D25:D28)</f>
        <v>100360000</v>
      </c>
      <c r="E29" s="26">
        <f>D29-C29</f>
        <v>26101000</v>
      </c>
      <c r="F29" s="27">
        <f>IF(C29=0,0,E29/C29)</f>
        <v>0.3514860151631452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9394000</v>
      </c>
      <c r="D31" s="22">
        <v>13266000</v>
      </c>
      <c r="E31" s="22">
        <f>D31-C31</f>
        <v>3872000</v>
      </c>
      <c r="F31" s="23">
        <f>IF(C31=0,0,E31/C31)</f>
        <v>0.41217798594847777</v>
      </c>
    </row>
    <row r="32" spans="1:11" ht="24" customHeight="1" x14ac:dyDescent="0.2">
      <c r="A32" s="20">
        <v>6</v>
      </c>
      <c r="B32" s="21" t="s">
        <v>34</v>
      </c>
      <c r="C32" s="22">
        <v>25350000</v>
      </c>
      <c r="D32" s="22">
        <v>48717000</v>
      </c>
      <c r="E32" s="22">
        <f>D32-C32</f>
        <v>23367000</v>
      </c>
      <c r="F32" s="23">
        <f>IF(C32=0,0,E32/C32)</f>
        <v>0.92177514792899407</v>
      </c>
    </row>
    <row r="33" spans="1:8" ht="24" customHeight="1" x14ac:dyDescent="0.2">
      <c r="A33" s="20">
        <v>7</v>
      </c>
      <c r="B33" s="21" t="s">
        <v>35</v>
      </c>
      <c r="C33" s="22">
        <v>7117000</v>
      </c>
      <c r="D33" s="22">
        <v>7050000</v>
      </c>
      <c r="E33" s="22">
        <f>D33-C33</f>
        <v>-67000</v>
      </c>
      <c r="F33" s="23">
        <f>IF(C33=0,0,E33/C33)</f>
        <v>-9.4140789658563994E-3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873910000</v>
      </c>
      <c r="D36" s="22">
        <v>418811000</v>
      </c>
      <c r="E36" s="22">
        <f>D36-C36</f>
        <v>-455099000</v>
      </c>
      <c r="F36" s="23">
        <f>IF(C36=0,0,E36/C36)</f>
        <v>-0.52076186334977281</v>
      </c>
    </row>
    <row r="37" spans="1:8" ht="24" customHeight="1" x14ac:dyDescent="0.2">
      <c r="A37" s="20">
        <v>2</v>
      </c>
      <c r="B37" s="21" t="s">
        <v>39</v>
      </c>
      <c r="C37" s="22">
        <v>427558000</v>
      </c>
      <c r="D37" s="22">
        <v>43734000</v>
      </c>
      <c r="E37" s="22">
        <f>D37-C37</f>
        <v>-383824000</v>
      </c>
      <c r="F37" s="23">
        <f>IF(C37=0,0,E37/C37)</f>
        <v>-0.89771212326748651</v>
      </c>
    </row>
    <row r="38" spans="1:8" ht="24" customHeight="1" x14ac:dyDescent="0.25">
      <c r="A38" s="24"/>
      <c r="B38" s="25" t="s">
        <v>40</v>
      </c>
      <c r="C38" s="26">
        <f>C36-C37</f>
        <v>446352000</v>
      </c>
      <c r="D38" s="26">
        <f>D36-D37</f>
        <v>375077000</v>
      </c>
      <c r="E38" s="26">
        <f>D38-C38</f>
        <v>-71275000</v>
      </c>
      <c r="F38" s="27">
        <f>IF(C38=0,0,E38/C38)</f>
        <v>-0.15968338889486325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8411000</v>
      </c>
      <c r="D40" s="22">
        <v>14905000</v>
      </c>
      <c r="E40" s="22">
        <f>D40-C40</f>
        <v>6494000</v>
      </c>
      <c r="F40" s="23">
        <f>IF(C40=0,0,E40/C40)</f>
        <v>0.7720841754844846</v>
      </c>
    </row>
    <row r="41" spans="1:8" ht="24" customHeight="1" x14ac:dyDescent="0.25">
      <c r="A41" s="24"/>
      <c r="B41" s="25" t="s">
        <v>42</v>
      </c>
      <c r="C41" s="26">
        <f>+C38+C40</f>
        <v>454763000</v>
      </c>
      <c r="D41" s="26">
        <f>+D38+D40</f>
        <v>389982000</v>
      </c>
      <c r="E41" s="26">
        <f>D41-C41</f>
        <v>-64781000</v>
      </c>
      <c r="F41" s="27">
        <f>IF(C41=0,0,E41/C41)</f>
        <v>-0.14245002341879176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749033000</v>
      </c>
      <c r="D43" s="26">
        <f>D22+D29+D31+D32+D33+D41</f>
        <v>748143000</v>
      </c>
      <c r="E43" s="26">
        <f>D43-C43</f>
        <v>-890000</v>
      </c>
      <c r="F43" s="27">
        <f>IF(C43=0,0,E43/C43)</f>
        <v>-1.1881986507937567E-3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36361000</v>
      </c>
      <c r="D49" s="22">
        <v>34163000</v>
      </c>
      <c r="E49" s="22">
        <f t="shared" ref="E49:E56" si="2">D49-C49</f>
        <v>-2198000</v>
      </c>
      <c r="F49" s="23">
        <f t="shared" ref="F49:F56" si="3">IF(C49=0,0,E49/C49)</f>
        <v>-6.044938258023707E-2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33492000</v>
      </c>
      <c r="D50" s="22">
        <v>38144000</v>
      </c>
      <c r="E50" s="22">
        <f t="shared" si="2"/>
        <v>4652000</v>
      </c>
      <c r="F50" s="23">
        <f t="shared" si="3"/>
        <v>0.1388988415143915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12528000</v>
      </c>
      <c r="D51" s="22">
        <v>8953000</v>
      </c>
      <c r="E51" s="22">
        <f t="shared" si="2"/>
        <v>-3575000</v>
      </c>
      <c r="F51" s="23">
        <f t="shared" si="3"/>
        <v>-0.28536079182630908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7298000</v>
      </c>
      <c r="D53" s="22">
        <v>6925000</v>
      </c>
      <c r="E53" s="22">
        <f t="shared" si="2"/>
        <v>-373000</v>
      </c>
      <c r="F53" s="23">
        <f t="shared" si="3"/>
        <v>-5.1109893121403127E-2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6680000</v>
      </c>
      <c r="D55" s="22">
        <v>9045000</v>
      </c>
      <c r="E55" s="22">
        <f t="shared" si="2"/>
        <v>2365000</v>
      </c>
      <c r="F55" s="23">
        <f t="shared" si="3"/>
        <v>0.35404191616766467</v>
      </c>
    </row>
    <row r="56" spans="1:6" ht="24" customHeight="1" x14ac:dyDescent="0.25">
      <c r="A56" s="24"/>
      <c r="B56" s="25" t="s">
        <v>54</v>
      </c>
      <c r="C56" s="26">
        <f>SUM(C49:C55)</f>
        <v>96359000</v>
      </c>
      <c r="D56" s="26">
        <f>SUM(D49:D55)</f>
        <v>97230000</v>
      </c>
      <c r="E56" s="26">
        <f t="shared" si="2"/>
        <v>871000</v>
      </c>
      <c r="F56" s="27">
        <f t="shared" si="3"/>
        <v>9.0391141460579704E-3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244154000</v>
      </c>
      <c r="D59" s="22">
        <v>237732000</v>
      </c>
      <c r="E59" s="22">
        <f>D59-C59</f>
        <v>-6422000</v>
      </c>
      <c r="F59" s="23">
        <f>IF(C59=0,0,E59/C59)</f>
        <v>-2.6303071012557647E-2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244154000</v>
      </c>
      <c r="D61" s="26">
        <f>SUM(D59:D60)</f>
        <v>237732000</v>
      </c>
      <c r="E61" s="26">
        <f>D61-C61</f>
        <v>-6422000</v>
      </c>
      <c r="F61" s="27">
        <f>IF(C61=0,0,E61/C61)</f>
        <v>-2.6303071012557647E-2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278582000</v>
      </c>
      <c r="D63" s="22">
        <v>227408000</v>
      </c>
      <c r="E63" s="22">
        <f>D63-C63</f>
        <v>-51174000</v>
      </c>
      <c r="F63" s="23">
        <f>IF(C63=0,0,E63/C63)</f>
        <v>-0.18369456748820814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51868000</v>
      </c>
      <c r="E64" s="22">
        <f>D64-C64</f>
        <v>51868000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522736000</v>
      </c>
      <c r="D65" s="26">
        <f>SUM(D61:D64)</f>
        <v>517008000</v>
      </c>
      <c r="E65" s="26">
        <f>D65-C65</f>
        <v>-5728000</v>
      </c>
      <c r="F65" s="27">
        <f>IF(C65=0,0,E65/C65)</f>
        <v>-1.0957730097027945E-2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52342000</v>
      </c>
      <c r="D70" s="22">
        <v>49222000</v>
      </c>
      <c r="E70" s="22">
        <f>D70-C70</f>
        <v>-3120000</v>
      </c>
      <c r="F70" s="23">
        <f>IF(C70=0,0,E70/C70)</f>
        <v>-5.9607963012494748E-2</v>
      </c>
    </row>
    <row r="71" spans="1:6" ht="24" customHeight="1" x14ac:dyDescent="0.2">
      <c r="A71" s="20">
        <v>2</v>
      </c>
      <c r="B71" s="21" t="s">
        <v>65</v>
      </c>
      <c r="C71" s="22">
        <v>24417000</v>
      </c>
      <c r="D71" s="22">
        <v>29372000</v>
      </c>
      <c r="E71" s="22">
        <f>D71-C71</f>
        <v>4955000</v>
      </c>
      <c r="F71" s="23">
        <f>IF(C71=0,0,E71/C71)</f>
        <v>0.20293238317565632</v>
      </c>
    </row>
    <row r="72" spans="1:6" ht="24" customHeight="1" x14ac:dyDescent="0.2">
      <c r="A72" s="20">
        <v>3</v>
      </c>
      <c r="B72" s="21" t="s">
        <v>66</v>
      </c>
      <c r="C72" s="22">
        <v>53179000</v>
      </c>
      <c r="D72" s="22">
        <v>55311000</v>
      </c>
      <c r="E72" s="22">
        <f>D72-C72</f>
        <v>2132000</v>
      </c>
      <c r="F72" s="23">
        <f>IF(C72=0,0,E72/C72)</f>
        <v>4.0091013369939262E-2</v>
      </c>
    </row>
    <row r="73" spans="1:6" ht="24" customHeight="1" x14ac:dyDescent="0.25">
      <c r="A73" s="20"/>
      <c r="B73" s="25" t="s">
        <v>67</v>
      </c>
      <c r="C73" s="26">
        <f>SUM(C70:C72)</f>
        <v>129938000</v>
      </c>
      <c r="D73" s="26">
        <f>SUM(D70:D72)</f>
        <v>133905000</v>
      </c>
      <c r="E73" s="26">
        <f>D73-C73</f>
        <v>3967000</v>
      </c>
      <c r="F73" s="27">
        <f>IF(C73=0,0,E73/C73)</f>
        <v>3.0529945050716496E-2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749033000</v>
      </c>
      <c r="D75" s="26">
        <f>D56+D65+D67+D73</f>
        <v>748143000</v>
      </c>
      <c r="E75" s="26">
        <f>D75-C75</f>
        <v>-890000</v>
      </c>
      <c r="F75" s="27">
        <f>IF(C75=0,0,E75/C75)</f>
        <v>-1.1881986507937567E-3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1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zoomScale="70" zoomScaleSheetLayoutView="75" workbookViewId="0">
      <selection activeCell="F54" sqref="F54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4" width="16.140625" style="56" bestFit="1" customWidth="1"/>
    <col min="5" max="5" width="18.140625" style="225" bestFit="1" customWidth="1"/>
    <col min="6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756781000</v>
      </c>
      <c r="D11" s="76">
        <v>772752000</v>
      </c>
      <c r="E11" s="76">
        <v>962505000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48441000</v>
      </c>
      <c r="D12" s="185">
        <v>49214000</v>
      </c>
      <c r="E12" s="185">
        <v>56981000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805222000</v>
      </c>
      <c r="D13" s="76">
        <f>+D11+D12</f>
        <v>821966000</v>
      </c>
      <c r="E13" s="76">
        <f>+E11+E12</f>
        <v>1019486000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793699000</v>
      </c>
      <c r="D14" s="185">
        <v>815994000</v>
      </c>
      <c r="E14" s="185">
        <v>1022859000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11523000</v>
      </c>
      <c r="D15" s="76">
        <f>+D13-D14</f>
        <v>5972000</v>
      </c>
      <c r="E15" s="76">
        <f>+E13-E14</f>
        <v>-3373000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1201000</v>
      </c>
      <c r="D16" s="185">
        <v>-20063000</v>
      </c>
      <c r="E16" s="185">
        <v>60818000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12724000</v>
      </c>
      <c r="D17" s="76">
        <f>D15+D16</f>
        <v>-14091000</v>
      </c>
      <c r="E17" s="76">
        <f>E15+E16</f>
        <v>57445000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1.4289026974677061E-2</v>
      </c>
      <c r="D20" s="189">
        <f>IF(+D27=0,0,+D24/+D27)</f>
        <v>7.4472847713501506E-3</v>
      </c>
      <c r="E20" s="189">
        <f>IF(+E27=0,0,+E24/+E27)</f>
        <v>-3.1222692871636132E-3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1.4892928401099672E-3</v>
      </c>
      <c r="D21" s="189">
        <f>IF(+D27=0,0,+D26/+D27)</f>
        <v>-2.5019235493569672E-2</v>
      </c>
      <c r="E21" s="189">
        <f>IF(+E27=0,0,+E26/+E27)</f>
        <v>5.6297116367244777E-2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1.5778319814787028E-2</v>
      </c>
      <c r="D22" s="189">
        <f>IF(+D27=0,0,+D28/+D27)</f>
        <v>-1.757195072221952E-2</v>
      </c>
      <c r="E22" s="189">
        <f>IF(+E27=0,0,+E28/+E27)</f>
        <v>5.3174847080081161E-2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11523000</v>
      </c>
      <c r="D24" s="76">
        <f>+D15</f>
        <v>5972000</v>
      </c>
      <c r="E24" s="76">
        <f>+E15</f>
        <v>-3373000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805222000</v>
      </c>
      <c r="D25" s="76">
        <f>+D13</f>
        <v>821966000</v>
      </c>
      <c r="E25" s="76">
        <f>+E13</f>
        <v>1019486000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1201000</v>
      </c>
      <c r="D26" s="76">
        <f>+D16</f>
        <v>-20063000</v>
      </c>
      <c r="E26" s="76">
        <f>+E16</f>
        <v>60818000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806423000</v>
      </c>
      <c r="D27" s="76">
        <f>SUM(D25:D26)</f>
        <v>801903000</v>
      </c>
      <c r="E27" s="76">
        <f>SUM(E25:E26)</f>
        <v>1080304000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12724000</v>
      </c>
      <c r="D28" s="76">
        <f>+D17</f>
        <v>-14091000</v>
      </c>
      <c r="E28" s="76">
        <f>+E17</f>
        <v>57445000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137311000</v>
      </c>
      <c r="D31" s="76">
        <v>101295000</v>
      </c>
      <c r="E31" s="76">
        <v>123226000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220721000</v>
      </c>
      <c r="D32" s="76">
        <v>180654000</v>
      </c>
      <c r="E32" s="76">
        <v>228727000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-39852000</v>
      </c>
      <c r="D33" s="76">
        <f>+D32-C32</f>
        <v>-40067000</v>
      </c>
      <c r="E33" s="76">
        <f>+E32-D32</f>
        <v>48073000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0.84699999999999998</v>
      </c>
      <c r="D34" s="193">
        <f>IF(C32=0,0,+D33/C32)</f>
        <v>-0.18152781112807573</v>
      </c>
      <c r="E34" s="193">
        <f>IF(D32=0,0,+E33/D32)</f>
        <v>0.26610537270140711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2.054057917395399</v>
      </c>
      <c r="D38" s="338">
        <f>IF(+D40=0,0,+D39/+D40)</f>
        <v>1.9786314663094353</v>
      </c>
      <c r="E38" s="338">
        <f>IF(+E40=0,0,+E39/+E40)</f>
        <v>1.649544389336985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244285000</v>
      </c>
      <c r="D39" s="341">
        <v>242230000</v>
      </c>
      <c r="E39" s="341">
        <v>296339000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118928000</v>
      </c>
      <c r="D40" s="341">
        <v>122423000</v>
      </c>
      <c r="E40" s="341">
        <v>179649000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65.386021920795116</v>
      </c>
      <c r="D42" s="343">
        <f>IF((D48/365)=0,0,+D45/(D48/365))</f>
        <v>63.740928097199792</v>
      </c>
      <c r="E42" s="343">
        <f>IF((E48/365)=0,0,+E45/(E48/365))</f>
        <v>45.700656500611032</v>
      </c>
    </row>
    <row r="43" spans="1:14" ht="24" customHeight="1" x14ac:dyDescent="0.2">
      <c r="A43" s="339">
        <v>5</v>
      </c>
      <c r="B43" s="344" t="s">
        <v>16</v>
      </c>
      <c r="C43" s="345">
        <v>93155000</v>
      </c>
      <c r="D43" s="345">
        <v>102071000</v>
      </c>
      <c r="E43" s="345">
        <v>72316000</v>
      </c>
    </row>
    <row r="44" spans="1:14" ht="24" customHeight="1" x14ac:dyDescent="0.2">
      <c r="A44" s="339">
        <v>6</v>
      </c>
      <c r="B44" s="346" t="s">
        <v>17</v>
      </c>
      <c r="C44" s="345">
        <v>42241000</v>
      </c>
      <c r="D44" s="345">
        <v>33496000</v>
      </c>
      <c r="E44" s="345">
        <v>49401000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135396000</v>
      </c>
      <c r="D45" s="341">
        <f>+D43+D44</f>
        <v>135567000</v>
      </c>
      <c r="E45" s="341">
        <f>+E43+E44</f>
        <v>121717000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793699000</v>
      </c>
      <c r="D46" s="341">
        <f>+D14</f>
        <v>815994000</v>
      </c>
      <c r="E46" s="341">
        <f>+E14</f>
        <v>1022859000</v>
      </c>
    </row>
    <row r="47" spans="1:14" ht="24" customHeight="1" x14ac:dyDescent="0.2">
      <c r="A47" s="339">
        <v>9</v>
      </c>
      <c r="B47" s="340" t="s">
        <v>356</v>
      </c>
      <c r="C47" s="341">
        <v>37887000</v>
      </c>
      <c r="D47" s="341">
        <v>39696000</v>
      </c>
      <c r="E47" s="341">
        <v>50735000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755812000</v>
      </c>
      <c r="D48" s="341">
        <f>+D46-D47</f>
        <v>776298000</v>
      </c>
      <c r="E48" s="341">
        <f>+E46-E47</f>
        <v>972124000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33.33891839250721</v>
      </c>
      <c r="D50" s="350">
        <f>IF((D55/365)=0,0,+D54/(D55/365))</f>
        <v>30.142238389548005</v>
      </c>
      <c r="E50" s="350">
        <f>IF((E55/365)=0,0,+E54/(E55/365))</f>
        <v>43.146757679180887</v>
      </c>
    </row>
    <row r="51" spans="1:5" ht="24" customHeight="1" x14ac:dyDescent="0.2">
      <c r="A51" s="339">
        <v>12</v>
      </c>
      <c r="B51" s="344" t="s">
        <v>359</v>
      </c>
      <c r="C51" s="351">
        <v>84904000</v>
      </c>
      <c r="D51" s="351">
        <v>77445000</v>
      </c>
      <c r="E51" s="351">
        <v>124168000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5513000</v>
      </c>
    </row>
    <row r="53" spans="1:5" ht="24" customHeight="1" x14ac:dyDescent="0.2">
      <c r="A53" s="339">
        <v>14</v>
      </c>
      <c r="B53" s="344" t="s">
        <v>49</v>
      </c>
      <c r="C53" s="341">
        <v>15780000</v>
      </c>
      <c r="D53" s="341">
        <v>13630000</v>
      </c>
      <c r="E53" s="341">
        <v>15903000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69124000</v>
      </c>
      <c r="D54" s="352">
        <f>+D51+D52-D53</f>
        <v>63815000</v>
      </c>
      <c r="E54" s="352">
        <f>+E51+E52-E53</f>
        <v>113778000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756781000</v>
      </c>
      <c r="D55" s="341">
        <f>+D11</f>
        <v>772752000</v>
      </c>
      <c r="E55" s="341">
        <f>+E11</f>
        <v>962505000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57.433224135102378</v>
      </c>
      <c r="D57" s="355">
        <f>IF((D61/365)=0,0,+D58/(D61/365))</f>
        <v>57.560878683186104</v>
      </c>
      <c r="E57" s="355">
        <f>IF((E61/365)=0,0,+E58/(E61/365))</f>
        <v>67.452182026161267</v>
      </c>
    </row>
    <row r="58" spans="1:5" ht="24" customHeight="1" x14ac:dyDescent="0.2">
      <c r="A58" s="339">
        <v>18</v>
      </c>
      <c r="B58" s="340" t="s">
        <v>54</v>
      </c>
      <c r="C58" s="353">
        <f>+C40</f>
        <v>118928000</v>
      </c>
      <c r="D58" s="353">
        <f>+D40</f>
        <v>122423000</v>
      </c>
      <c r="E58" s="353">
        <f>+E40</f>
        <v>179649000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793699000</v>
      </c>
      <c r="D59" s="353">
        <f t="shared" si="0"/>
        <v>815994000</v>
      </c>
      <c r="E59" s="353">
        <f t="shared" si="0"/>
        <v>1022859000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37887000</v>
      </c>
      <c r="D60" s="356">
        <f t="shared" si="0"/>
        <v>39696000</v>
      </c>
      <c r="E60" s="356">
        <f t="shared" si="0"/>
        <v>50735000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755812000</v>
      </c>
      <c r="D61" s="353">
        <f>+D59-D60</f>
        <v>776298000</v>
      </c>
      <c r="E61" s="353">
        <f>+E59-E60</f>
        <v>972124000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25.174648905799657</v>
      </c>
      <c r="D65" s="357">
        <f>IF(D67=0,0,(D66/D67)*100)</f>
        <v>20.808189940646425</v>
      </c>
      <c r="E65" s="357">
        <f>IF(E67=0,0,(E66/E67)*100)</f>
        <v>21.624164017932607</v>
      </c>
    </row>
    <row r="66" spans="1:5" ht="24" customHeight="1" x14ac:dyDescent="0.2">
      <c r="A66" s="339">
        <v>2</v>
      </c>
      <c r="B66" s="340" t="s">
        <v>67</v>
      </c>
      <c r="C66" s="353">
        <f>+C32</f>
        <v>220721000</v>
      </c>
      <c r="D66" s="353">
        <f>+D32</f>
        <v>180654000</v>
      </c>
      <c r="E66" s="353">
        <f>+E32</f>
        <v>228727000</v>
      </c>
    </row>
    <row r="67" spans="1:5" ht="24" customHeight="1" x14ac:dyDescent="0.2">
      <c r="A67" s="339">
        <v>3</v>
      </c>
      <c r="B67" s="340" t="s">
        <v>43</v>
      </c>
      <c r="C67" s="353">
        <v>876759000</v>
      </c>
      <c r="D67" s="353">
        <v>868187000</v>
      </c>
      <c r="E67" s="353">
        <v>1057738000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13.663729333376528</v>
      </c>
      <c r="D69" s="357">
        <f>IF(D75=0,0,(D72/D75)*100)</f>
        <v>6.984889941267455</v>
      </c>
      <c r="E69" s="357">
        <f>IF(E75=0,0,(E72/E75)*100)</f>
        <v>24.823028648133914</v>
      </c>
    </row>
    <row r="70" spans="1:5" ht="24" customHeight="1" x14ac:dyDescent="0.2">
      <c r="A70" s="339">
        <v>5</v>
      </c>
      <c r="B70" s="340" t="s">
        <v>366</v>
      </c>
      <c r="C70" s="353">
        <f>+C28</f>
        <v>12724000</v>
      </c>
      <c r="D70" s="353">
        <f>+D28</f>
        <v>-14091000</v>
      </c>
      <c r="E70" s="353">
        <f>+E28</f>
        <v>57445000</v>
      </c>
    </row>
    <row r="71" spans="1:5" ht="24" customHeight="1" x14ac:dyDescent="0.2">
      <c r="A71" s="339">
        <v>6</v>
      </c>
      <c r="B71" s="340" t="s">
        <v>356</v>
      </c>
      <c r="C71" s="356">
        <f>+C47</f>
        <v>37887000</v>
      </c>
      <c r="D71" s="356">
        <f>+D47</f>
        <v>39696000</v>
      </c>
      <c r="E71" s="356">
        <f>+E47</f>
        <v>50735000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50611000</v>
      </c>
      <c r="D72" s="353">
        <f>+D70+D71</f>
        <v>25605000</v>
      </c>
      <c r="E72" s="353">
        <f>+E70+E71</f>
        <v>108180000</v>
      </c>
    </row>
    <row r="73" spans="1:5" ht="24" customHeight="1" x14ac:dyDescent="0.2">
      <c r="A73" s="339">
        <v>8</v>
      </c>
      <c r="B73" s="340" t="s">
        <v>54</v>
      </c>
      <c r="C73" s="341">
        <f>+C40</f>
        <v>118928000</v>
      </c>
      <c r="D73" s="341">
        <f>+D40</f>
        <v>122423000</v>
      </c>
      <c r="E73" s="341">
        <f>+E40</f>
        <v>179649000</v>
      </c>
    </row>
    <row r="74" spans="1:5" ht="24" customHeight="1" x14ac:dyDescent="0.2">
      <c r="A74" s="339">
        <v>9</v>
      </c>
      <c r="B74" s="340" t="s">
        <v>58</v>
      </c>
      <c r="C74" s="353">
        <v>251476000</v>
      </c>
      <c r="D74" s="353">
        <v>244154000</v>
      </c>
      <c r="E74" s="353">
        <v>256156000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370404000</v>
      </c>
      <c r="D75" s="341">
        <f>+D73+D74</f>
        <v>366577000</v>
      </c>
      <c r="E75" s="341">
        <f>+E73+E74</f>
        <v>435805000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53.256585704695283</v>
      </c>
      <c r="D77" s="359">
        <f>IF(D80=0,0,(D78/D80)*100)</f>
        <v>57.473964708762551</v>
      </c>
      <c r="E77" s="359">
        <f>IF(E80=0,0,(E78/E80)*100)</f>
        <v>52.828414277258638</v>
      </c>
    </row>
    <row r="78" spans="1:5" ht="24" customHeight="1" x14ac:dyDescent="0.2">
      <c r="A78" s="339">
        <v>12</v>
      </c>
      <c r="B78" s="340" t="s">
        <v>58</v>
      </c>
      <c r="C78" s="341">
        <f>+C74</f>
        <v>251476000</v>
      </c>
      <c r="D78" s="341">
        <f>+D74</f>
        <v>244154000</v>
      </c>
      <c r="E78" s="341">
        <f>+E74</f>
        <v>256156000</v>
      </c>
    </row>
    <row r="79" spans="1:5" ht="24" customHeight="1" x14ac:dyDescent="0.2">
      <c r="A79" s="339">
        <v>13</v>
      </c>
      <c r="B79" s="340" t="s">
        <v>67</v>
      </c>
      <c r="C79" s="341">
        <f>+C32</f>
        <v>220721000</v>
      </c>
      <c r="D79" s="341">
        <f>+D32</f>
        <v>180654000</v>
      </c>
      <c r="E79" s="341">
        <f>+E32</f>
        <v>228727000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472197000</v>
      </c>
      <c r="D80" s="341">
        <f>+D78+D79</f>
        <v>424808000</v>
      </c>
      <c r="E80" s="341">
        <f>+E78+E79</f>
        <v>484883000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86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F54" sqref="F54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1.140625" style="396" bestFit="1" customWidth="1"/>
    <col min="4" max="4" width="23.7109375" style="365" bestFit="1" customWidth="1"/>
    <col min="5" max="5" width="15.85546875" style="365" bestFit="1" customWidth="1"/>
    <col min="6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98431</v>
      </c>
      <c r="D11" s="376">
        <v>24718</v>
      </c>
      <c r="E11" s="376">
        <v>24663</v>
      </c>
      <c r="F11" s="377">
        <v>384</v>
      </c>
      <c r="G11" s="377">
        <v>384</v>
      </c>
      <c r="H11" s="378">
        <f>IF(F11=0,0,$C11/(F11*365))</f>
        <v>0.70227597031963473</v>
      </c>
      <c r="I11" s="378">
        <f>IF(G11=0,0,$C11/(G11*365))</f>
        <v>0.70227597031963473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10828</v>
      </c>
      <c r="D13" s="376">
        <v>401</v>
      </c>
      <c r="E13" s="376">
        <v>0</v>
      </c>
      <c r="F13" s="377">
        <v>42</v>
      </c>
      <c r="G13" s="377">
        <v>42</v>
      </c>
      <c r="H13" s="378">
        <f>IF(F13=0,0,$C13/(F13*365))</f>
        <v>0.70632746249184608</v>
      </c>
      <c r="I13" s="378">
        <f>IF(G13=0,0,$C13/(G13*365))</f>
        <v>0.70632746249184608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4226</v>
      </c>
      <c r="D15" s="376">
        <v>379</v>
      </c>
      <c r="E15" s="376">
        <v>380</v>
      </c>
      <c r="F15" s="377">
        <v>23</v>
      </c>
      <c r="G15" s="377">
        <v>23</v>
      </c>
      <c r="H15" s="378">
        <f t="shared" ref="H15:I17" si="0">IF(F15=0,0,$C15/(F15*365))</f>
        <v>0.503394877903514</v>
      </c>
      <c r="I15" s="378">
        <f t="shared" si="0"/>
        <v>0.503394877903514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11309</v>
      </c>
      <c r="D16" s="376">
        <v>1762</v>
      </c>
      <c r="E16" s="376">
        <v>1749</v>
      </c>
      <c r="F16" s="377">
        <v>60</v>
      </c>
      <c r="G16" s="377">
        <v>60</v>
      </c>
      <c r="H16" s="378">
        <f t="shared" si="0"/>
        <v>0.51639269406392696</v>
      </c>
      <c r="I16" s="378">
        <f t="shared" si="0"/>
        <v>0.51639269406392696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15535</v>
      </c>
      <c r="D17" s="381">
        <f>SUM(D15:D16)</f>
        <v>2141</v>
      </c>
      <c r="E17" s="381">
        <f>SUM(E15:E16)</f>
        <v>2129</v>
      </c>
      <c r="F17" s="381">
        <f>SUM(F15:F16)</f>
        <v>83</v>
      </c>
      <c r="G17" s="381">
        <f>SUM(G15:G16)</f>
        <v>83</v>
      </c>
      <c r="H17" s="382">
        <f t="shared" si="0"/>
        <v>0.51279088958574026</v>
      </c>
      <c r="I17" s="382">
        <f t="shared" si="0"/>
        <v>0.51279088958574026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8701</v>
      </c>
      <c r="D21" s="376">
        <v>2914</v>
      </c>
      <c r="E21" s="376">
        <v>2926</v>
      </c>
      <c r="F21" s="377">
        <v>30</v>
      </c>
      <c r="G21" s="377">
        <v>30</v>
      </c>
      <c r="H21" s="378">
        <f>IF(F21=0,0,$C21/(F21*365))</f>
        <v>0.79461187214611873</v>
      </c>
      <c r="I21" s="378">
        <f>IF(G21=0,0,$C21/(G21*365))</f>
        <v>0.79461187214611873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6013</v>
      </c>
      <c r="D23" s="376">
        <v>2542</v>
      </c>
      <c r="E23" s="376">
        <v>2777</v>
      </c>
      <c r="F23" s="377">
        <v>26</v>
      </c>
      <c r="G23" s="377">
        <v>26</v>
      </c>
      <c r="H23" s="378">
        <f>IF(F23=0,0,$C23/(F23*365))</f>
        <v>0.63361433087460484</v>
      </c>
      <c r="I23" s="378">
        <f>IF(G23=0,0,$C23/(G23*365))</f>
        <v>0.63361433087460484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4200</v>
      </c>
      <c r="D25" s="376">
        <v>219</v>
      </c>
      <c r="E25" s="376">
        <v>0</v>
      </c>
      <c r="F25" s="377">
        <v>28</v>
      </c>
      <c r="G25" s="377">
        <v>28</v>
      </c>
      <c r="H25" s="378">
        <f>IF(F25=0,0,$C25/(F25*365))</f>
        <v>0.41095890410958902</v>
      </c>
      <c r="I25" s="378">
        <f>IF(G25=0,0,$C25/(G25*365))</f>
        <v>0.41095890410958902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137695</v>
      </c>
      <c r="D31" s="384">
        <f>SUM(D10:D29)-D13-D17-D23</f>
        <v>29992</v>
      </c>
      <c r="E31" s="384">
        <f>SUM(E10:E29)-E17-E23</f>
        <v>29718</v>
      </c>
      <c r="F31" s="384">
        <f>SUM(F10:F29)-F17-F23</f>
        <v>567</v>
      </c>
      <c r="G31" s="384">
        <f>SUM(G10:G29)-G17-G23</f>
        <v>567</v>
      </c>
      <c r="H31" s="385">
        <f>IF(F31=0,0,$C31/(F31*365))</f>
        <v>0.6653378753835375</v>
      </c>
      <c r="I31" s="385">
        <f>IF(G31=0,0,$C31/(G31*365))</f>
        <v>0.6653378753835375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143708</v>
      </c>
      <c r="D33" s="384">
        <f>SUM(D10:D29)-D13-D17</f>
        <v>32534</v>
      </c>
      <c r="E33" s="384">
        <f>SUM(E10:E29)-E17</f>
        <v>32495</v>
      </c>
      <c r="F33" s="384">
        <f>SUM(F10:F29)-F17</f>
        <v>593</v>
      </c>
      <c r="G33" s="384">
        <f>SUM(G10:G29)-G17</f>
        <v>593</v>
      </c>
      <c r="H33" s="385">
        <f>IF(F33=0,0,$C33/(F33*365))</f>
        <v>0.66394696112176299</v>
      </c>
      <c r="I33" s="385">
        <f>IF(G33=0,0,$C33/(G33*365))</f>
        <v>0.66394696112176299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143708</v>
      </c>
      <c r="D36" s="384">
        <f t="shared" si="1"/>
        <v>32534</v>
      </c>
      <c r="E36" s="384">
        <f t="shared" si="1"/>
        <v>32495</v>
      </c>
      <c r="F36" s="384">
        <f t="shared" si="1"/>
        <v>593</v>
      </c>
      <c r="G36" s="384">
        <f t="shared" si="1"/>
        <v>593</v>
      </c>
      <c r="H36" s="387">
        <f t="shared" si="1"/>
        <v>0.66394696112176299</v>
      </c>
      <c r="I36" s="387">
        <f t="shared" si="1"/>
        <v>0.66394696112176299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152490</v>
      </c>
      <c r="D37" s="384">
        <v>31632</v>
      </c>
      <c r="E37" s="384">
        <v>31585</v>
      </c>
      <c r="F37" s="386">
        <v>607</v>
      </c>
      <c r="G37" s="386">
        <v>607</v>
      </c>
      <c r="H37" s="385">
        <f>IF(F37=0,0,$C37/(F37*365))</f>
        <v>0.68827153528469232</v>
      </c>
      <c r="I37" s="385">
        <f>IF(G37=0,0,$C37/(G37*365))</f>
        <v>0.68827153528469232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-8782</v>
      </c>
      <c r="D38" s="384">
        <f t="shared" si="2"/>
        <v>902</v>
      </c>
      <c r="E38" s="384">
        <f t="shared" si="2"/>
        <v>910</v>
      </c>
      <c r="F38" s="384">
        <f t="shared" si="2"/>
        <v>-14</v>
      </c>
      <c r="G38" s="384">
        <f t="shared" si="2"/>
        <v>-14</v>
      </c>
      <c r="H38" s="387">
        <f t="shared" si="2"/>
        <v>-2.4324574162929324E-2</v>
      </c>
      <c r="I38" s="387">
        <f t="shared" si="2"/>
        <v>-2.4324574162929324E-2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-5.7590661682733295E-2</v>
      </c>
      <c r="D40" s="389">
        <f t="shared" si="3"/>
        <v>2.8515427415275671E-2</v>
      </c>
      <c r="E40" s="389">
        <f t="shared" si="3"/>
        <v>2.8811144530631629E-2</v>
      </c>
      <c r="F40" s="389">
        <f t="shared" si="3"/>
        <v>-2.3064250411861616E-2</v>
      </c>
      <c r="G40" s="389">
        <f t="shared" si="3"/>
        <v>-2.3064250411861616E-2</v>
      </c>
      <c r="H40" s="389">
        <f t="shared" si="3"/>
        <v>-3.5341537337974988E-2</v>
      </c>
      <c r="I40" s="389">
        <f t="shared" si="3"/>
        <v>-3.5341537337974988E-2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682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fitToWidth="0" orientation="landscape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tabSelected="1" zoomScaleSheetLayoutView="90" workbookViewId="0">
      <selection activeCell="F54" sqref="F54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10.7109375" style="365" bestFit="1" customWidth="1"/>
    <col min="5" max="5" width="16.42578125" style="365" bestFit="1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18952</v>
      </c>
      <c r="D12" s="409">
        <v>18390</v>
      </c>
      <c r="E12" s="409">
        <f>+D12-C12</f>
        <v>-562</v>
      </c>
      <c r="F12" s="410">
        <f>IF(C12=0,0,+E12/C12)</f>
        <v>-2.9653862389193753E-2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10131</v>
      </c>
      <c r="D13" s="409">
        <v>11955</v>
      </c>
      <c r="E13" s="409">
        <f>+D13-C13</f>
        <v>1824</v>
      </c>
      <c r="F13" s="410">
        <f>IF(C13=0,0,+E13/C13)</f>
        <v>0.18004145691442108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13249</v>
      </c>
      <c r="D14" s="409">
        <v>13985</v>
      </c>
      <c r="E14" s="409">
        <f>+D14-C14</f>
        <v>736</v>
      </c>
      <c r="F14" s="410">
        <f>IF(C14=0,0,+E14/C14)</f>
        <v>5.5551362366971092E-2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42332</v>
      </c>
      <c r="D16" s="401">
        <f>SUM(D12:D15)</f>
        <v>44330</v>
      </c>
      <c r="E16" s="401">
        <f>+D16-C16</f>
        <v>1998</v>
      </c>
      <c r="F16" s="402">
        <f>IF(C16=0,0,+E16/C16)</f>
        <v>4.7198336955494663E-2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4585</v>
      </c>
      <c r="D19" s="409">
        <v>4111</v>
      </c>
      <c r="E19" s="409">
        <f>+D19-C19</f>
        <v>-474</v>
      </c>
      <c r="F19" s="410">
        <f>IF(C19=0,0,+E19/C19)</f>
        <v>-0.10338058887677208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8626</v>
      </c>
      <c r="D20" s="409">
        <v>10147</v>
      </c>
      <c r="E20" s="409">
        <f>+D20-C20</f>
        <v>1521</v>
      </c>
      <c r="F20" s="410">
        <f>IF(C20=0,0,+E20/C20)</f>
        <v>0.17632738233248318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558</v>
      </c>
      <c r="D21" s="409">
        <v>552</v>
      </c>
      <c r="E21" s="409">
        <f>+D21-C21</f>
        <v>-6</v>
      </c>
      <c r="F21" s="410">
        <f>IF(C21=0,0,+E21/C21)</f>
        <v>-1.0752688172043012E-2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13769</v>
      </c>
      <c r="D23" s="401">
        <f>SUM(D19:D22)</f>
        <v>14810</v>
      </c>
      <c r="E23" s="401">
        <f>+D23-C23</f>
        <v>1041</v>
      </c>
      <c r="F23" s="402">
        <f>IF(C23=0,0,+E23/C23)</f>
        <v>7.5604619071828014E-2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95</v>
      </c>
      <c r="D33" s="409">
        <v>132</v>
      </c>
      <c r="E33" s="409">
        <f>+D33-C33</f>
        <v>37</v>
      </c>
      <c r="F33" s="410">
        <f>IF(C33=0,0,+E33/C33)</f>
        <v>0.38947368421052631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1197</v>
      </c>
      <c r="D34" s="409">
        <v>1264</v>
      </c>
      <c r="E34" s="409">
        <f>+D34-C34</f>
        <v>67</v>
      </c>
      <c r="F34" s="410">
        <f>IF(C34=0,0,+E34/C34)</f>
        <v>5.5973266499582286E-2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1292</v>
      </c>
      <c r="D37" s="401">
        <f>SUM(D33:D36)</f>
        <v>1396</v>
      </c>
      <c r="E37" s="401">
        <f>+D37-C37</f>
        <v>104</v>
      </c>
      <c r="F37" s="402">
        <f>IF(C37=0,0,+E37/C37)</f>
        <v>8.0495356037151702E-2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812</v>
      </c>
      <c r="D43" s="409">
        <v>601</v>
      </c>
      <c r="E43" s="409">
        <f>+D43-C43</f>
        <v>-211</v>
      </c>
      <c r="F43" s="410">
        <f>IF(C43=0,0,+E43/C43)</f>
        <v>-0.25985221674876846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14955</v>
      </c>
      <c r="D44" s="409">
        <v>16892</v>
      </c>
      <c r="E44" s="409">
        <f>+D44-C44</f>
        <v>1937</v>
      </c>
      <c r="F44" s="410">
        <f>IF(C44=0,0,+E44/C44)</f>
        <v>0.1295218990304246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15767</v>
      </c>
      <c r="D45" s="401">
        <f>SUM(D43:D44)</f>
        <v>17493</v>
      </c>
      <c r="E45" s="401">
        <f>+D45-C45</f>
        <v>1726</v>
      </c>
      <c r="F45" s="402">
        <f>IF(C45=0,0,+E45/C45)</f>
        <v>0.10946914441555147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1118</v>
      </c>
      <c r="D48" s="409">
        <v>972</v>
      </c>
      <c r="E48" s="409">
        <f>+D48-C48</f>
        <v>-146</v>
      </c>
      <c r="F48" s="410">
        <f>IF(C48=0,0,+E48/C48)</f>
        <v>-0.13059033989266547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1240</v>
      </c>
      <c r="D49" s="409">
        <v>1381</v>
      </c>
      <c r="E49" s="409">
        <f>+D49-C49</f>
        <v>141</v>
      </c>
      <c r="F49" s="410">
        <f>IF(C49=0,0,+E49/C49)</f>
        <v>0.11370967741935484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2358</v>
      </c>
      <c r="D50" s="401">
        <f>SUM(D48:D49)</f>
        <v>2353</v>
      </c>
      <c r="E50" s="401">
        <f>+D50-C50</f>
        <v>-5</v>
      </c>
      <c r="F50" s="402">
        <f>IF(C50=0,0,+E50/C50)</f>
        <v>-2.1204410517387615E-3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368</v>
      </c>
      <c r="D53" s="409">
        <v>348</v>
      </c>
      <c r="E53" s="409">
        <f>+D53-C53</f>
        <v>-20</v>
      </c>
      <c r="F53" s="410">
        <f>IF(C53=0,0,+E53/C53)</f>
        <v>-5.434782608695652E-2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432</v>
      </c>
      <c r="D54" s="409">
        <v>412</v>
      </c>
      <c r="E54" s="409">
        <f>+D54-C54</f>
        <v>-20</v>
      </c>
      <c r="F54" s="410">
        <f>IF(C54=0,0,+E54/C54)</f>
        <v>-4.6296296296296294E-2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800</v>
      </c>
      <c r="D55" s="401">
        <f>SUM(D53:D54)</f>
        <v>760</v>
      </c>
      <c r="E55" s="401">
        <f>+D55-C55</f>
        <v>-40</v>
      </c>
      <c r="F55" s="402">
        <f>IF(C55=0,0,+E55/C55)</f>
        <v>-0.05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292</v>
      </c>
      <c r="D58" s="409">
        <v>318</v>
      </c>
      <c r="E58" s="409">
        <f>+D58-C58</f>
        <v>26</v>
      </c>
      <c r="F58" s="410">
        <f>IF(C58=0,0,+E58/C58)</f>
        <v>8.9041095890410954E-2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345</v>
      </c>
      <c r="D59" s="409">
        <v>508</v>
      </c>
      <c r="E59" s="409">
        <f>+D59-C59</f>
        <v>163</v>
      </c>
      <c r="F59" s="410">
        <f>IF(C59=0,0,+E59/C59)</f>
        <v>0.47246376811594204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637</v>
      </c>
      <c r="D60" s="401">
        <f>SUM(D58:D59)</f>
        <v>826</v>
      </c>
      <c r="E60" s="401">
        <f>SUM(E58:E59)</f>
        <v>189</v>
      </c>
      <c r="F60" s="402">
        <f>IF(C60=0,0,+E60/C60)</f>
        <v>0.2967032967032967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10165</v>
      </c>
      <c r="D63" s="409">
        <v>10471</v>
      </c>
      <c r="E63" s="409">
        <f>+D63-C63</f>
        <v>306</v>
      </c>
      <c r="F63" s="410">
        <f>IF(C63=0,0,+E63/C63)</f>
        <v>3.0103295622233153E-2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16080</v>
      </c>
      <c r="D64" s="409">
        <v>16404</v>
      </c>
      <c r="E64" s="409">
        <f>+D64-C64</f>
        <v>324</v>
      </c>
      <c r="F64" s="410">
        <f>IF(C64=0,0,+E64/C64)</f>
        <v>2.0149253731343283E-2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26245</v>
      </c>
      <c r="D65" s="401">
        <f>SUM(D63:D64)</f>
        <v>26875</v>
      </c>
      <c r="E65" s="401">
        <f>+D65-C65</f>
        <v>630</v>
      </c>
      <c r="F65" s="402">
        <f>IF(C65=0,0,+E65/C65)</f>
        <v>2.4004572299485615E-2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1556</v>
      </c>
      <c r="D68" s="409">
        <v>1483</v>
      </c>
      <c r="E68" s="409">
        <f>+D68-C68</f>
        <v>-73</v>
      </c>
      <c r="F68" s="410">
        <f>IF(C68=0,0,+E68/C68)</f>
        <v>-4.691516709511568E-2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5418</v>
      </c>
      <c r="D69" s="409">
        <v>5576</v>
      </c>
      <c r="E69" s="409">
        <f>+D69-C69</f>
        <v>158</v>
      </c>
      <c r="F69" s="412">
        <f>IF(C69=0,0,+E69/C69)</f>
        <v>2.9162052417866371E-2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6974</v>
      </c>
      <c r="D70" s="401">
        <f>SUM(D68:D69)</f>
        <v>7059</v>
      </c>
      <c r="E70" s="401">
        <f>+D70-C70</f>
        <v>85</v>
      </c>
      <c r="F70" s="402">
        <f>IF(C70=0,0,+E70/C70)</f>
        <v>1.2188127330083166E-2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18352</v>
      </c>
      <c r="D73" s="376">
        <v>18380</v>
      </c>
      <c r="E73" s="409">
        <f>+D73-C73</f>
        <v>28</v>
      </c>
      <c r="F73" s="410">
        <f>IF(C73=0,0,+E73/C73)</f>
        <v>1.5257192676547515E-3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65364</v>
      </c>
      <c r="D74" s="376">
        <v>70357</v>
      </c>
      <c r="E74" s="409">
        <f>+D74-C74</f>
        <v>4993</v>
      </c>
      <c r="F74" s="410">
        <f>IF(C74=0,0,+E74/C74)</f>
        <v>7.6387613977112787E-2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83716</v>
      </c>
      <c r="D75" s="401">
        <f>SUM(D73:D74)</f>
        <v>88737</v>
      </c>
      <c r="E75" s="401">
        <f>SUM(E73:E74)</f>
        <v>5021</v>
      </c>
      <c r="F75" s="402">
        <f>IF(C75=0,0,+E75/C75)</f>
        <v>5.9976587510153376E-2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9490</v>
      </c>
      <c r="D83" s="376">
        <v>10943</v>
      </c>
      <c r="E83" s="409">
        <f t="shared" si="0"/>
        <v>1453</v>
      </c>
      <c r="F83" s="410">
        <f t="shared" si="1"/>
        <v>0.15310853530031612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15536</v>
      </c>
      <c r="D85" s="376">
        <v>18090</v>
      </c>
      <c r="E85" s="409">
        <f t="shared" si="0"/>
        <v>2554</v>
      </c>
      <c r="F85" s="410">
        <f t="shared" si="1"/>
        <v>0.1643923789907312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24</v>
      </c>
      <c r="D86" s="376">
        <v>9</v>
      </c>
      <c r="E86" s="409">
        <f t="shared" si="0"/>
        <v>-15</v>
      </c>
      <c r="F86" s="410">
        <f t="shared" si="1"/>
        <v>-0.625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1864</v>
      </c>
      <c r="D88" s="376">
        <v>2058</v>
      </c>
      <c r="E88" s="409">
        <f t="shared" si="0"/>
        <v>194</v>
      </c>
      <c r="F88" s="410">
        <f t="shared" si="1"/>
        <v>0.10407725321888411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1244</v>
      </c>
      <c r="D89" s="376">
        <v>1286</v>
      </c>
      <c r="E89" s="409">
        <f t="shared" si="0"/>
        <v>42</v>
      </c>
      <c r="F89" s="410">
        <f t="shared" si="1"/>
        <v>3.3762057877813507E-2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16235</v>
      </c>
      <c r="D91" s="376">
        <v>16421</v>
      </c>
      <c r="E91" s="409">
        <f t="shared" si="0"/>
        <v>186</v>
      </c>
      <c r="F91" s="410">
        <f t="shared" si="1"/>
        <v>1.1456729288574068E-2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44393</v>
      </c>
      <c r="D92" s="381">
        <f>SUM(D79:D91)</f>
        <v>48807</v>
      </c>
      <c r="E92" s="401">
        <f t="shared" si="0"/>
        <v>4414</v>
      </c>
      <c r="F92" s="402">
        <f t="shared" si="1"/>
        <v>9.9430090329556464E-2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909</v>
      </c>
      <c r="D95" s="414">
        <v>1106</v>
      </c>
      <c r="E95" s="415">
        <f t="shared" ref="E95:E100" si="2">+D95-C95</f>
        <v>197</v>
      </c>
      <c r="F95" s="412">
        <f t="shared" ref="F95:F100" si="3">IF(C95=0,0,+E95/C95)</f>
        <v>0.21672167216721672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649</v>
      </c>
      <c r="D96" s="414">
        <v>608</v>
      </c>
      <c r="E96" s="409">
        <f t="shared" si="2"/>
        <v>-41</v>
      </c>
      <c r="F96" s="410">
        <f t="shared" si="3"/>
        <v>-6.3174114021571651E-2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4184</v>
      </c>
      <c r="D97" s="414">
        <v>5419</v>
      </c>
      <c r="E97" s="409">
        <f t="shared" si="2"/>
        <v>1235</v>
      </c>
      <c r="F97" s="410">
        <f t="shared" si="3"/>
        <v>0.29517208413001911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1385</v>
      </c>
      <c r="D98" s="414">
        <v>1741</v>
      </c>
      <c r="E98" s="409">
        <f t="shared" si="2"/>
        <v>356</v>
      </c>
      <c r="F98" s="410">
        <f t="shared" si="3"/>
        <v>0.25703971119133573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132578</v>
      </c>
      <c r="D99" s="414">
        <v>138208</v>
      </c>
      <c r="E99" s="409">
        <f t="shared" si="2"/>
        <v>5630</v>
      </c>
      <c r="F99" s="410">
        <f t="shared" si="3"/>
        <v>4.2465567439545021E-2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139705</v>
      </c>
      <c r="D100" s="381">
        <f>SUM(D95:D99)</f>
        <v>147082</v>
      </c>
      <c r="E100" s="401">
        <f t="shared" si="2"/>
        <v>7377</v>
      </c>
      <c r="F100" s="402">
        <f t="shared" si="3"/>
        <v>5.2804122973408252E-2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1402.6</v>
      </c>
      <c r="D104" s="416">
        <v>1323.3</v>
      </c>
      <c r="E104" s="417">
        <f>+D104-C104</f>
        <v>-79.299999999999955</v>
      </c>
      <c r="F104" s="410">
        <f>IF(C104=0,0,+E104/C104)</f>
        <v>-5.653785826322541E-2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38.799999999999997</v>
      </c>
      <c r="D105" s="416">
        <v>38.1</v>
      </c>
      <c r="E105" s="417">
        <f>+D105-C105</f>
        <v>-0.69999999999999574</v>
      </c>
      <c r="F105" s="410">
        <f>IF(C105=0,0,+E105/C105)</f>
        <v>-1.8041237113401953E-2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2347.6999999999998</v>
      </c>
      <c r="D106" s="416">
        <v>2357.3000000000002</v>
      </c>
      <c r="E106" s="417">
        <f>+D106-C106</f>
        <v>9.6000000000003638</v>
      </c>
      <c r="F106" s="410">
        <f>IF(C106=0,0,+E106/C106)</f>
        <v>4.089108489159758E-3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3789.0999999999995</v>
      </c>
      <c r="D107" s="418">
        <f>SUM(D104:D106)</f>
        <v>3718.7</v>
      </c>
      <c r="E107" s="418">
        <f>+D107-C107</f>
        <v>-70.399999999999636</v>
      </c>
      <c r="F107" s="402">
        <f>IF(C107=0,0,+E107/C107)</f>
        <v>-1.8579609933757263E-2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8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4" zoomScale="75" zoomScaleSheetLayoutView="90" workbookViewId="0">
      <selection activeCell="F54" sqref="F54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4" width="10.7109375" style="365" bestFit="1" customWidth="1"/>
    <col min="5" max="5" width="16.42578125" style="365" bestFit="1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15649</v>
      </c>
      <c r="D12" s="409">
        <v>16142</v>
      </c>
      <c r="E12" s="409">
        <f>+D12-C12</f>
        <v>493</v>
      </c>
      <c r="F12" s="410">
        <f>IF(C12=0,0,+E12/C12)</f>
        <v>3.1503610454342128E-2</v>
      </c>
    </row>
    <row r="13" spans="1:6" ht="15.75" customHeight="1" x14ac:dyDescent="0.2">
      <c r="A13" s="374">
        <v>2</v>
      </c>
      <c r="B13" s="408" t="s">
        <v>622</v>
      </c>
      <c r="C13" s="409">
        <v>431</v>
      </c>
      <c r="D13" s="409">
        <v>262</v>
      </c>
      <c r="E13" s="409">
        <f>+D13-C13</f>
        <v>-169</v>
      </c>
      <c r="F13" s="410">
        <f>IF(C13=0,0,+E13/C13)</f>
        <v>-0.39211136890951276</v>
      </c>
    </row>
    <row r="14" spans="1:6" ht="15.75" customHeight="1" x14ac:dyDescent="0.25">
      <c r="A14" s="374"/>
      <c r="B14" s="399" t="s">
        <v>623</v>
      </c>
      <c r="C14" s="401">
        <f>SUM(C11:C13)</f>
        <v>16080</v>
      </c>
      <c r="D14" s="401">
        <f>SUM(D11:D13)</f>
        <v>16404</v>
      </c>
      <c r="E14" s="401">
        <f>+D14-C14</f>
        <v>324</v>
      </c>
      <c r="F14" s="402">
        <f>IF(C14=0,0,+E14/C14)</f>
        <v>2.0149253731343283E-2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5418</v>
      </c>
      <c r="D17" s="409">
        <v>5576</v>
      </c>
      <c r="E17" s="409">
        <f>+D17-C17</f>
        <v>158</v>
      </c>
      <c r="F17" s="410">
        <f>IF(C17=0,0,+E17/C17)</f>
        <v>2.9162052417866371E-2</v>
      </c>
    </row>
    <row r="18" spans="1:6" ht="15.75" customHeight="1" x14ac:dyDescent="0.25">
      <c r="A18" s="374"/>
      <c r="B18" s="399" t="s">
        <v>624</v>
      </c>
      <c r="C18" s="401">
        <f>SUM(C16:C17)</f>
        <v>5418</v>
      </c>
      <c r="D18" s="401">
        <f>SUM(D16:D17)</f>
        <v>5576</v>
      </c>
      <c r="E18" s="401">
        <f>+D18-C18</f>
        <v>158</v>
      </c>
      <c r="F18" s="402">
        <f>IF(C18=0,0,+E18/C18)</f>
        <v>2.9162052417866371E-2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625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621</v>
      </c>
      <c r="C21" s="409">
        <v>65364</v>
      </c>
      <c r="D21" s="409">
        <v>70357</v>
      </c>
      <c r="E21" s="409">
        <f>+D21-C21</f>
        <v>4993</v>
      </c>
      <c r="F21" s="410">
        <f>IF(C21=0,0,+E21/C21)</f>
        <v>7.6387613977112787E-2</v>
      </c>
    </row>
    <row r="22" spans="1:6" ht="15.75" customHeight="1" x14ac:dyDescent="0.25">
      <c r="A22" s="374"/>
      <c r="B22" s="399" t="s">
        <v>626</v>
      </c>
      <c r="C22" s="401">
        <f>SUM(C20:C21)</f>
        <v>65364</v>
      </c>
      <c r="D22" s="401">
        <f>SUM(D20:D21)</f>
        <v>70357</v>
      </c>
      <c r="E22" s="401">
        <f>+D22-C22</f>
        <v>4993</v>
      </c>
      <c r="F22" s="402">
        <f>IF(C22=0,0,+E22/C22)</f>
        <v>7.6387613977112787E-2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75" bottom="0.75" header="0.3" footer="0.3"/>
  <pageSetup scale="8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abSelected="1" topLeftCell="A286" zoomScale="85" zoomScaleSheetLayoutView="80" workbookViewId="0">
      <selection activeCell="F54" sqref="F54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5703125" style="568" bestFit="1" customWidth="1"/>
    <col min="4" max="5" width="14.5703125" style="421" bestFit="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671779838</v>
      </c>
      <c r="D15" s="448">
        <v>664881344</v>
      </c>
      <c r="E15" s="448">
        <f t="shared" ref="E15:E24" si="0">D15-C15</f>
        <v>-6898494</v>
      </c>
      <c r="F15" s="449">
        <f t="shared" ref="F15:F24" si="1">IF(C15=0,0,E15/C15)</f>
        <v>-1.0268980415574782E-2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203954317</v>
      </c>
      <c r="D16" s="448">
        <v>203519869</v>
      </c>
      <c r="E16" s="448">
        <f t="shared" si="0"/>
        <v>-434448</v>
      </c>
      <c r="F16" s="449">
        <f t="shared" si="1"/>
        <v>-2.1301240708722041E-3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0.30360291491808661</v>
      </c>
      <c r="D17" s="453">
        <f>IF(LN_IA1=0,0,LN_IA2/LN_IA1)</f>
        <v>0.30609953315218902</v>
      </c>
      <c r="E17" s="454">
        <f t="shared" si="0"/>
        <v>2.4966182341024101E-3</v>
      </c>
      <c r="F17" s="449">
        <f t="shared" si="1"/>
        <v>8.2233012643373616E-3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14409</v>
      </c>
      <c r="D18" s="456">
        <v>14763</v>
      </c>
      <c r="E18" s="456">
        <f t="shared" si="0"/>
        <v>354</v>
      </c>
      <c r="F18" s="449">
        <f t="shared" si="1"/>
        <v>2.4567978346866543E-2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1.6785000000000001</v>
      </c>
      <c r="D19" s="459">
        <v>1.7437</v>
      </c>
      <c r="E19" s="460">
        <f t="shared" si="0"/>
        <v>6.5199999999999925E-2</v>
      </c>
      <c r="F19" s="449">
        <f t="shared" si="1"/>
        <v>3.8844206136431289E-2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24185.506500000003</v>
      </c>
      <c r="D20" s="463">
        <f>LN_IA4*LN_IA5</f>
        <v>25742.2431</v>
      </c>
      <c r="E20" s="463">
        <f t="shared" si="0"/>
        <v>1556.7365999999965</v>
      </c>
      <c r="F20" s="449">
        <f t="shared" si="1"/>
        <v>6.4366508098558789E-2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8432.9148533647603</v>
      </c>
      <c r="D21" s="465">
        <f>IF(LN_IA6=0,0,LN_IA2/LN_IA6)</f>
        <v>7906.0658470745311</v>
      </c>
      <c r="E21" s="465">
        <f t="shared" si="0"/>
        <v>-526.84900629022923</v>
      </c>
      <c r="F21" s="449">
        <f t="shared" si="1"/>
        <v>-6.2475314342823558E-2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78137</v>
      </c>
      <c r="D22" s="456">
        <v>71200</v>
      </c>
      <c r="E22" s="456">
        <f t="shared" si="0"/>
        <v>-6937</v>
      </c>
      <c r="F22" s="449">
        <f t="shared" si="1"/>
        <v>-8.8779963397622119E-2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2610.2143286791147</v>
      </c>
      <c r="D23" s="465">
        <f>IF(LN_IA8=0,0,LN_IA2/LN_IA8)</f>
        <v>2858.4251264044942</v>
      </c>
      <c r="E23" s="465">
        <f t="shared" si="0"/>
        <v>248.21079772537951</v>
      </c>
      <c r="F23" s="449">
        <f t="shared" si="1"/>
        <v>9.5092113700481165E-2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5.4227913109861889</v>
      </c>
      <c r="D24" s="466">
        <f>IF(LN_IA4=0,0,LN_IA8/LN_IA4)</f>
        <v>4.8228679807627177</v>
      </c>
      <c r="E24" s="466">
        <f t="shared" si="0"/>
        <v>-0.59992333022347122</v>
      </c>
      <c r="F24" s="449">
        <f t="shared" si="1"/>
        <v>-0.11062998662848583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297792839</v>
      </c>
      <c r="D27" s="448">
        <v>360169891</v>
      </c>
      <c r="E27" s="448">
        <f t="shared" ref="E27:E32" si="2">D27-C27</f>
        <v>62377052</v>
      </c>
      <c r="F27" s="449">
        <f t="shared" ref="F27:F32" si="3">IF(C27=0,0,E27/C27)</f>
        <v>0.2094645801741391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58809868</v>
      </c>
      <c r="D28" s="448">
        <v>70876620</v>
      </c>
      <c r="E28" s="448">
        <f t="shared" si="2"/>
        <v>12066752</v>
      </c>
      <c r="F28" s="449">
        <f t="shared" si="3"/>
        <v>0.20518243638975689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0.19748583679005122</v>
      </c>
      <c r="D29" s="453">
        <f>IF(LN_IA11=0,0,LN_IA12/LN_IA11)</f>
        <v>0.19678663256168741</v>
      </c>
      <c r="E29" s="454">
        <f t="shared" si="2"/>
        <v>-6.9920422836380891E-4</v>
      </c>
      <c r="F29" s="449">
        <f t="shared" si="3"/>
        <v>-3.5405284739843828E-3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0.44328933700448447</v>
      </c>
      <c r="D30" s="453">
        <f>IF(LN_IA1=0,0,LN_IA11/LN_IA1)</f>
        <v>0.54170551520242383</v>
      </c>
      <c r="E30" s="454">
        <f t="shared" si="2"/>
        <v>9.8416178197939352E-2</v>
      </c>
      <c r="F30" s="449">
        <f t="shared" si="3"/>
        <v>0.22201341196922078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6387.3560568976172</v>
      </c>
      <c r="D31" s="463">
        <f>LN_IA14*LN_IA4</f>
        <v>7997.1985209333825</v>
      </c>
      <c r="E31" s="463">
        <f t="shared" si="2"/>
        <v>1609.8424640357653</v>
      </c>
      <c r="F31" s="449">
        <f t="shared" si="3"/>
        <v>0.25203581101406092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9207.2318305305744</v>
      </c>
      <c r="D32" s="465">
        <f>IF(LN_IA15=0,0,LN_IA12/LN_IA15)</f>
        <v>8862.681076938894</v>
      </c>
      <c r="E32" s="465">
        <f t="shared" si="2"/>
        <v>-344.5507535916804</v>
      </c>
      <c r="F32" s="449">
        <f t="shared" si="3"/>
        <v>-3.7421752806220517E-2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969572677</v>
      </c>
      <c r="D35" s="448">
        <f>LN_IA1+LN_IA11</f>
        <v>1025051235</v>
      </c>
      <c r="E35" s="448">
        <f>D35-C35</f>
        <v>55478558</v>
      </c>
      <c r="F35" s="449">
        <f>IF(C35=0,0,E35/C35)</f>
        <v>5.7219597164865237E-2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262764185</v>
      </c>
      <c r="D36" s="448">
        <f>LN_IA2+LN_IA12</f>
        <v>274396489</v>
      </c>
      <c r="E36" s="448">
        <f>D36-C36</f>
        <v>11632304</v>
      </c>
      <c r="F36" s="449">
        <f>IF(C36=0,0,E36/C36)</f>
        <v>4.4268985896993532E-2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706808492</v>
      </c>
      <c r="D37" s="448">
        <f>LN_IA17-LN_IA18</f>
        <v>750654746</v>
      </c>
      <c r="E37" s="448">
        <f>D37-C37</f>
        <v>43846254</v>
      </c>
      <c r="F37" s="449">
        <f>IF(C37=0,0,E37/C37)</f>
        <v>6.2034135832086182E-2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318649558</v>
      </c>
      <c r="D42" s="448">
        <v>334079415</v>
      </c>
      <c r="E42" s="448">
        <f t="shared" ref="E42:E53" si="4">D42-C42</f>
        <v>15429857</v>
      </c>
      <c r="F42" s="449">
        <f t="shared" ref="F42:F53" si="5">IF(C42=0,0,E42/C42)</f>
        <v>4.8422653076455859E-2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169220370</v>
      </c>
      <c r="D43" s="448">
        <v>178096233</v>
      </c>
      <c r="E43" s="448">
        <f t="shared" si="4"/>
        <v>8875863</v>
      </c>
      <c r="F43" s="449">
        <f t="shared" si="5"/>
        <v>5.2451504508588417E-2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0.5310547771103451</v>
      </c>
      <c r="D44" s="453">
        <f>IF(LN_IB1=0,0,LN_IB2/LN_IB1)</f>
        <v>0.53309550066112277</v>
      </c>
      <c r="E44" s="454">
        <f t="shared" si="4"/>
        <v>2.0407235507776678E-3</v>
      </c>
      <c r="F44" s="449">
        <f t="shared" si="5"/>
        <v>3.8427741143427026E-3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9314</v>
      </c>
      <c r="D45" s="456">
        <v>9579</v>
      </c>
      <c r="E45" s="456">
        <f t="shared" si="4"/>
        <v>265</v>
      </c>
      <c r="F45" s="449">
        <f t="shared" si="5"/>
        <v>2.8451792999785269E-2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1.4554</v>
      </c>
      <c r="D46" s="459">
        <v>1.4925999999999999</v>
      </c>
      <c r="E46" s="460">
        <f t="shared" si="4"/>
        <v>3.71999999999999E-2</v>
      </c>
      <c r="F46" s="449">
        <f t="shared" si="5"/>
        <v>2.5559983509687988E-2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13555.595600000001</v>
      </c>
      <c r="D47" s="463">
        <f>LN_IB4*LN_IB5</f>
        <v>14297.615399999999</v>
      </c>
      <c r="E47" s="463">
        <f t="shared" si="4"/>
        <v>742.01979999999821</v>
      </c>
      <c r="F47" s="449">
        <f t="shared" si="5"/>
        <v>5.4739003869368766E-2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12483.433040743705</v>
      </c>
      <c r="D48" s="465">
        <f>IF(LN_IB6=0,0,LN_IB2/LN_IB6)</f>
        <v>12456.359191197716</v>
      </c>
      <c r="E48" s="465">
        <f t="shared" si="4"/>
        <v>-27.073849545988196</v>
      </c>
      <c r="F48" s="449">
        <f t="shared" si="5"/>
        <v>-2.1687823740171447E-3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-4050.5181873789443</v>
      </c>
      <c r="D49" s="465">
        <f>LN_IA7-LN_IB7</f>
        <v>-4550.2933441231853</v>
      </c>
      <c r="E49" s="465">
        <f t="shared" si="4"/>
        <v>-499.77515674424103</v>
      </c>
      <c r="F49" s="449">
        <f t="shared" si="5"/>
        <v>0.12338548640554094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-54907186.518553995</v>
      </c>
      <c r="D50" s="479">
        <f>LN_IB8*LN_IB6</f>
        <v>-65058344.191453151</v>
      </c>
      <c r="E50" s="479">
        <f t="shared" si="4"/>
        <v>-10151157.672899157</v>
      </c>
      <c r="F50" s="449">
        <f t="shared" si="5"/>
        <v>0.1848784888926866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35656</v>
      </c>
      <c r="D51" s="456">
        <v>35380</v>
      </c>
      <c r="E51" s="456">
        <f t="shared" si="4"/>
        <v>-276</v>
      </c>
      <c r="F51" s="449">
        <f t="shared" si="5"/>
        <v>-7.7406327125869416E-3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4745.9156944132828</v>
      </c>
      <c r="D52" s="465">
        <f>IF(LN_IB10=0,0,LN_IB2/LN_IB10)</f>
        <v>5033.81099491238</v>
      </c>
      <c r="E52" s="465">
        <f t="shared" si="4"/>
        <v>287.89530049909717</v>
      </c>
      <c r="F52" s="449">
        <f t="shared" si="5"/>
        <v>6.0661697138446206E-2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3.828215589435259</v>
      </c>
      <c r="D53" s="466">
        <f>IF(LN_IB4=0,0,LN_IB10/LN_IB4)</f>
        <v>3.693496189581376</v>
      </c>
      <c r="E53" s="466">
        <f t="shared" si="4"/>
        <v>-0.13471939985388293</v>
      </c>
      <c r="F53" s="449">
        <f t="shared" si="5"/>
        <v>-3.519117372220848E-2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348580263</v>
      </c>
      <c r="D56" s="448">
        <v>398979152</v>
      </c>
      <c r="E56" s="448">
        <f t="shared" ref="E56:E63" si="6">D56-C56</f>
        <v>50398889</v>
      </c>
      <c r="F56" s="449">
        <f t="shared" ref="F56:F63" si="7">IF(C56=0,0,E56/C56)</f>
        <v>0.14458331222270035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140519654</v>
      </c>
      <c r="D57" s="448">
        <v>164429673</v>
      </c>
      <c r="E57" s="448">
        <f t="shared" si="6"/>
        <v>23910019</v>
      </c>
      <c r="F57" s="449">
        <f t="shared" si="7"/>
        <v>0.17015426895372229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0.40311993797537526</v>
      </c>
      <c r="D58" s="453">
        <f>IF(LN_IB13=0,0,LN_IB14/LN_IB13)</f>
        <v>0.41212597744956858</v>
      </c>
      <c r="E58" s="454">
        <f t="shared" si="6"/>
        <v>9.006039474193317E-3</v>
      </c>
      <c r="F58" s="449">
        <f t="shared" si="7"/>
        <v>2.2340843569844601E-2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1.093929849417836</v>
      </c>
      <c r="D59" s="453">
        <f>IF(LN_IB1=0,0,LN_IB13/LN_IB1)</f>
        <v>1.194264399678741</v>
      </c>
      <c r="E59" s="454">
        <f t="shared" si="6"/>
        <v>0.10033455026090499</v>
      </c>
      <c r="F59" s="449">
        <f t="shared" si="7"/>
        <v>9.1719364193509026E-2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10188.862617477724</v>
      </c>
      <c r="D60" s="463">
        <f>LN_IB16*LN_IB4</f>
        <v>11439.85868452266</v>
      </c>
      <c r="E60" s="463">
        <f t="shared" si="6"/>
        <v>1250.9960670449364</v>
      </c>
      <c r="F60" s="449">
        <f t="shared" si="7"/>
        <v>0.12278073755740003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13791.495604127202</v>
      </c>
      <c r="D61" s="465">
        <f>IF(LN_IB17=0,0,LN_IB14/LN_IB17)</f>
        <v>14373.400715383137</v>
      </c>
      <c r="E61" s="465">
        <f t="shared" si="6"/>
        <v>581.90511125593548</v>
      </c>
      <c r="F61" s="449">
        <f t="shared" si="7"/>
        <v>4.2193038953788037E-2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-4584.2637735966273</v>
      </c>
      <c r="D62" s="465">
        <f>LN_IA16-LN_IB18</f>
        <v>-5510.7196384442432</v>
      </c>
      <c r="E62" s="465">
        <f t="shared" si="6"/>
        <v>-926.45586484761589</v>
      </c>
      <c r="F62" s="449">
        <f t="shared" si="7"/>
        <v>0.20209479877305495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-46708433.791456036</v>
      </c>
      <c r="D63" s="448">
        <f>LN_IB19*LN_IB17</f>
        <v>-63041853.913825952</v>
      </c>
      <c r="E63" s="448">
        <f t="shared" si="6"/>
        <v>-16333420.122369915</v>
      </c>
      <c r="F63" s="449">
        <f t="shared" si="7"/>
        <v>0.34968888478032512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667229821</v>
      </c>
      <c r="D66" s="448">
        <f>LN_IB1+LN_IB13</f>
        <v>733058567</v>
      </c>
      <c r="E66" s="448">
        <f>D66-C66</f>
        <v>65828746</v>
      </c>
      <c r="F66" s="449">
        <f>IF(C66=0,0,E66/C66)</f>
        <v>9.8659777977759183E-2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309740024</v>
      </c>
      <c r="D67" s="448">
        <f>LN_IB2+LN_IB14</f>
        <v>342525906</v>
      </c>
      <c r="E67" s="448">
        <f>D67-C67</f>
        <v>32785882</v>
      </c>
      <c r="F67" s="449">
        <f>IF(C67=0,0,E67/C67)</f>
        <v>0.10584967863242627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357489797</v>
      </c>
      <c r="D68" s="448">
        <f>LN_IB21-LN_IB22</f>
        <v>390532661</v>
      </c>
      <c r="E68" s="448">
        <f>D68-C68</f>
        <v>33042864</v>
      </c>
      <c r="F68" s="449">
        <f>IF(C68=0,0,E68/C68)</f>
        <v>9.2430229554215787E-2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-101615620.31001003</v>
      </c>
      <c r="D70" s="441">
        <f>LN_IB9+LN_IB20</f>
        <v>-128100198.1052791</v>
      </c>
      <c r="E70" s="448">
        <f>D70-C70</f>
        <v>-26484577.795269072</v>
      </c>
      <c r="F70" s="449">
        <f>IF(C70=0,0,E70/C70)</f>
        <v>0.26063490745290574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584513139</v>
      </c>
      <c r="D73" s="488">
        <v>640146525</v>
      </c>
      <c r="E73" s="488">
        <f>D73-C73</f>
        <v>55633386</v>
      </c>
      <c r="F73" s="489">
        <f>IF(C73=0,0,E73/C73)</f>
        <v>9.5179017010941822E-2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285514532</v>
      </c>
      <c r="D74" s="488">
        <v>313014119</v>
      </c>
      <c r="E74" s="488">
        <f>D74-C74</f>
        <v>27499587</v>
      </c>
      <c r="F74" s="489">
        <f>IF(C74=0,0,E74/C74)</f>
        <v>9.6315892600520939E-2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298998607</v>
      </c>
      <c r="D76" s="441">
        <f>LN_IB32-LN_IB33</f>
        <v>327132406</v>
      </c>
      <c r="E76" s="488">
        <f>D76-C76</f>
        <v>28133799</v>
      </c>
      <c r="F76" s="489">
        <f>IF(E76=0,0,E76/C76)</f>
        <v>9.4093411612449412E-2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0.51153444986974017</v>
      </c>
      <c r="D77" s="453">
        <f>IF(LN_IB32=0,0,LN_IB34/LN_IB32)</f>
        <v>0.5110273870501757</v>
      </c>
      <c r="E77" s="493">
        <f>D77-C77</f>
        <v>-5.0706281956447441E-4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7628171</v>
      </c>
      <c r="D83" s="448">
        <v>9662604</v>
      </c>
      <c r="E83" s="448">
        <f t="shared" ref="E83:E95" si="8">D83-C83</f>
        <v>2034433</v>
      </c>
      <c r="F83" s="449">
        <f t="shared" ref="F83:F95" si="9">IF(C83=0,0,E83/C83)</f>
        <v>0.26669997303416509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295974</v>
      </c>
      <c r="D84" s="448">
        <v>1745819</v>
      </c>
      <c r="E84" s="448">
        <f t="shared" si="8"/>
        <v>1449845</v>
      </c>
      <c r="F84" s="449">
        <f t="shared" si="9"/>
        <v>4.898555278504193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3.8800126530986259E-2</v>
      </c>
      <c r="D85" s="453">
        <f>IF(LN_IC1=0,0,LN_IC2/LN_IC1)</f>
        <v>0.18067790007745324</v>
      </c>
      <c r="E85" s="454">
        <f t="shared" si="8"/>
        <v>0.14187777354646697</v>
      </c>
      <c r="F85" s="449">
        <f t="shared" si="9"/>
        <v>3.6566317234342427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266</v>
      </c>
      <c r="D86" s="456">
        <v>306</v>
      </c>
      <c r="E86" s="456">
        <f t="shared" si="8"/>
        <v>40</v>
      </c>
      <c r="F86" s="449">
        <f t="shared" si="9"/>
        <v>0.15037593984962405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1.2336</v>
      </c>
      <c r="D87" s="459">
        <v>1.2655000000000001</v>
      </c>
      <c r="E87" s="460">
        <f t="shared" si="8"/>
        <v>3.1900000000000039E-2</v>
      </c>
      <c r="F87" s="449">
        <f t="shared" si="9"/>
        <v>2.585927367055775E-2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328.13760000000002</v>
      </c>
      <c r="D88" s="463">
        <f>LN_IC4*LN_IC5</f>
        <v>387.24299999999999</v>
      </c>
      <c r="E88" s="463">
        <f t="shared" si="8"/>
        <v>59.105399999999975</v>
      </c>
      <c r="F88" s="449">
        <f t="shared" si="9"/>
        <v>0.18012382610222044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901.98136391562559</v>
      </c>
      <c r="D89" s="465">
        <f>IF(LN_IC6=0,0,LN_IC2/LN_IC6)</f>
        <v>4508.3293952376162</v>
      </c>
      <c r="E89" s="465">
        <f t="shared" si="8"/>
        <v>3606.3480313219907</v>
      </c>
      <c r="F89" s="449">
        <f t="shared" si="9"/>
        <v>3.998251156394558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11581.451676828079</v>
      </c>
      <c r="D90" s="465">
        <f>LN_IB7-LN_IC7</f>
        <v>7948.0297959601003</v>
      </c>
      <c r="E90" s="465">
        <f t="shared" si="8"/>
        <v>-3633.4218808679789</v>
      </c>
      <c r="F90" s="449">
        <f t="shared" si="9"/>
        <v>-0.31372767268352481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7530.9334894491349</v>
      </c>
      <c r="D91" s="465">
        <f>LN_IA7-LN_IC7</f>
        <v>3397.736451836915</v>
      </c>
      <c r="E91" s="465">
        <f t="shared" si="8"/>
        <v>-4133.1970376122199</v>
      </c>
      <c r="F91" s="449">
        <f t="shared" si="9"/>
        <v>-0.54882931092179266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2471182.4409874645</v>
      </c>
      <c r="D92" s="441">
        <f>LN_IC9*LN_IC6</f>
        <v>1315749.6568186826</v>
      </c>
      <c r="E92" s="441">
        <f t="shared" si="8"/>
        <v>-1155432.7841687819</v>
      </c>
      <c r="F92" s="449">
        <f t="shared" si="9"/>
        <v>-0.46756272017985057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978</v>
      </c>
      <c r="D93" s="456">
        <v>1053</v>
      </c>
      <c r="E93" s="456">
        <f t="shared" si="8"/>
        <v>75</v>
      </c>
      <c r="F93" s="449">
        <f t="shared" si="9"/>
        <v>7.6687116564417179E-2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302.6319018404908</v>
      </c>
      <c r="D94" s="499">
        <f>IF(LN_IC11=0,0,LN_IC2/LN_IC11)</f>
        <v>1657.9477682811016</v>
      </c>
      <c r="E94" s="499">
        <f t="shared" si="8"/>
        <v>1355.3158664406108</v>
      </c>
      <c r="F94" s="449">
        <f t="shared" si="9"/>
        <v>4.4784302586677116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3.6766917293233083</v>
      </c>
      <c r="D95" s="466">
        <f>IF(LN_IC4=0,0,LN_IC11/LN_IC4)</f>
        <v>3.4411764705882355</v>
      </c>
      <c r="E95" s="466">
        <f t="shared" si="8"/>
        <v>-0.23551525873507284</v>
      </c>
      <c r="F95" s="449">
        <f t="shared" si="9"/>
        <v>-6.405629736557196E-2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21440444</v>
      </c>
      <c r="D98" s="448">
        <v>24115901</v>
      </c>
      <c r="E98" s="448">
        <f t="shared" ref="E98:E106" si="10">D98-C98</f>
        <v>2675457</v>
      </c>
      <c r="F98" s="449">
        <f t="shared" ref="F98:F106" si="11">IF(C98=0,0,E98/C98)</f>
        <v>0.12478552216549246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1301392</v>
      </c>
      <c r="D99" s="448">
        <v>5498861</v>
      </c>
      <c r="E99" s="448">
        <f t="shared" si="10"/>
        <v>4197469</v>
      </c>
      <c r="F99" s="449">
        <f t="shared" si="11"/>
        <v>3.2253686821495751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6.0697996739246633E-2</v>
      </c>
      <c r="D100" s="453">
        <f>IF(LN_IC14=0,0,LN_IC15/LN_IC14)</f>
        <v>0.22801806161005553</v>
      </c>
      <c r="E100" s="454">
        <f t="shared" si="10"/>
        <v>0.16732006487080889</v>
      </c>
      <c r="F100" s="449">
        <f t="shared" si="11"/>
        <v>2.7565994573033681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2.8106926286786176</v>
      </c>
      <c r="D101" s="453">
        <f>IF(LN_IC1=0,0,LN_IC14/LN_IC1)</f>
        <v>2.4957973026732754</v>
      </c>
      <c r="E101" s="454">
        <f t="shared" si="10"/>
        <v>-0.3148953260053422</v>
      </c>
      <c r="F101" s="449">
        <f t="shared" si="11"/>
        <v>-0.11203477847144851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747.64423922851222</v>
      </c>
      <c r="D102" s="463">
        <f>LN_IC17*LN_IC4</f>
        <v>763.71397461802223</v>
      </c>
      <c r="E102" s="463">
        <f t="shared" si="10"/>
        <v>16.069735389510015</v>
      </c>
      <c r="F102" s="449">
        <f t="shared" si="11"/>
        <v>2.1493826269687089E-2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1740.6567612196081</v>
      </c>
      <c r="D103" s="465">
        <f>IF(LN_IC18=0,0,LN_IC15/LN_IC18)</f>
        <v>7200.1576280574154</v>
      </c>
      <c r="E103" s="465">
        <f t="shared" si="10"/>
        <v>5459.5008668378068</v>
      </c>
      <c r="F103" s="449">
        <f t="shared" si="11"/>
        <v>3.1364603226040693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12050.838842907593</v>
      </c>
      <c r="D104" s="465">
        <f>LN_IB18-LN_IC19</f>
        <v>7173.2430873257217</v>
      </c>
      <c r="E104" s="465">
        <f t="shared" si="10"/>
        <v>-4877.5957555818713</v>
      </c>
      <c r="F104" s="449">
        <f t="shared" si="11"/>
        <v>-0.4047515545735253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7466.5750693109658</v>
      </c>
      <c r="D105" s="465">
        <f>LN_IA16-LN_IC19</f>
        <v>1662.5234488814785</v>
      </c>
      <c r="E105" s="465">
        <f t="shared" si="10"/>
        <v>-5804.0516204294872</v>
      </c>
      <c r="F105" s="449">
        <f t="shared" si="11"/>
        <v>-0.77733787801655352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5582341.8373375731</v>
      </c>
      <c r="D106" s="448">
        <f>LN_IC21*LN_IC18</f>
        <v>1269692.3910409363</v>
      </c>
      <c r="E106" s="448">
        <f t="shared" si="10"/>
        <v>-4312649.4462966369</v>
      </c>
      <c r="F106" s="449">
        <f t="shared" si="11"/>
        <v>-0.77255201704980148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29068615</v>
      </c>
      <c r="D109" s="448">
        <f>LN_IC1+LN_IC14</f>
        <v>33778505</v>
      </c>
      <c r="E109" s="448">
        <f>D109-C109</f>
        <v>4709890</v>
      </c>
      <c r="F109" s="449">
        <f>IF(C109=0,0,E109/C109)</f>
        <v>0.16202663938409173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1597366</v>
      </c>
      <c r="D110" s="448">
        <f>LN_IC2+LN_IC15</f>
        <v>7244680</v>
      </c>
      <c r="E110" s="448">
        <f>D110-C110</f>
        <v>5647314</v>
      </c>
      <c r="F110" s="449">
        <f>IF(C110=0,0,E110/C110)</f>
        <v>3.5353913880726147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27471249</v>
      </c>
      <c r="D111" s="448">
        <f>LN_IC23-LN_IC24</f>
        <v>26533825</v>
      </c>
      <c r="E111" s="448">
        <f>D111-C111</f>
        <v>-937424</v>
      </c>
      <c r="F111" s="449">
        <f>IF(C111=0,0,E111/C111)</f>
        <v>-3.4123821599811498E-2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8053524.278325038</v>
      </c>
      <c r="D113" s="448">
        <f>LN_IC10+LN_IC22</f>
        <v>2585442.0478596189</v>
      </c>
      <c r="E113" s="448">
        <f>D113-C113</f>
        <v>-5468082.2304654196</v>
      </c>
      <c r="F113" s="449">
        <f>IF(C113=0,0,E113/C113)</f>
        <v>-0.67896762230940522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244382955</v>
      </c>
      <c r="D118" s="448">
        <v>242767469</v>
      </c>
      <c r="E118" s="448">
        <f t="shared" ref="E118:E130" si="12">D118-C118</f>
        <v>-1615486</v>
      </c>
      <c r="F118" s="449">
        <f t="shared" ref="F118:F130" si="13">IF(C118=0,0,E118/C118)</f>
        <v>-6.6104692121428847E-3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55421145</v>
      </c>
      <c r="D119" s="448">
        <v>54544225</v>
      </c>
      <c r="E119" s="448">
        <f t="shared" si="12"/>
        <v>-876920</v>
      </c>
      <c r="F119" s="449">
        <f t="shared" si="13"/>
        <v>-1.5822841624798623E-2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0.22677991188051555</v>
      </c>
      <c r="D120" s="453">
        <f>IF(LN_ID1=0,0,LN_1D2/LN_ID1)</f>
        <v>0.22467682850868292</v>
      </c>
      <c r="E120" s="454">
        <f t="shared" si="12"/>
        <v>-2.1030833718326258E-3</v>
      </c>
      <c r="F120" s="449">
        <f t="shared" si="13"/>
        <v>-9.2736757607555908E-3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7833</v>
      </c>
      <c r="D121" s="456">
        <v>8114</v>
      </c>
      <c r="E121" s="456">
        <f t="shared" si="12"/>
        <v>281</v>
      </c>
      <c r="F121" s="449">
        <f t="shared" si="13"/>
        <v>3.5873866973062683E-2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1.2070000000000001</v>
      </c>
      <c r="D122" s="459">
        <v>1.2170000000000001</v>
      </c>
      <c r="E122" s="460">
        <f t="shared" si="12"/>
        <v>1.0000000000000009E-2</v>
      </c>
      <c r="F122" s="449">
        <f t="shared" si="13"/>
        <v>8.2850041425020782E-3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9454.4310000000005</v>
      </c>
      <c r="D123" s="463">
        <f>LN_ID4*LN_ID5</f>
        <v>9874.7380000000012</v>
      </c>
      <c r="E123" s="463">
        <f t="shared" si="12"/>
        <v>420.3070000000007</v>
      </c>
      <c r="F123" s="449">
        <f t="shared" si="13"/>
        <v>4.4456086252044218E-2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5861.9228380851264</v>
      </c>
      <c r="D124" s="465">
        <f>IF(LN_ID6=0,0,LN_1D2/LN_ID6)</f>
        <v>5523.6123733105624</v>
      </c>
      <c r="E124" s="465">
        <f t="shared" si="12"/>
        <v>-338.31046477456402</v>
      </c>
      <c r="F124" s="449">
        <f t="shared" si="13"/>
        <v>-5.7713223820782596E-2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6621.5102026585782</v>
      </c>
      <c r="D125" s="465">
        <f>LN_IB7-LN_ID7</f>
        <v>6932.7468178871541</v>
      </c>
      <c r="E125" s="465">
        <f t="shared" si="12"/>
        <v>311.23661522857583</v>
      </c>
      <c r="F125" s="449">
        <f t="shared" si="13"/>
        <v>4.7003871579569922E-2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2570.992015279634</v>
      </c>
      <c r="D126" s="465">
        <f>LN_IA7-LN_ID7</f>
        <v>2382.4534737639688</v>
      </c>
      <c r="E126" s="465">
        <f t="shared" si="12"/>
        <v>-188.5385415156652</v>
      </c>
      <c r="F126" s="449">
        <f t="shared" si="13"/>
        <v>-7.3332993799733293E-2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24307266.610012244</v>
      </c>
      <c r="D127" s="479">
        <f>LN_ID9*LN_ID6</f>
        <v>23526103.850609068</v>
      </c>
      <c r="E127" s="479">
        <f t="shared" si="12"/>
        <v>-781162.75940317661</v>
      </c>
      <c r="F127" s="449">
        <f t="shared" si="13"/>
        <v>-3.2137005445170584E-2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38467</v>
      </c>
      <c r="D128" s="456">
        <v>36841</v>
      </c>
      <c r="E128" s="456">
        <f t="shared" si="12"/>
        <v>-1626</v>
      </c>
      <c r="F128" s="449">
        <f t="shared" si="13"/>
        <v>-4.226999766033223E-2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1440.7451841838458</v>
      </c>
      <c r="D129" s="465">
        <f>IF(LN_ID11=0,0,LN_1D2/LN_ID11)</f>
        <v>1480.5305230585489</v>
      </c>
      <c r="E129" s="465">
        <f t="shared" si="12"/>
        <v>39.785338874703029</v>
      </c>
      <c r="F129" s="449">
        <f t="shared" si="13"/>
        <v>2.7614417394176926E-2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4.9108898250989403</v>
      </c>
      <c r="D130" s="466">
        <f>IF(LN_ID4=0,0,LN_ID11/LN_ID4)</f>
        <v>4.5404239585900914</v>
      </c>
      <c r="E130" s="466">
        <f t="shared" si="12"/>
        <v>-0.37046586650884894</v>
      </c>
      <c r="F130" s="449">
        <f t="shared" si="13"/>
        <v>-7.5437625298666752E-2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218258357</v>
      </c>
      <c r="D133" s="448">
        <v>246555189</v>
      </c>
      <c r="E133" s="448">
        <f t="shared" ref="E133:E141" si="14">D133-C133</f>
        <v>28296832</v>
      </c>
      <c r="F133" s="449">
        <f t="shared" ref="F133:F141" si="15">IF(C133=0,0,E133/C133)</f>
        <v>0.12964833232021444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42867455</v>
      </c>
      <c r="D134" s="448">
        <v>39371301</v>
      </c>
      <c r="E134" s="448">
        <f t="shared" si="14"/>
        <v>-3496154</v>
      </c>
      <c r="F134" s="449">
        <f t="shared" si="15"/>
        <v>-8.1557302620367825E-2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0.19640693529091305</v>
      </c>
      <c r="D135" s="453">
        <f>IF(LN_ID14=0,0,LN_ID15/LN_ID14)</f>
        <v>0.15968555015891392</v>
      </c>
      <c r="E135" s="454">
        <f t="shared" si="14"/>
        <v>-3.6721385131999129E-2</v>
      </c>
      <c r="F135" s="449">
        <f t="shared" si="15"/>
        <v>-0.18696582723827104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0.8930997540315363</v>
      </c>
      <c r="D136" s="453">
        <f>IF(LN_ID1=0,0,LN_ID14/LN_ID1)</f>
        <v>1.0156022551769488</v>
      </c>
      <c r="E136" s="454">
        <f t="shared" si="14"/>
        <v>0.1225025011454125</v>
      </c>
      <c r="F136" s="449">
        <f t="shared" si="15"/>
        <v>0.13716553004569162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6995.6503733290238</v>
      </c>
      <c r="D137" s="463">
        <f>LN_ID17*LN_ID4</f>
        <v>8240.5966985057621</v>
      </c>
      <c r="E137" s="463">
        <f t="shared" si="14"/>
        <v>1244.9463251767384</v>
      </c>
      <c r="F137" s="449">
        <f t="shared" si="15"/>
        <v>0.17796005499690304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6127.7297624010107</v>
      </c>
      <c r="D138" s="465">
        <f>IF(LN_ID18=0,0,LN_ID15/LN_ID18)</f>
        <v>4777.7245314212569</v>
      </c>
      <c r="E138" s="465">
        <f t="shared" si="14"/>
        <v>-1350.0052309797538</v>
      </c>
      <c r="F138" s="449">
        <f t="shared" si="15"/>
        <v>-0.22031083016474035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7663.765841726191</v>
      </c>
      <c r="D139" s="465">
        <f>LN_IB18-LN_ID19</f>
        <v>9595.6761839618812</v>
      </c>
      <c r="E139" s="465">
        <f t="shared" si="14"/>
        <v>1931.9103422356902</v>
      </c>
      <c r="F139" s="449">
        <f t="shared" si="15"/>
        <v>0.25208368602772258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3079.5020681295637</v>
      </c>
      <c r="D140" s="465">
        <f>LN_IA16-LN_ID19</f>
        <v>4084.9565455176371</v>
      </c>
      <c r="E140" s="465">
        <f t="shared" si="14"/>
        <v>1005.4544773880734</v>
      </c>
      <c r="F140" s="449">
        <f t="shared" si="15"/>
        <v>0.3264990427490666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21543119.792578083</v>
      </c>
      <c r="D141" s="441">
        <f>LN_ID21*LN_ID18</f>
        <v>33662479.422532141</v>
      </c>
      <c r="E141" s="441">
        <f t="shared" si="14"/>
        <v>12119359.629954059</v>
      </c>
      <c r="F141" s="449">
        <f t="shared" si="15"/>
        <v>0.56256288535002963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462641312</v>
      </c>
      <c r="D144" s="448">
        <f>LN_ID1+LN_ID14</f>
        <v>489322658</v>
      </c>
      <c r="E144" s="448">
        <f>D144-C144</f>
        <v>26681346</v>
      </c>
      <c r="F144" s="449">
        <f>IF(C144=0,0,E144/C144)</f>
        <v>5.7671775753566946E-2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98288600</v>
      </c>
      <c r="D145" s="448">
        <f>LN_1D2+LN_ID15</f>
        <v>93915526</v>
      </c>
      <c r="E145" s="448">
        <f>D145-C145</f>
        <v>-4373074</v>
      </c>
      <c r="F145" s="449">
        <f>IF(C145=0,0,E145/C145)</f>
        <v>-4.4492179154042279E-2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364352712</v>
      </c>
      <c r="D146" s="448">
        <f>LN_ID23-LN_ID24</f>
        <v>395407132</v>
      </c>
      <c r="E146" s="448">
        <f>D146-C146</f>
        <v>31054420</v>
      </c>
      <c r="F146" s="449">
        <f>IF(C146=0,0,E146/C146)</f>
        <v>8.5231752028237961E-2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45850386.402590327</v>
      </c>
      <c r="D148" s="448">
        <f>LN_ID10+LN_ID22</f>
        <v>57188583.273141205</v>
      </c>
      <c r="E148" s="448">
        <f>D148-C148</f>
        <v>11338196.870550878</v>
      </c>
      <c r="F148" s="503">
        <f>IF(C148=0,0,E148/C148)</f>
        <v>0.24728683355022554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12483.433040743705</v>
      </c>
      <c r="D160" s="465">
        <f>LN_IB7-LN_IE7</f>
        <v>12456.359191197716</v>
      </c>
      <c r="E160" s="465">
        <f t="shared" si="16"/>
        <v>-27.073849545988196</v>
      </c>
      <c r="F160" s="449">
        <f t="shared" si="17"/>
        <v>-2.1687823740171447E-3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8432.9148533647603</v>
      </c>
      <c r="D161" s="465">
        <f>LN_IA7-LN_IE7</f>
        <v>7906.0658470745311</v>
      </c>
      <c r="E161" s="465">
        <f t="shared" si="16"/>
        <v>-526.84900629022923</v>
      </c>
      <c r="F161" s="449">
        <f t="shared" si="17"/>
        <v>-6.2475314342823558E-2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13791.495604127202</v>
      </c>
      <c r="D174" s="465">
        <f>LN_IB18-LN_IE19</f>
        <v>14373.400715383137</v>
      </c>
      <c r="E174" s="465">
        <f t="shared" si="18"/>
        <v>581.90511125593548</v>
      </c>
      <c r="F174" s="449">
        <f t="shared" si="19"/>
        <v>4.2193038953788037E-2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9207.2318305305744</v>
      </c>
      <c r="D175" s="465">
        <f>LN_IA16-LN_IE19</f>
        <v>8862.681076938894</v>
      </c>
      <c r="E175" s="465">
        <f t="shared" si="18"/>
        <v>-344.5507535916804</v>
      </c>
      <c r="F175" s="449">
        <f t="shared" si="19"/>
        <v>-3.7421752806220517E-2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244382955</v>
      </c>
      <c r="D188" s="448">
        <f>LN_ID1+LN_IE1</f>
        <v>242767469</v>
      </c>
      <c r="E188" s="448">
        <f t="shared" ref="E188:E200" si="20">D188-C188</f>
        <v>-1615486</v>
      </c>
      <c r="F188" s="449">
        <f t="shared" ref="F188:F200" si="21">IF(C188=0,0,E188/C188)</f>
        <v>-6.6104692121428847E-3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55421145</v>
      </c>
      <c r="D189" s="448">
        <f>LN_1D2+LN_IE2</f>
        <v>54544225</v>
      </c>
      <c r="E189" s="448">
        <f t="shared" si="20"/>
        <v>-876920</v>
      </c>
      <c r="F189" s="449">
        <f t="shared" si="21"/>
        <v>-1.5822841624798623E-2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0.22677991188051555</v>
      </c>
      <c r="D190" s="453">
        <f>IF(LN_IF1=0,0,LN_IF2/LN_IF1)</f>
        <v>0.22467682850868292</v>
      </c>
      <c r="E190" s="454">
        <f t="shared" si="20"/>
        <v>-2.1030833718326258E-3</v>
      </c>
      <c r="F190" s="449">
        <f t="shared" si="21"/>
        <v>-9.2736757607555908E-3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7833</v>
      </c>
      <c r="D191" s="456">
        <f>LN_ID4+LN_IE4</f>
        <v>8114</v>
      </c>
      <c r="E191" s="456">
        <f t="shared" si="20"/>
        <v>281</v>
      </c>
      <c r="F191" s="449">
        <f t="shared" si="21"/>
        <v>3.5873866973062683E-2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1.2070000000000001</v>
      </c>
      <c r="D192" s="459">
        <f>IF((LN_ID4+LN_IE4)=0,0,(LN_ID6+LN_IE6)/(LN_ID4+LN_IE4))</f>
        <v>1.2170000000000001</v>
      </c>
      <c r="E192" s="460">
        <f t="shared" si="20"/>
        <v>1.0000000000000009E-2</v>
      </c>
      <c r="F192" s="449">
        <f t="shared" si="21"/>
        <v>8.2850041425020782E-3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9454.4310000000005</v>
      </c>
      <c r="D193" s="463">
        <f>LN_IF4*LN_IF5</f>
        <v>9874.7380000000012</v>
      </c>
      <c r="E193" s="463">
        <f t="shared" si="20"/>
        <v>420.3070000000007</v>
      </c>
      <c r="F193" s="449">
        <f t="shared" si="21"/>
        <v>4.4456086252044218E-2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5861.9228380851264</v>
      </c>
      <c r="D194" s="465">
        <f>IF(LN_IF6=0,0,LN_IF2/LN_IF6)</f>
        <v>5523.6123733105624</v>
      </c>
      <c r="E194" s="465">
        <f t="shared" si="20"/>
        <v>-338.31046477456402</v>
      </c>
      <c r="F194" s="449">
        <f t="shared" si="21"/>
        <v>-5.7713223820782596E-2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6621.5102026585782</v>
      </c>
      <c r="D195" s="465">
        <f>LN_IB7-LN_IF7</f>
        <v>6932.7468178871541</v>
      </c>
      <c r="E195" s="465">
        <f t="shared" si="20"/>
        <v>311.23661522857583</v>
      </c>
      <c r="F195" s="449">
        <f t="shared" si="21"/>
        <v>4.7003871579569922E-2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2570.992015279634</v>
      </c>
      <c r="D196" s="465">
        <f>LN_IA7-LN_IF7</f>
        <v>2382.4534737639688</v>
      </c>
      <c r="E196" s="465">
        <f t="shared" si="20"/>
        <v>-188.5385415156652</v>
      </c>
      <c r="F196" s="449">
        <f t="shared" si="21"/>
        <v>-7.3332993799733293E-2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24307266.610012244</v>
      </c>
      <c r="D197" s="479">
        <f>LN_IF9*LN_IF6</f>
        <v>23526103.850609068</v>
      </c>
      <c r="E197" s="479">
        <f t="shared" si="20"/>
        <v>-781162.75940317661</v>
      </c>
      <c r="F197" s="449">
        <f t="shared" si="21"/>
        <v>-3.2137005445170584E-2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38467</v>
      </c>
      <c r="D198" s="456">
        <f>LN_ID11+LN_IE11</f>
        <v>36841</v>
      </c>
      <c r="E198" s="456">
        <f t="shared" si="20"/>
        <v>-1626</v>
      </c>
      <c r="F198" s="449">
        <f t="shared" si="21"/>
        <v>-4.226999766033223E-2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1440.7451841838458</v>
      </c>
      <c r="D199" s="519">
        <f>IF(LN_IF11=0,0,LN_IF2/LN_IF11)</f>
        <v>1480.5305230585489</v>
      </c>
      <c r="E199" s="519">
        <f t="shared" si="20"/>
        <v>39.785338874703029</v>
      </c>
      <c r="F199" s="449">
        <f t="shared" si="21"/>
        <v>2.7614417394176926E-2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4.9108898250989403</v>
      </c>
      <c r="D200" s="466">
        <f>IF(LN_IF4=0,0,LN_IF11/LN_IF4)</f>
        <v>4.5404239585900914</v>
      </c>
      <c r="E200" s="466">
        <f t="shared" si="20"/>
        <v>-0.37046586650884894</v>
      </c>
      <c r="F200" s="449">
        <f t="shared" si="21"/>
        <v>-7.5437625298666752E-2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218258357</v>
      </c>
      <c r="D203" s="448">
        <f>LN_ID14+LN_IE14</f>
        <v>246555189</v>
      </c>
      <c r="E203" s="448">
        <f t="shared" ref="E203:E211" si="22">D203-C203</f>
        <v>28296832</v>
      </c>
      <c r="F203" s="449">
        <f t="shared" ref="F203:F211" si="23">IF(C203=0,0,E203/C203)</f>
        <v>0.12964833232021444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42867455</v>
      </c>
      <c r="D204" s="448">
        <f>LN_ID15+LN_IE15</f>
        <v>39371301</v>
      </c>
      <c r="E204" s="448">
        <f t="shared" si="22"/>
        <v>-3496154</v>
      </c>
      <c r="F204" s="449">
        <f t="shared" si="23"/>
        <v>-8.1557302620367825E-2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0.19640693529091305</v>
      </c>
      <c r="D205" s="453">
        <f>IF(LN_IF14=0,0,LN_IF15/LN_IF14)</f>
        <v>0.15968555015891392</v>
      </c>
      <c r="E205" s="454">
        <f t="shared" si="22"/>
        <v>-3.6721385131999129E-2</v>
      </c>
      <c r="F205" s="449">
        <f t="shared" si="23"/>
        <v>-0.18696582723827104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0.8930997540315363</v>
      </c>
      <c r="D206" s="453">
        <f>IF(LN_IF1=0,0,LN_IF14/LN_IF1)</f>
        <v>1.0156022551769488</v>
      </c>
      <c r="E206" s="454">
        <f t="shared" si="22"/>
        <v>0.1225025011454125</v>
      </c>
      <c r="F206" s="449">
        <f t="shared" si="23"/>
        <v>0.13716553004569162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6995.6503733290238</v>
      </c>
      <c r="D207" s="463">
        <f>LN_ID18+LN_IE18</f>
        <v>8240.5966985057621</v>
      </c>
      <c r="E207" s="463">
        <f t="shared" si="22"/>
        <v>1244.9463251767384</v>
      </c>
      <c r="F207" s="449">
        <f t="shared" si="23"/>
        <v>0.17796005499690304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6127.7297624010107</v>
      </c>
      <c r="D208" s="465">
        <f>IF(LN_IF18=0,0,LN_IF15/LN_IF18)</f>
        <v>4777.7245314212569</v>
      </c>
      <c r="E208" s="465">
        <f t="shared" si="22"/>
        <v>-1350.0052309797538</v>
      </c>
      <c r="F208" s="449">
        <f t="shared" si="23"/>
        <v>-0.22031083016474035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7663.765841726191</v>
      </c>
      <c r="D209" s="465">
        <f>LN_IB18-LN_IF19</f>
        <v>9595.6761839618812</v>
      </c>
      <c r="E209" s="465">
        <f t="shared" si="22"/>
        <v>1931.9103422356902</v>
      </c>
      <c r="F209" s="449">
        <f t="shared" si="23"/>
        <v>0.25208368602772258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3079.5020681295637</v>
      </c>
      <c r="D210" s="465">
        <f>LN_IA16-LN_IF19</f>
        <v>4084.9565455176371</v>
      </c>
      <c r="E210" s="465">
        <f t="shared" si="22"/>
        <v>1005.4544773880734</v>
      </c>
      <c r="F210" s="449">
        <f t="shared" si="23"/>
        <v>0.3264990427490666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21543119.792578083</v>
      </c>
      <c r="D211" s="441">
        <f>LN_IF21*LN_IF18</f>
        <v>33662479.422532141</v>
      </c>
      <c r="E211" s="441">
        <f t="shared" si="22"/>
        <v>12119359.629954059</v>
      </c>
      <c r="F211" s="449">
        <f t="shared" si="23"/>
        <v>0.56256288535002963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462641312</v>
      </c>
      <c r="D214" s="448">
        <f>LN_IF1+LN_IF14</f>
        <v>489322658</v>
      </c>
      <c r="E214" s="448">
        <f>D214-C214</f>
        <v>26681346</v>
      </c>
      <c r="F214" s="449">
        <f>IF(C214=0,0,E214/C214)</f>
        <v>5.7671775753566946E-2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98288600</v>
      </c>
      <c r="D215" s="448">
        <f>LN_IF2+LN_IF15</f>
        <v>93915526</v>
      </c>
      <c r="E215" s="448">
        <f>D215-C215</f>
        <v>-4373074</v>
      </c>
      <c r="F215" s="449">
        <f>IF(C215=0,0,E215/C215)</f>
        <v>-4.4492179154042279E-2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364352712</v>
      </c>
      <c r="D216" s="448">
        <f>LN_IF23-LN_IF24</f>
        <v>395407132</v>
      </c>
      <c r="E216" s="448">
        <f>D216-C216</f>
        <v>31054420</v>
      </c>
      <c r="F216" s="449">
        <f>IF(C216=0,0,E216/C216)</f>
        <v>8.5231752028237961E-2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1968932</v>
      </c>
      <c r="D221" s="448">
        <v>1913473</v>
      </c>
      <c r="E221" s="448">
        <f t="shared" ref="E221:E230" si="24">D221-C221</f>
        <v>-55459</v>
      </c>
      <c r="F221" s="449">
        <f t="shared" ref="F221:F230" si="25">IF(C221=0,0,E221/C221)</f>
        <v>-2.8167046906647869E-2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627627</v>
      </c>
      <c r="D222" s="448">
        <v>420378</v>
      </c>
      <c r="E222" s="448">
        <f t="shared" si="24"/>
        <v>-207249</v>
      </c>
      <c r="F222" s="449">
        <f t="shared" si="25"/>
        <v>-0.33021045939706228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0.31876519859497432</v>
      </c>
      <c r="D223" s="453">
        <f>IF(LN_IG1=0,0,LN_IG2/LN_IG1)</f>
        <v>0.21969371922154116</v>
      </c>
      <c r="E223" s="454">
        <f t="shared" si="24"/>
        <v>-9.9071479373433163E-2</v>
      </c>
      <c r="F223" s="449">
        <f t="shared" si="25"/>
        <v>-0.31079766489601707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76</v>
      </c>
      <c r="D224" s="456">
        <v>78</v>
      </c>
      <c r="E224" s="456">
        <f t="shared" si="24"/>
        <v>2</v>
      </c>
      <c r="F224" s="449">
        <f t="shared" si="25"/>
        <v>2.6315789473684209E-2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1.3247</v>
      </c>
      <c r="D225" s="459">
        <v>0.94910000000000005</v>
      </c>
      <c r="E225" s="460">
        <f t="shared" si="24"/>
        <v>-0.37559999999999993</v>
      </c>
      <c r="F225" s="449">
        <f t="shared" si="25"/>
        <v>-0.2835358949196044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100.6772</v>
      </c>
      <c r="D226" s="463">
        <f>LN_IG3*LN_IG4</f>
        <v>74.029800000000009</v>
      </c>
      <c r="E226" s="463">
        <f t="shared" si="24"/>
        <v>-26.64739999999999</v>
      </c>
      <c r="F226" s="449">
        <f t="shared" si="25"/>
        <v>-0.26468157636485712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6234.05299313052</v>
      </c>
      <c r="D227" s="465">
        <f>IF(LN_IG5=0,0,LN_IG2/LN_IG5)</f>
        <v>5678.4970376794199</v>
      </c>
      <c r="E227" s="465">
        <f t="shared" si="24"/>
        <v>-555.55595545110009</v>
      </c>
      <c r="F227" s="449">
        <f t="shared" si="25"/>
        <v>-8.9116335081412201E-2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230</v>
      </c>
      <c r="D228" s="456">
        <v>287</v>
      </c>
      <c r="E228" s="456">
        <f t="shared" si="24"/>
        <v>57</v>
      </c>
      <c r="F228" s="449">
        <f t="shared" si="25"/>
        <v>0.24782608695652175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2728.8130434782611</v>
      </c>
      <c r="D229" s="465">
        <f>IF(LN_IG6=0,0,LN_IG2/LN_IG6)</f>
        <v>1464.7317073170732</v>
      </c>
      <c r="E229" s="465">
        <f t="shared" si="24"/>
        <v>-1264.0813361611879</v>
      </c>
      <c r="F229" s="449">
        <f t="shared" si="25"/>
        <v>-0.46323486293144367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3.0263157894736841</v>
      </c>
      <c r="D230" s="466">
        <f>IF(LN_IG3=0,0,LN_IG6/LN_IG3)</f>
        <v>3.6794871794871793</v>
      </c>
      <c r="E230" s="466">
        <f t="shared" si="24"/>
        <v>0.65317139001349522</v>
      </c>
      <c r="F230" s="449">
        <f t="shared" si="25"/>
        <v>0.21583054626532885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2957650</v>
      </c>
      <c r="D233" s="448">
        <v>2858563</v>
      </c>
      <c r="E233" s="448">
        <f>D233-C233</f>
        <v>-99087</v>
      </c>
      <c r="F233" s="449">
        <f>IF(C233=0,0,E233/C233)</f>
        <v>-3.3501935658377426E-2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403767</v>
      </c>
      <c r="D234" s="448">
        <v>532351</v>
      </c>
      <c r="E234" s="448">
        <f>D234-C234</f>
        <v>128584</v>
      </c>
      <c r="F234" s="449">
        <f>IF(C234=0,0,E234/C234)</f>
        <v>0.31846089452580323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4926582</v>
      </c>
      <c r="D237" s="448">
        <f>LN_IG1+LN_IG9</f>
        <v>4772036</v>
      </c>
      <c r="E237" s="448">
        <f>D237-C237</f>
        <v>-154546</v>
      </c>
      <c r="F237" s="449">
        <f>IF(C237=0,0,E237/C237)</f>
        <v>-3.1369821917101956E-2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1031394</v>
      </c>
      <c r="D238" s="448">
        <f>LN_IG2+LN_IG10</f>
        <v>952729</v>
      </c>
      <c r="E238" s="448">
        <f>D238-C238</f>
        <v>-78665</v>
      </c>
      <c r="F238" s="449">
        <f>IF(C238=0,0,E238/C238)</f>
        <v>-7.6270561977285115E-2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3895188</v>
      </c>
      <c r="D239" s="448">
        <f>LN_IG13-LN_IG14</f>
        <v>3819307</v>
      </c>
      <c r="E239" s="448">
        <f>D239-C239</f>
        <v>-75881</v>
      </c>
      <c r="F239" s="449">
        <f>IF(C239=0,0,E239/C239)</f>
        <v>-1.9480702856960949E-2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31281747</v>
      </c>
      <c r="D243" s="448">
        <v>37244898</v>
      </c>
      <c r="E243" s="441">
        <f>D243-C243</f>
        <v>5963151</v>
      </c>
      <c r="F243" s="503">
        <f>IF(C243=0,0,E243/C243)</f>
        <v>0.19062717309234678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681612332</v>
      </c>
      <c r="D244" s="448">
        <v>760697798</v>
      </c>
      <c r="E244" s="441">
        <f>D244-C244</f>
        <v>79085466</v>
      </c>
      <c r="F244" s="503">
        <f>IF(C244=0,0,E244/C244)</f>
        <v>0.11602704688154028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4105108</v>
      </c>
      <c r="D248" s="441">
        <v>7595231</v>
      </c>
      <c r="E248" s="441">
        <f>D248-C248</f>
        <v>3490123</v>
      </c>
      <c r="F248" s="449">
        <f>IF(C248=0,0,E248/C248)</f>
        <v>0.85019029950003755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20980833</v>
      </c>
      <c r="D249" s="441">
        <v>14575173</v>
      </c>
      <c r="E249" s="441">
        <f>D249-C249</f>
        <v>-6405660</v>
      </c>
      <c r="F249" s="449">
        <f>IF(C249=0,0,E249/C249)</f>
        <v>-0.30531008945164378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25085941</v>
      </c>
      <c r="D250" s="441">
        <f>LN_IH4+LN_IH5</f>
        <v>22170404</v>
      </c>
      <c r="E250" s="441">
        <f>D250-C250</f>
        <v>-2915537</v>
      </c>
      <c r="F250" s="449">
        <f>IF(C250=0,0,E250/C250)</f>
        <v>-0.11622195077314421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8233256.3967600064</v>
      </c>
      <c r="D251" s="441">
        <f>LN_IH6*LN_III10</f>
        <v>7228417.1897200355</v>
      </c>
      <c r="E251" s="441">
        <f>D251-C251</f>
        <v>-1004839.2070399709</v>
      </c>
      <c r="F251" s="449">
        <f>IF(C251=0,0,E251/C251)</f>
        <v>-0.12204638828391162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462641312</v>
      </c>
      <c r="D254" s="441">
        <f>LN_IF23</f>
        <v>489322658</v>
      </c>
      <c r="E254" s="441">
        <f>D254-C254</f>
        <v>26681346</v>
      </c>
      <c r="F254" s="449">
        <f>IF(C254=0,0,E254/C254)</f>
        <v>5.7671775753566946E-2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98288600</v>
      </c>
      <c r="D255" s="441">
        <f>LN_IF24</f>
        <v>93915526</v>
      </c>
      <c r="E255" s="441">
        <f>D255-C255</f>
        <v>-4373074</v>
      </c>
      <c r="F255" s="449">
        <f>IF(C255=0,0,E255/C255)</f>
        <v>-4.4492179154042279E-2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151839811.04912278</v>
      </c>
      <c r="D256" s="441">
        <f>LN_IH8*LN_III10</f>
        <v>159538288.63049576</v>
      </c>
      <c r="E256" s="441">
        <f>D256-C256</f>
        <v>7698477.5813729763</v>
      </c>
      <c r="F256" s="449">
        <f>IF(C256=0,0,E256/C256)</f>
        <v>5.0701311653255331E-2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53551211.049122781</v>
      </c>
      <c r="D257" s="441">
        <f>LN_IH10-LN_IH9</f>
        <v>65622762.630495757</v>
      </c>
      <c r="E257" s="441">
        <f>D257-C257</f>
        <v>12071551.581372976</v>
      </c>
      <c r="F257" s="449">
        <f>IF(C257=0,0,E257/C257)</f>
        <v>0.22542070188290764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1236781283</v>
      </c>
      <c r="D261" s="448">
        <f>LN_IA1+LN_IB1+LN_IF1+LN_IG1</f>
        <v>1243641701</v>
      </c>
      <c r="E261" s="448">
        <f t="shared" ref="E261:E274" si="26">D261-C261</f>
        <v>6860418</v>
      </c>
      <c r="F261" s="503">
        <f t="shared" ref="F261:F274" si="27">IF(C261=0,0,E261/C261)</f>
        <v>5.5469937120644474E-3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429223459</v>
      </c>
      <c r="D262" s="448">
        <f>+LN_IA2+LN_IB2+LN_IF2+LN_IG2</f>
        <v>436580705</v>
      </c>
      <c r="E262" s="448">
        <f t="shared" si="26"/>
        <v>7357246</v>
      </c>
      <c r="F262" s="503">
        <f t="shared" si="27"/>
        <v>1.7140829201509229E-2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0.34704879908827019</v>
      </c>
      <c r="D263" s="453">
        <f>IF(LN_IIA1=0,0,LN_IIA2/LN_IIA1)</f>
        <v>0.35105022986037682</v>
      </c>
      <c r="E263" s="454">
        <f t="shared" si="26"/>
        <v>4.0014307721066289E-3</v>
      </c>
      <c r="F263" s="458">
        <f t="shared" si="27"/>
        <v>1.1529879321348363E-2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31632</v>
      </c>
      <c r="D264" s="456">
        <f>LN_IA4+LN_IB4+LN_IF4+LN_IG3</f>
        <v>32534</v>
      </c>
      <c r="E264" s="456">
        <f t="shared" si="26"/>
        <v>902</v>
      </c>
      <c r="F264" s="503">
        <f t="shared" si="27"/>
        <v>2.8515427415275671E-2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1.4952013878351036</v>
      </c>
      <c r="D265" s="525">
        <f>IF(LN_IIA4=0,0,LN_IIA6/LN_IIA4)</f>
        <v>1.5365041587262556</v>
      </c>
      <c r="E265" s="525">
        <f t="shared" si="26"/>
        <v>4.1302770891151974E-2</v>
      </c>
      <c r="F265" s="503">
        <f t="shared" si="27"/>
        <v>2.7623550397417769E-2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47296.210299999999</v>
      </c>
      <c r="D266" s="463">
        <f>LN_IA6+LN_IB6+LN_IF6+LN_IG5</f>
        <v>49988.626299999996</v>
      </c>
      <c r="E266" s="463">
        <f t="shared" si="26"/>
        <v>2692.4159999999974</v>
      </c>
      <c r="F266" s="503">
        <f t="shared" si="27"/>
        <v>5.6926675159003119E-2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867589109</v>
      </c>
      <c r="D267" s="448">
        <f>LN_IA11+LN_IB13+LN_IF14+LN_IG9</f>
        <v>1008562795</v>
      </c>
      <c r="E267" s="448">
        <f t="shared" si="26"/>
        <v>140973686</v>
      </c>
      <c r="F267" s="503">
        <f t="shared" si="27"/>
        <v>0.1624889991559357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0.70148952035846746</v>
      </c>
      <c r="D268" s="453">
        <f>IF(LN_IIA1=0,0,LN_IIA7/LN_IIA1)</f>
        <v>0.81097537513338824</v>
      </c>
      <c r="E268" s="454">
        <f t="shared" si="26"/>
        <v>0.10948585477492079</v>
      </c>
      <c r="F268" s="458">
        <f t="shared" si="27"/>
        <v>0.15607625145842882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242600744</v>
      </c>
      <c r="D269" s="448">
        <f>LN_IA12+LN_IB14+LN_IF15+LN_IG10</f>
        <v>275209945</v>
      </c>
      <c r="E269" s="448">
        <f t="shared" si="26"/>
        <v>32609201</v>
      </c>
      <c r="F269" s="503">
        <f t="shared" si="27"/>
        <v>0.13441509066435509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0.27962631328973958</v>
      </c>
      <c r="D270" s="453">
        <f>IF(LN_IIA7=0,0,LN_IIA9/LN_IIA7)</f>
        <v>0.27287338613358231</v>
      </c>
      <c r="E270" s="454">
        <f t="shared" si="26"/>
        <v>-6.7529271561572735E-3</v>
      </c>
      <c r="F270" s="458">
        <f t="shared" si="27"/>
        <v>-2.414982723446385E-2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2104370392</v>
      </c>
      <c r="D271" s="441">
        <f>LN_IIA1+LN_IIA7</f>
        <v>2252204496</v>
      </c>
      <c r="E271" s="441">
        <f t="shared" si="26"/>
        <v>147834104</v>
      </c>
      <c r="F271" s="503">
        <f t="shared" si="27"/>
        <v>7.0250990301901184E-2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671824203</v>
      </c>
      <c r="D272" s="441">
        <f>LN_IIA2+LN_IIA9</f>
        <v>711790650</v>
      </c>
      <c r="E272" s="441">
        <f t="shared" si="26"/>
        <v>39966447</v>
      </c>
      <c r="F272" s="503">
        <f t="shared" si="27"/>
        <v>5.9489442061675765E-2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0.31925187959021617</v>
      </c>
      <c r="D273" s="453">
        <f>IF(LN_IIA11=0,0,LN_IIA12/LN_IIA11)</f>
        <v>0.31604174987847106</v>
      </c>
      <c r="E273" s="454">
        <f t="shared" si="26"/>
        <v>-3.2101297117451133E-3</v>
      </c>
      <c r="F273" s="458">
        <f t="shared" si="27"/>
        <v>-1.0055163076457237E-2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152490</v>
      </c>
      <c r="D274" s="508">
        <f>LN_IA8+LN_IB10+LN_IF11+LN_IG6</f>
        <v>143708</v>
      </c>
      <c r="E274" s="528">
        <f t="shared" si="26"/>
        <v>-8782</v>
      </c>
      <c r="F274" s="458">
        <f t="shared" si="27"/>
        <v>-5.7590661682733295E-2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918131725</v>
      </c>
      <c r="D277" s="448">
        <f>LN_IA1+LN_IF1+LN_IG1</f>
        <v>909562286</v>
      </c>
      <c r="E277" s="448">
        <f t="shared" ref="E277:E291" si="28">D277-C277</f>
        <v>-8569439</v>
      </c>
      <c r="F277" s="503">
        <f t="shared" ref="F277:F291" si="29">IF(C277=0,0,E277/C277)</f>
        <v>-9.3335615867102296E-3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260003089</v>
      </c>
      <c r="D278" s="448">
        <f>LN_IA2+LN_IF2+LN_IG2</f>
        <v>258484472</v>
      </c>
      <c r="E278" s="448">
        <f t="shared" si="28"/>
        <v>-1518617</v>
      </c>
      <c r="F278" s="503">
        <f t="shared" si="29"/>
        <v>-5.8407652226008747E-3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0.28318713090978315</v>
      </c>
      <c r="D279" s="453">
        <f>IF(D277=0,0,LN_IIB2/D277)</f>
        <v>0.28418556483552354</v>
      </c>
      <c r="E279" s="454">
        <f t="shared" si="28"/>
        <v>9.9843392574039402E-4</v>
      </c>
      <c r="F279" s="458">
        <f t="shared" si="29"/>
        <v>3.5257037370757922E-3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22318</v>
      </c>
      <c r="D280" s="456">
        <f>LN_IA4+LN_IF4+LN_IG3</f>
        <v>22955</v>
      </c>
      <c r="E280" s="456">
        <f t="shared" si="28"/>
        <v>637</v>
      </c>
      <c r="F280" s="503">
        <f t="shared" si="29"/>
        <v>2.8541984048749889E-2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1.5118117528452371</v>
      </c>
      <c r="D281" s="525">
        <f>IF(LN_IIB4=0,0,LN_IIB6/LN_IIB4)</f>
        <v>1.5548251317795687</v>
      </c>
      <c r="E281" s="525">
        <f t="shared" si="28"/>
        <v>4.3013378934331659E-2</v>
      </c>
      <c r="F281" s="503">
        <f t="shared" si="29"/>
        <v>2.8451544217314273E-2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33740.614699999998</v>
      </c>
      <c r="D282" s="463">
        <f>LN_IA6+LN_IF6+LN_IG5</f>
        <v>35691.010900000001</v>
      </c>
      <c r="E282" s="463">
        <f t="shared" si="28"/>
        <v>1950.3962000000029</v>
      </c>
      <c r="F282" s="503">
        <f t="shared" si="29"/>
        <v>5.7805591787277157E-2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519008846</v>
      </c>
      <c r="D283" s="448">
        <f>LN_IA11+LN_IF14+LN_IG9</f>
        <v>609583643</v>
      </c>
      <c r="E283" s="448">
        <f t="shared" si="28"/>
        <v>90574797</v>
      </c>
      <c r="F283" s="503">
        <f t="shared" si="29"/>
        <v>0.17451493880703528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0.56528799938810526</v>
      </c>
      <c r="D284" s="453">
        <f>IF(D277=0,0,LN_IIB7/D277)</f>
        <v>0.67019450166604644</v>
      </c>
      <c r="E284" s="454">
        <f t="shared" si="28"/>
        <v>0.10490650227794118</v>
      </c>
      <c r="F284" s="458">
        <f t="shared" si="29"/>
        <v>0.18558062862027319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102081090</v>
      </c>
      <c r="D285" s="448">
        <f>LN_IA12+LN_IF15+LN_IG10</f>
        <v>110780272</v>
      </c>
      <c r="E285" s="448">
        <f t="shared" si="28"/>
        <v>8699182</v>
      </c>
      <c r="F285" s="503">
        <f t="shared" si="29"/>
        <v>8.5218349451401817E-2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0.19668468232620451</v>
      </c>
      <c r="D286" s="453">
        <f>IF(LN_IIB7=0,0,LN_IIB9/LN_IIB7)</f>
        <v>0.18173104424982087</v>
      </c>
      <c r="E286" s="454">
        <f t="shared" si="28"/>
        <v>-1.4953638076383641E-2</v>
      </c>
      <c r="F286" s="458">
        <f t="shared" si="29"/>
        <v>-7.6028483253122919E-2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1437140571</v>
      </c>
      <c r="D287" s="441">
        <f>D277+LN_IIB7</f>
        <v>1519145929</v>
      </c>
      <c r="E287" s="441">
        <f t="shared" si="28"/>
        <v>82005358</v>
      </c>
      <c r="F287" s="503">
        <f t="shared" si="29"/>
        <v>5.7061473077013286E-2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362084179</v>
      </c>
      <c r="D288" s="441">
        <f>LN_IIB2+LN_IIB9</f>
        <v>369264744</v>
      </c>
      <c r="E288" s="441">
        <f t="shared" si="28"/>
        <v>7180565</v>
      </c>
      <c r="F288" s="503">
        <f t="shared" si="29"/>
        <v>1.9831203395385029E-2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0.2519476426359965</v>
      </c>
      <c r="D289" s="453">
        <f>IF(LN_IIB11=0,0,LN_IIB12/LN_IIB11)</f>
        <v>0.24307391209156182</v>
      </c>
      <c r="E289" s="454">
        <f t="shared" si="28"/>
        <v>-8.8737305444346881E-3</v>
      </c>
      <c r="F289" s="458">
        <f t="shared" si="29"/>
        <v>-3.5220534122063947E-2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116834</v>
      </c>
      <c r="D290" s="508">
        <f>LN_IA8+LN_IF11+LN_IG6</f>
        <v>108328</v>
      </c>
      <c r="E290" s="528">
        <f t="shared" si="28"/>
        <v>-8506</v>
      </c>
      <c r="F290" s="458">
        <f t="shared" si="29"/>
        <v>-7.2804149477035798E-2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1075056392</v>
      </c>
      <c r="D291" s="516">
        <f>LN_IIB11-LN_IIB12</f>
        <v>1149881185</v>
      </c>
      <c r="E291" s="441">
        <f t="shared" si="28"/>
        <v>74824793</v>
      </c>
      <c r="F291" s="503">
        <f t="shared" si="29"/>
        <v>6.9600807508151633E-2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5.4227913109861889</v>
      </c>
      <c r="D294" s="466">
        <f>IF(LN_IA4=0,0,LN_IA8/LN_IA4)</f>
        <v>4.8228679807627177</v>
      </c>
      <c r="E294" s="466">
        <f t="shared" ref="E294:E300" si="30">D294-C294</f>
        <v>-0.59992333022347122</v>
      </c>
      <c r="F294" s="503">
        <f t="shared" ref="F294:F300" si="31">IF(C294=0,0,E294/C294)</f>
        <v>-0.11062998662848583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3.828215589435259</v>
      </c>
      <c r="D295" s="466">
        <f>IF(LN_IB4=0,0,(LN_IB10)/(LN_IB4))</f>
        <v>3.693496189581376</v>
      </c>
      <c r="E295" s="466">
        <f t="shared" si="30"/>
        <v>-0.13471939985388293</v>
      </c>
      <c r="F295" s="503">
        <f t="shared" si="31"/>
        <v>-3.519117372220848E-2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3.6766917293233083</v>
      </c>
      <c r="D296" s="466">
        <f>IF(LN_IC4=0,0,LN_IC11/LN_IC4)</f>
        <v>3.4411764705882355</v>
      </c>
      <c r="E296" s="466">
        <f t="shared" si="30"/>
        <v>-0.23551525873507284</v>
      </c>
      <c r="F296" s="503">
        <f t="shared" si="31"/>
        <v>-6.405629736557196E-2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4.9108898250989403</v>
      </c>
      <c r="D297" s="466">
        <f>IF(LN_ID4=0,0,LN_ID11/LN_ID4)</f>
        <v>4.5404239585900914</v>
      </c>
      <c r="E297" s="466">
        <f t="shared" si="30"/>
        <v>-0.37046586650884894</v>
      </c>
      <c r="F297" s="503">
        <f t="shared" si="31"/>
        <v>-7.5437625298666752E-2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3.0263157894736841</v>
      </c>
      <c r="D299" s="466">
        <f>IF(LN_IG3=0,0,LN_IG6/LN_IG3)</f>
        <v>3.6794871794871793</v>
      </c>
      <c r="E299" s="466">
        <f t="shared" si="30"/>
        <v>0.65317139001349522</v>
      </c>
      <c r="F299" s="503">
        <f t="shared" si="31"/>
        <v>0.21583054626532885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4.8207511380880117</v>
      </c>
      <c r="D300" s="466">
        <f>IF(LN_IIA4=0,0,LN_IIA14/LN_IIA4)</f>
        <v>4.417163582713469</v>
      </c>
      <c r="E300" s="466">
        <f t="shared" si="30"/>
        <v>-0.40358755537454272</v>
      </c>
      <c r="F300" s="503">
        <f t="shared" si="31"/>
        <v>-8.3718811408010602E-2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2104370392</v>
      </c>
      <c r="D304" s="441">
        <f>LN_IIA11</f>
        <v>2252204496</v>
      </c>
      <c r="E304" s="441">
        <f t="shared" ref="E304:E316" si="32">D304-C304</f>
        <v>147834104</v>
      </c>
      <c r="F304" s="449">
        <f>IF(C304=0,0,E304/C304)</f>
        <v>7.0250990301901184E-2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1075056392</v>
      </c>
      <c r="D305" s="441">
        <f>LN_IIB14</f>
        <v>1149881185</v>
      </c>
      <c r="E305" s="441">
        <f t="shared" si="32"/>
        <v>74824793</v>
      </c>
      <c r="F305" s="449">
        <f>IF(C305=0,0,E305/C305)</f>
        <v>6.9600807508151633E-2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25085941</v>
      </c>
      <c r="D306" s="441">
        <f>LN_IH6</f>
        <v>22170404</v>
      </c>
      <c r="E306" s="441">
        <f t="shared" si="32"/>
        <v>-2915537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298998607</v>
      </c>
      <c r="D307" s="441">
        <f>LN_IB32-LN_IB33</f>
        <v>327132406</v>
      </c>
      <c r="E307" s="441">
        <f t="shared" si="32"/>
        <v>28133799</v>
      </c>
      <c r="F307" s="449">
        <f t="shared" ref="F307:F316" si="33">IF(C307=0,0,E307/C307)</f>
        <v>9.4093411612449412E-2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14570848</v>
      </c>
      <c r="D308" s="441">
        <v>18713914</v>
      </c>
      <c r="E308" s="441">
        <f t="shared" si="32"/>
        <v>4143066</v>
      </c>
      <c r="F308" s="449">
        <f t="shared" si="33"/>
        <v>0.28433938779678436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1413711788</v>
      </c>
      <c r="D309" s="441">
        <f>LN_III2+LN_III3+LN_III4+LN_III5</f>
        <v>1517897909</v>
      </c>
      <c r="E309" s="441">
        <f t="shared" si="32"/>
        <v>104186121</v>
      </c>
      <c r="F309" s="449">
        <f t="shared" si="33"/>
        <v>7.3696860905003644E-2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690658604</v>
      </c>
      <c r="D310" s="441">
        <f>LN_III1-LN_III6</f>
        <v>734306587</v>
      </c>
      <c r="E310" s="441">
        <f t="shared" si="32"/>
        <v>43647983</v>
      </c>
      <c r="F310" s="449">
        <f t="shared" si="33"/>
        <v>6.3197624335973673E-2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690658604</v>
      </c>
      <c r="D312" s="441">
        <f>LN_III7+LN_III8</f>
        <v>734306587</v>
      </c>
      <c r="E312" s="441">
        <f t="shared" si="32"/>
        <v>43647983</v>
      </c>
      <c r="F312" s="449">
        <f t="shared" si="33"/>
        <v>6.3197624335973673E-2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0.32820201549385797</v>
      </c>
      <c r="D313" s="532">
        <f>IF(LN_III1=0,0,LN_III9/LN_III1)</f>
        <v>0.32603903788672661</v>
      </c>
      <c r="E313" s="532">
        <f t="shared" si="32"/>
        <v>-2.1629776071313556E-3</v>
      </c>
      <c r="F313" s="449">
        <f t="shared" si="33"/>
        <v>-6.5903849002165371E-3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8233256.3967600064</v>
      </c>
      <c r="D314" s="441">
        <f>D313*LN_III5</f>
        <v>7228417.1897200355</v>
      </c>
      <c r="E314" s="441">
        <f t="shared" si="32"/>
        <v>-1004839.2070399709</v>
      </c>
      <c r="F314" s="449">
        <f t="shared" si="33"/>
        <v>-0.12204638828391162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53551211.049122781</v>
      </c>
      <c r="D315" s="441">
        <f>D313*LN_IH8-LN_IH9</f>
        <v>65622762.630495757</v>
      </c>
      <c r="E315" s="441">
        <f t="shared" si="32"/>
        <v>12071551.581372976</v>
      </c>
      <c r="F315" s="449">
        <f t="shared" si="33"/>
        <v>0.22542070188290764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61784467.44588279</v>
      </c>
      <c r="D318" s="441">
        <f>D314+D315+D316</f>
        <v>72851179.820215791</v>
      </c>
      <c r="E318" s="441">
        <f>D318-C318</f>
        <v>11066712.374333002</v>
      </c>
      <c r="F318" s="449">
        <f>IF(C318=0,0,E318/C318)</f>
        <v>0.1791180345452742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21543119.792578083</v>
      </c>
      <c r="D322" s="441">
        <f>LN_ID22</f>
        <v>33662479.422532141</v>
      </c>
      <c r="E322" s="441">
        <f>LN_IV2-C322</f>
        <v>12119359.629954059</v>
      </c>
      <c r="F322" s="449">
        <f>IF(C322=0,0,E322/C322)</f>
        <v>0.56256288535002963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8053524.278325038</v>
      </c>
      <c r="D324" s="441">
        <f>LN_IC10+LN_IC22</f>
        <v>2585442.0478596189</v>
      </c>
      <c r="E324" s="441">
        <f>LN_IV1-C324</f>
        <v>-5468082.2304654196</v>
      </c>
      <c r="F324" s="449">
        <f>IF(C324=0,0,E324/C324)</f>
        <v>-0.67896762230940522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29596644.070903122</v>
      </c>
      <c r="D325" s="516">
        <f>LN_IV1+LN_IV2+LN_IV3</f>
        <v>36247921.470391758</v>
      </c>
      <c r="E325" s="441">
        <f>LN_IV4-C325</f>
        <v>6651277.3994886354</v>
      </c>
      <c r="F325" s="449">
        <f>IF(C325=0,0,E325/C325)</f>
        <v>0.2247307966252701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25885100</v>
      </c>
      <c r="D329" s="518">
        <v>28330647</v>
      </c>
      <c r="E329" s="518">
        <f t="shared" ref="E329:E335" si="34">D329-C329</f>
        <v>2445547</v>
      </c>
      <c r="F329" s="542">
        <f t="shared" ref="F329:F335" si="35">IF(C329=0,0,E329/C329)</f>
        <v>9.4477015734920858E-2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-22591203</v>
      </c>
      <c r="D330" s="516">
        <v>18670350</v>
      </c>
      <c r="E330" s="518">
        <f t="shared" si="34"/>
        <v>41261553</v>
      </c>
      <c r="F330" s="543">
        <f t="shared" si="35"/>
        <v>-1.8264433726703266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649233000</v>
      </c>
      <c r="D331" s="516">
        <v>730461000</v>
      </c>
      <c r="E331" s="518">
        <f t="shared" si="34"/>
        <v>81228000</v>
      </c>
      <c r="F331" s="542">
        <f t="shared" si="35"/>
        <v>0.12511378811613089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75695608</v>
      </c>
      <c r="D332" s="516">
        <v>1458143504</v>
      </c>
      <c r="E332" s="518">
        <f t="shared" si="34"/>
        <v>1382447896</v>
      </c>
      <c r="F332" s="543">
        <f t="shared" si="35"/>
        <v>18.263251099059804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2180066000</v>
      </c>
      <c r="D333" s="516">
        <v>3710348000</v>
      </c>
      <c r="E333" s="518">
        <f t="shared" si="34"/>
        <v>1530282000</v>
      </c>
      <c r="F333" s="542">
        <f t="shared" si="35"/>
        <v>0.70194296869911277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11490059</v>
      </c>
      <c r="D334" s="516">
        <v>22818596</v>
      </c>
      <c r="E334" s="516">
        <f t="shared" si="34"/>
        <v>11328537</v>
      </c>
      <c r="F334" s="543">
        <f t="shared" si="35"/>
        <v>0.98594245686640947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36576000</v>
      </c>
      <c r="D335" s="516">
        <v>44989000</v>
      </c>
      <c r="E335" s="516">
        <f t="shared" si="34"/>
        <v>8413000</v>
      </c>
      <c r="F335" s="542">
        <f t="shared" si="35"/>
        <v>0.23001421697287838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tabSelected="1" zoomScale="75" zoomScaleSheetLayoutView="68" workbookViewId="0">
      <selection activeCell="F54" sqref="F54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9.140625" style="420" bestFit="1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318649558</v>
      </c>
      <c r="D14" s="589">
        <v>334079415</v>
      </c>
      <c r="E14" s="590">
        <f t="shared" ref="E14:E22" si="0">D14-C14</f>
        <v>15429857</v>
      </c>
    </row>
    <row r="15" spans="1:5" s="421" customFormat="1" x14ac:dyDescent="0.2">
      <c r="A15" s="588">
        <v>2</v>
      </c>
      <c r="B15" s="587" t="s">
        <v>636</v>
      </c>
      <c r="C15" s="589">
        <v>671779838</v>
      </c>
      <c r="D15" s="591">
        <v>664881344</v>
      </c>
      <c r="E15" s="590">
        <f t="shared" si="0"/>
        <v>-6898494</v>
      </c>
    </row>
    <row r="16" spans="1:5" s="421" customFormat="1" x14ac:dyDescent="0.2">
      <c r="A16" s="588">
        <v>3</v>
      </c>
      <c r="B16" s="587" t="s">
        <v>778</v>
      </c>
      <c r="C16" s="589">
        <v>244382955</v>
      </c>
      <c r="D16" s="591">
        <v>242767469</v>
      </c>
      <c r="E16" s="590">
        <f t="shared" si="0"/>
        <v>-1615486</v>
      </c>
    </row>
    <row r="17" spans="1:5" s="421" customFormat="1" x14ac:dyDescent="0.2">
      <c r="A17" s="588">
        <v>4</v>
      </c>
      <c r="B17" s="587" t="s">
        <v>115</v>
      </c>
      <c r="C17" s="589">
        <v>244382955</v>
      </c>
      <c r="D17" s="591">
        <v>242767469</v>
      </c>
      <c r="E17" s="590">
        <f t="shared" si="0"/>
        <v>-1615486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1968932</v>
      </c>
      <c r="D19" s="591">
        <v>1913473</v>
      </c>
      <c r="E19" s="590">
        <f t="shared" si="0"/>
        <v>-55459</v>
      </c>
    </row>
    <row r="20" spans="1:5" s="421" customFormat="1" x14ac:dyDescent="0.2">
      <c r="A20" s="588">
        <v>7</v>
      </c>
      <c r="B20" s="587" t="s">
        <v>759</v>
      </c>
      <c r="C20" s="589">
        <v>7628171</v>
      </c>
      <c r="D20" s="591">
        <v>9662604</v>
      </c>
      <c r="E20" s="590">
        <f t="shared" si="0"/>
        <v>2034433</v>
      </c>
    </row>
    <row r="21" spans="1:5" s="421" customFormat="1" x14ac:dyDescent="0.2">
      <c r="A21" s="588"/>
      <c r="B21" s="592" t="s">
        <v>779</v>
      </c>
      <c r="C21" s="593">
        <f>SUM(C15+C16+C19)</f>
        <v>918131725</v>
      </c>
      <c r="D21" s="593">
        <f>SUM(D15+D16+D19)</f>
        <v>909562286</v>
      </c>
      <c r="E21" s="593">
        <f t="shared" si="0"/>
        <v>-8569439</v>
      </c>
    </row>
    <row r="22" spans="1:5" s="421" customFormat="1" x14ac:dyDescent="0.2">
      <c r="A22" s="588"/>
      <c r="B22" s="592" t="s">
        <v>465</v>
      </c>
      <c r="C22" s="593">
        <f>SUM(C14+C21)</f>
        <v>1236781283</v>
      </c>
      <c r="D22" s="593">
        <f>SUM(D14+D21)</f>
        <v>1243641701</v>
      </c>
      <c r="E22" s="593">
        <f t="shared" si="0"/>
        <v>6860418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348580263</v>
      </c>
      <c r="D25" s="589">
        <v>398979152</v>
      </c>
      <c r="E25" s="590">
        <f t="shared" ref="E25:E33" si="1">D25-C25</f>
        <v>50398889</v>
      </c>
    </row>
    <row r="26" spans="1:5" s="421" customFormat="1" x14ac:dyDescent="0.2">
      <c r="A26" s="588">
        <v>2</v>
      </c>
      <c r="B26" s="587" t="s">
        <v>636</v>
      </c>
      <c r="C26" s="589">
        <v>297792839</v>
      </c>
      <c r="D26" s="591">
        <v>360169891</v>
      </c>
      <c r="E26" s="590">
        <f t="shared" si="1"/>
        <v>62377052</v>
      </c>
    </row>
    <row r="27" spans="1:5" s="421" customFormat="1" x14ac:dyDescent="0.2">
      <c r="A27" s="588">
        <v>3</v>
      </c>
      <c r="B27" s="587" t="s">
        <v>778</v>
      </c>
      <c r="C27" s="589">
        <v>218258357</v>
      </c>
      <c r="D27" s="591">
        <v>246555189</v>
      </c>
      <c r="E27" s="590">
        <f t="shared" si="1"/>
        <v>28296832</v>
      </c>
    </row>
    <row r="28" spans="1:5" s="421" customFormat="1" x14ac:dyDescent="0.2">
      <c r="A28" s="588">
        <v>4</v>
      </c>
      <c r="B28" s="587" t="s">
        <v>115</v>
      </c>
      <c r="C28" s="589">
        <v>218258357</v>
      </c>
      <c r="D28" s="591">
        <v>246555189</v>
      </c>
      <c r="E28" s="590">
        <f t="shared" si="1"/>
        <v>28296832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2957650</v>
      </c>
      <c r="D30" s="591">
        <v>2858563</v>
      </c>
      <c r="E30" s="590">
        <f t="shared" si="1"/>
        <v>-99087</v>
      </c>
    </row>
    <row r="31" spans="1:5" s="421" customFormat="1" x14ac:dyDescent="0.2">
      <c r="A31" s="588">
        <v>7</v>
      </c>
      <c r="B31" s="587" t="s">
        <v>759</v>
      </c>
      <c r="C31" s="590">
        <v>21440444</v>
      </c>
      <c r="D31" s="594">
        <v>24115901</v>
      </c>
      <c r="E31" s="590">
        <f t="shared" si="1"/>
        <v>2675457</v>
      </c>
    </row>
    <row r="32" spans="1:5" s="421" customFormat="1" x14ac:dyDescent="0.2">
      <c r="A32" s="588"/>
      <c r="B32" s="592" t="s">
        <v>781</v>
      </c>
      <c r="C32" s="593">
        <f>SUM(C26+C27+C30)</f>
        <v>519008846</v>
      </c>
      <c r="D32" s="593">
        <f>SUM(D26+D27+D30)</f>
        <v>609583643</v>
      </c>
      <c r="E32" s="593">
        <f t="shared" si="1"/>
        <v>90574797</v>
      </c>
    </row>
    <row r="33" spans="1:5" s="421" customFormat="1" x14ac:dyDescent="0.2">
      <c r="A33" s="588"/>
      <c r="B33" s="592" t="s">
        <v>467</v>
      </c>
      <c r="C33" s="593">
        <f>SUM(C25+C32)</f>
        <v>867589109</v>
      </c>
      <c r="D33" s="593">
        <f>SUM(D25+D32)</f>
        <v>1008562795</v>
      </c>
      <c r="E33" s="593">
        <f t="shared" si="1"/>
        <v>140973686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667229821</v>
      </c>
      <c r="D36" s="590">
        <f t="shared" si="2"/>
        <v>733058567</v>
      </c>
      <c r="E36" s="590">
        <f t="shared" ref="E36:E44" si="3">D36-C36</f>
        <v>65828746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969572677</v>
      </c>
      <c r="D37" s="590">
        <f t="shared" si="2"/>
        <v>1025051235</v>
      </c>
      <c r="E37" s="590">
        <f t="shared" si="3"/>
        <v>55478558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462641312</v>
      </c>
      <c r="D38" s="590">
        <f t="shared" si="2"/>
        <v>489322658</v>
      </c>
      <c r="E38" s="590">
        <f t="shared" si="3"/>
        <v>26681346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462641312</v>
      </c>
      <c r="D39" s="590">
        <f t="shared" si="2"/>
        <v>489322658</v>
      </c>
      <c r="E39" s="590">
        <f t="shared" si="3"/>
        <v>26681346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4926582</v>
      </c>
      <c r="D41" s="590">
        <f t="shared" si="2"/>
        <v>4772036</v>
      </c>
      <c r="E41" s="590">
        <f t="shared" si="3"/>
        <v>-154546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29068615</v>
      </c>
      <c r="D42" s="590">
        <f t="shared" si="2"/>
        <v>33778505</v>
      </c>
      <c r="E42" s="590">
        <f t="shared" si="3"/>
        <v>4709890</v>
      </c>
    </row>
    <row r="43" spans="1:5" s="421" customFormat="1" x14ac:dyDescent="0.2">
      <c r="A43" s="588"/>
      <c r="B43" s="592" t="s">
        <v>789</v>
      </c>
      <c r="C43" s="593">
        <f>SUM(C37+C38+C41)</f>
        <v>1437140571</v>
      </c>
      <c r="D43" s="593">
        <f>SUM(D37+D38+D41)</f>
        <v>1519145929</v>
      </c>
      <c r="E43" s="593">
        <f t="shared" si="3"/>
        <v>82005358</v>
      </c>
    </row>
    <row r="44" spans="1:5" s="421" customFormat="1" x14ac:dyDescent="0.2">
      <c r="A44" s="588"/>
      <c r="B44" s="592" t="s">
        <v>726</v>
      </c>
      <c r="C44" s="593">
        <f>SUM(C36+C43)</f>
        <v>2104370392</v>
      </c>
      <c r="D44" s="593">
        <f>SUM(D36+D43)</f>
        <v>2252204496</v>
      </c>
      <c r="E44" s="593">
        <f t="shared" si="3"/>
        <v>147834104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169220370</v>
      </c>
      <c r="D47" s="589">
        <v>178096233</v>
      </c>
      <c r="E47" s="590">
        <f t="shared" ref="E47:E55" si="4">D47-C47</f>
        <v>8875863</v>
      </c>
    </row>
    <row r="48" spans="1:5" s="421" customFormat="1" x14ac:dyDescent="0.2">
      <c r="A48" s="588">
        <v>2</v>
      </c>
      <c r="B48" s="587" t="s">
        <v>636</v>
      </c>
      <c r="C48" s="589">
        <v>203954317</v>
      </c>
      <c r="D48" s="591">
        <v>203519869</v>
      </c>
      <c r="E48" s="590">
        <f t="shared" si="4"/>
        <v>-434448</v>
      </c>
    </row>
    <row r="49" spans="1:5" s="421" customFormat="1" x14ac:dyDescent="0.2">
      <c r="A49" s="588">
        <v>3</v>
      </c>
      <c r="B49" s="587" t="s">
        <v>778</v>
      </c>
      <c r="C49" s="589">
        <v>55421145</v>
      </c>
      <c r="D49" s="591">
        <v>54544225</v>
      </c>
      <c r="E49" s="590">
        <f t="shared" si="4"/>
        <v>-876920</v>
      </c>
    </row>
    <row r="50" spans="1:5" s="421" customFormat="1" x14ac:dyDescent="0.2">
      <c r="A50" s="588">
        <v>4</v>
      </c>
      <c r="B50" s="587" t="s">
        <v>115</v>
      </c>
      <c r="C50" s="589">
        <v>55421145</v>
      </c>
      <c r="D50" s="591">
        <v>54544225</v>
      </c>
      <c r="E50" s="590">
        <f t="shared" si="4"/>
        <v>-876920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627627</v>
      </c>
      <c r="D52" s="591">
        <v>420378</v>
      </c>
      <c r="E52" s="590">
        <f t="shared" si="4"/>
        <v>-207249</v>
      </c>
    </row>
    <row r="53" spans="1:5" s="421" customFormat="1" x14ac:dyDescent="0.2">
      <c r="A53" s="588">
        <v>7</v>
      </c>
      <c r="B53" s="587" t="s">
        <v>759</v>
      </c>
      <c r="C53" s="589">
        <v>295974</v>
      </c>
      <c r="D53" s="591">
        <v>1745819</v>
      </c>
      <c r="E53" s="590">
        <f t="shared" si="4"/>
        <v>1449845</v>
      </c>
    </row>
    <row r="54" spans="1:5" s="421" customFormat="1" x14ac:dyDescent="0.2">
      <c r="A54" s="588"/>
      <c r="B54" s="592" t="s">
        <v>791</v>
      </c>
      <c r="C54" s="593">
        <f>SUM(C48+C49+C52)</f>
        <v>260003089</v>
      </c>
      <c r="D54" s="593">
        <f>SUM(D48+D49+D52)</f>
        <v>258484472</v>
      </c>
      <c r="E54" s="593">
        <f t="shared" si="4"/>
        <v>-1518617</v>
      </c>
    </row>
    <row r="55" spans="1:5" s="421" customFormat="1" x14ac:dyDescent="0.2">
      <c r="A55" s="588"/>
      <c r="B55" s="592" t="s">
        <v>466</v>
      </c>
      <c r="C55" s="593">
        <f>SUM(C47+C54)</f>
        <v>429223459</v>
      </c>
      <c r="D55" s="593">
        <f>SUM(D47+D54)</f>
        <v>436580705</v>
      </c>
      <c r="E55" s="593">
        <f t="shared" si="4"/>
        <v>7357246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140519654</v>
      </c>
      <c r="D58" s="589">
        <v>164429673</v>
      </c>
      <c r="E58" s="590">
        <f t="shared" ref="E58:E66" si="5">D58-C58</f>
        <v>23910019</v>
      </c>
    </row>
    <row r="59" spans="1:5" s="421" customFormat="1" x14ac:dyDescent="0.2">
      <c r="A59" s="588">
        <v>2</v>
      </c>
      <c r="B59" s="587" t="s">
        <v>636</v>
      </c>
      <c r="C59" s="589">
        <v>58809868</v>
      </c>
      <c r="D59" s="591">
        <v>70876620</v>
      </c>
      <c r="E59" s="590">
        <f t="shared" si="5"/>
        <v>12066752</v>
      </c>
    </row>
    <row r="60" spans="1:5" s="421" customFormat="1" x14ac:dyDescent="0.2">
      <c r="A60" s="588">
        <v>3</v>
      </c>
      <c r="B60" s="587" t="s">
        <v>778</v>
      </c>
      <c r="C60" s="589">
        <f>C61+C62</f>
        <v>42867455</v>
      </c>
      <c r="D60" s="591">
        <f>D61+D62</f>
        <v>39371301</v>
      </c>
      <c r="E60" s="590">
        <f t="shared" si="5"/>
        <v>-3496154</v>
      </c>
    </row>
    <row r="61" spans="1:5" s="421" customFormat="1" x14ac:dyDescent="0.2">
      <c r="A61" s="588">
        <v>4</v>
      </c>
      <c r="B61" s="587" t="s">
        <v>115</v>
      </c>
      <c r="C61" s="589">
        <v>42867455</v>
      </c>
      <c r="D61" s="591">
        <v>39371301</v>
      </c>
      <c r="E61" s="590">
        <f t="shared" si="5"/>
        <v>-3496154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403767</v>
      </c>
      <c r="D63" s="591">
        <v>532351</v>
      </c>
      <c r="E63" s="590">
        <f t="shared" si="5"/>
        <v>128584</v>
      </c>
    </row>
    <row r="64" spans="1:5" s="421" customFormat="1" x14ac:dyDescent="0.2">
      <c r="A64" s="588">
        <v>7</v>
      </c>
      <c r="B64" s="587" t="s">
        <v>759</v>
      </c>
      <c r="C64" s="589">
        <v>1301392</v>
      </c>
      <c r="D64" s="591">
        <v>5498861</v>
      </c>
      <c r="E64" s="590">
        <f t="shared" si="5"/>
        <v>4197469</v>
      </c>
    </row>
    <row r="65" spans="1:5" s="421" customFormat="1" x14ac:dyDescent="0.2">
      <c r="A65" s="588"/>
      <c r="B65" s="592" t="s">
        <v>793</v>
      </c>
      <c r="C65" s="593">
        <f>SUM(C59+C60+C63)</f>
        <v>102081090</v>
      </c>
      <c r="D65" s="593">
        <f>SUM(D59+D60+D63)</f>
        <v>110780272</v>
      </c>
      <c r="E65" s="593">
        <f t="shared" si="5"/>
        <v>8699182</v>
      </c>
    </row>
    <row r="66" spans="1:5" s="421" customFormat="1" x14ac:dyDescent="0.2">
      <c r="A66" s="588"/>
      <c r="B66" s="592" t="s">
        <v>468</v>
      </c>
      <c r="C66" s="593">
        <f>SUM(C58+C65)</f>
        <v>242600744</v>
      </c>
      <c r="D66" s="593">
        <f>SUM(D58+D65)</f>
        <v>275209945</v>
      </c>
      <c r="E66" s="593">
        <f t="shared" si="5"/>
        <v>32609201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309740024</v>
      </c>
      <c r="D69" s="590">
        <f t="shared" si="6"/>
        <v>342525906</v>
      </c>
      <c r="E69" s="590">
        <f t="shared" ref="E69:E77" si="7">D69-C69</f>
        <v>32785882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262764185</v>
      </c>
      <c r="D70" s="590">
        <f t="shared" si="6"/>
        <v>274396489</v>
      </c>
      <c r="E70" s="590">
        <f t="shared" si="7"/>
        <v>11632304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98288600</v>
      </c>
      <c r="D71" s="590">
        <f t="shared" si="6"/>
        <v>93915526</v>
      </c>
      <c r="E71" s="590">
        <f t="shared" si="7"/>
        <v>-4373074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98288600</v>
      </c>
      <c r="D72" s="590">
        <f t="shared" si="6"/>
        <v>93915526</v>
      </c>
      <c r="E72" s="590">
        <f t="shared" si="7"/>
        <v>-4373074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1031394</v>
      </c>
      <c r="D74" s="590">
        <f t="shared" si="6"/>
        <v>952729</v>
      </c>
      <c r="E74" s="590">
        <f t="shared" si="7"/>
        <v>-78665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1597366</v>
      </c>
      <c r="D75" s="590">
        <f t="shared" si="6"/>
        <v>7244680</v>
      </c>
      <c r="E75" s="590">
        <f t="shared" si="7"/>
        <v>5647314</v>
      </c>
    </row>
    <row r="76" spans="1:5" s="421" customFormat="1" x14ac:dyDescent="0.2">
      <c r="A76" s="588"/>
      <c r="B76" s="592" t="s">
        <v>794</v>
      </c>
      <c r="C76" s="593">
        <f>SUM(C70+C71+C74)</f>
        <v>362084179</v>
      </c>
      <c r="D76" s="593">
        <f>SUM(D70+D71+D74)</f>
        <v>369264744</v>
      </c>
      <c r="E76" s="593">
        <f t="shared" si="7"/>
        <v>7180565</v>
      </c>
    </row>
    <row r="77" spans="1:5" s="421" customFormat="1" x14ac:dyDescent="0.2">
      <c r="A77" s="588"/>
      <c r="B77" s="592" t="s">
        <v>727</v>
      </c>
      <c r="C77" s="593">
        <f>SUM(C69+C76)</f>
        <v>671824203</v>
      </c>
      <c r="D77" s="593">
        <f>SUM(D69+D76)</f>
        <v>711790650</v>
      </c>
      <c r="E77" s="593">
        <f t="shared" si="7"/>
        <v>39966447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0.15142275295802585</v>
      </c>
      <c r="D83" s="599">
        <f t="shared" si="8"/>
        <v>0.14833440550950752</v>
      </c>
      <c r="E83" s="599">
        <f t="shared" ref="E83:E91" si="9">D83-C83</f>
        <v>-3.0883474485183249E-3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0.31923079727496945</v>
      </c>
      <c r="D84" s="599">
        <f t="shared" si="8"/>
        <v>0.29521357637854567</v>
      </c>
      <c r="E84" s="599">
        <f t="shared" si="9"/>
        <v>-2.4017220896423774E-2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0.11613115064203963</v>
      </c>
      <c r="D85" s="599">
        <f t="shared" si="8"/>
        <v>0.10779104181310541</v>
      </c>
      <c r="E85" s="599">
        <f t="shared" si="9"/>
        <v>-8.3401088289342257E-3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0.11613115064203963</v>
      </c>
      <c r="D86" s="599">
        <f t="shared" si="8"/>
        <v>0.10779104181310541</v>
      </c>
      <c r="E86" s="599">
        <f t="shared" si="9"/>
        <v>-8.3401088289342257E-3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9.3563947082942996E-4</v>
      </c>
      <c r="D88" s="599">
        <f t="shared" si="8"/>
        <v>8.4960002672865634E-4</v>
      </c>
      <c r="E88" s="599">
        <f t="shared" si="9"/>
        <v>-8.6039444100773619E-5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3.624918421680588E-3</v>
      </c>
      <c r="D89" s="599">
        <f t="shared" si="8"/>
        <v>4.2902871462876255E-3</v>
      </c>
      <c r="E89" s="599">
        <f t="shared" si="9"/>
        <v>6.6536872460703752E-4</v>
      </c>
    </row>
    <row r="90" spans="1:5" s="421" customFormat="1" x14ac:dyDescent="0.2">
      <c r="A90" s="588"/>
      <c r="B90" s="592" t="s">
        <v>797</v>
      </c>
      <c r="C90" s="600">
        <f>SUM(C84+C85+C88)</f>
        <v>0.43629758738783853</v>
      </c>
      <c r="D90" s="600">
        <f>SUM(D84+D85+D88)</f>
        <v>0.40385421821837975</v>
      </c>
      <c r="E90" s="601">
        <f t="shared" si="9"/>
        <v>-3.244336916945878E-2</v>
      </c>
    </row>
    <row r="91" spans="1:5" s="421" customFormat="1" x14ac:dyDescent="0.2">
      <c r="A91" s="588"/>
      <c r="B91" s="592" t="s">
        <v>798</v>
      </c>
      <c r="C91" s="600">
        <f>SUM(C83+C90)</f>
        <v>0.5877203403458644</v>
      </c>
      <c r="D91" s="600">
        <f>SUM(D83+D90)</f>
        <v>0.55218862372788724</v>
      </c>
      <c r="E91" s="601">
        <f t="shared" si="9"/>
        <v>-3.553171661797716E-2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0.16564586934180739</v>
      </c>
      <c r="D95" s="599">
        <f t="shared" si="10"/>
        <v>0.17715049974751493</v>
      </c>
      <c r="E95" s="599">
        <f t="shared" ref="E95:E103" si="11">D95-C95</f>
        <v>1.1504630405707539E-2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0.1415116084754342</v>
      </c>
      <c r="D96" s="599">
        <f t="shared" si="10"/>
        <v>0.15991882248689018</v>
      </c>
      <c r="E96" s="599">
        <f t="shared" si="11"/>
        <v>1.840721401145598E-2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0.10371670207380489</v>
      </c>
      <c r="D97" s="599">
        <f t="shared" si="10"/>
        <v>0.10947282515326263</v>
      </c>
      <c r="E97" s="599">
        <f t="shared" si="11"/>
        <v>5.7561230794577478E-3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0.10371670207380489</v>
      </c>
      <c r="D98" s="599">
        <f t="shared" si="10"/>
        <v>0.10947282515326263</v>
      </c>
      <c r="E98" s="599">
        <f t="shared" si="11"/>
        <v>5.7561230794577478E-3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1.4054797630891588E-3</v>
      </c>
      <c r="D100" s="599">
        <f t="shared" si="10"/>
        <v>1.2692288844449585E-3</v>
      </c>
      <c r="E100" s="599">
        <f t="shared" si="11"/>
        <v>-1.3625087864420024E-4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1.0188531487378957E-2</v>
      </c>
      <c r="D101" s="599">
        <f t="shared" si="10"/>
        <v>1.070768708739848E-2</v>
      </c>
      <c r="E101" s="599">
        <f t="shared" si="11"/>
        <v>5.1915560001952223E-4</v>
      </c>
    </row>
    <row r="102" spans="1:5" s="421" customFormat="1" x14ac:dyDescent="0.2">
      <c r="A102" s="588"/>
      <c r="B102" s="592" t="s">
        <v>800</v>
      </c>
      <c r="C102" s="600">
        <f>SUM(C96+C97+C100)</f>
        <v>0.24663379031232827</v>
      </c>
      <c r="D102" s="600">
        <f>SUM(D96+D97+D100)</f>
        <v>0.2706608765245978</v>
      </c>
      <c r="E102" s="601">
        <f t="shared" si="11"/>
        <v>2.4027086212269538E-2</v>
      </c>
    </row>
    <row r="103" spans="1:5" s="421" customFormat="1" x14ac:dyDescent="0.2">
      <c r="A103" s="588"/>
      <c r="B103" s="592" t="s">
        <v>801</v>
      </c>
      <c r="C103" s="600">
        <f>SUM(C95+C102)</f>
        <v>0.41227965965413566</v>
      </c>
      <c r="D103" s="600">
        <f>SUM(D95+D102)</f>
        <v>0.44781137627211276</v>
      </c>
      <c r="E103" s="601">
        <f t="shared" si="11"/>
        <v>3.5531716617977105E-2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0.25188191977060997</v>
      </c>
      <c r="D109" s="599">
        <f t="shared" si="12"/>
        <v>0.25020872780500841</v>
      </c>
      <c r="E109" s="599">
        <f t="shared" ref="E109:E117" si="13">D109-C109</f>
        <v>-1.6731919656015615E-3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0.30358286600758266</v>
      </c>
      <c r="D110" s="599">
        <f t="shared" si="12"/>
        <v>0.28592658389092357</v>
      </c>
      <c r="E110" s="599">
        <f t="shared" si="13"/>
        <v>-1.7656282116659094E-2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8.2493522490734078E-2</v>
      </c>
      <c r="D111" s="599">
        <f t="shared" si="12"/>
        <v>7.6629589051218916E-2</v>
      </c>
      <c r="E111" s="599">
        <f t="shared" si="13"/>
        <v>-5.8639334395151621E-3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8.2493522490734078E-2</v>
      </c>
      <c r="D112" s="599">
        <f t="shared" si="12"/>
        <v>7.6629589051218916E-2</v>
      </c>
      <c r="E112" s="599">
        <f t="shared" si="13"/>
        <v>-5.8639334395151621E-3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9.3421314266047657E-4</v>
      </c>
      <c r="D114" s="599">
        <f t="shared" si="12"/>
        <v>5.9059219167883136E-4</v>
      </c>
      <c r="E114" s="599">
        <f t="shared" si="13"/>
        <v>-3.436209509816452E-4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4.4055274977939431E-4</v>
      </c>
      <c r="D115" s="599">
        <f t="shared" si="12"/>
        <v>2.4527141512746759E-3</v>
      </c>
      <c r="E115" s="599">
        <f t="shared" si="13"/>
        <v>2.0121614014952816E-3</v>
      </c>
    </row>
    <row r="116" spans="1:5" s="421" customFormat="1" x14ac:dyDescent="0.2">
      <c r="A116" s="588"/>
      <c r="B116" s="592" t="s">
        <v>797</v>
      </c>
      <c r="C116" s="600">
        <f>SUM(C110+C111+C114)</f>
        <v>0.38701060164097717</v>
      </c>
      <c r="D116" s="600">
        <f>SUM(D110+D111+D114)</f>
        <v>0.36314676513382133</v>
      </c>
      <c r="E116" s="601">
        <f t="shared" si="13"/>
        <v>-2.3863836507155844E-2</v>
      </c>
    </row>
    <row r="117" spans="1:5" s="421" customFormat="1" x14ac:dyDescent="0.2">
      <c r="A117" s="588"/>
      <c r="B117" s="592" t="s">
        <v>798</v>
      </c>
      <c r="C117" s="600">
        <f>SUM(C109+C116)</f>
        <v>0.63889252141158714</v>
      </c>
      <c r="D117" s="600">
        <f>SUM(D109+D116)</f>
        <v>0.61335549293882974</v>
      </c>
      <c r="E117" s="601">
        <f t="shared" si="13"/>
        <v>-2.5537028472757406E-2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0.20916134514433385</v>
      </c>
      <c r="D121" s="599">
        <f t="shared" si="14"/>
        <v>0.2310084755960197</v>
      </c>
      <c r="E121" s="599">
        <f t="shared" ref="E121:E129" si="15">D121-C121</f>
        <v>2.1847130451685848E-2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8.7537584590414053E-2</v>
      </c>
      <c r="D122" s="599">
        <f t="shared" si="14"/>
        <v>9.9575092760771727E-2</v>
      </c>
      <c r="E122" s="599">
        <f t="shared" si="15"/>
        <v>1.2037508170357675E-2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6.3807547880200446E-2</v>
      </c>
      <c r="D123" s="599">
        <f t="shared" si="14"/>
        <v>5.5313034808760132E-2</v>
      </c>
      <c r="E123" s="599">
        <f t="shared" si="15"/>
        <v>-8.4945130714403141E-3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6.3807547880200446E-2</v>
      </c>
      <c r="D124" s="599">
        <f t="shared" si="14"/>
        <v>5.5313034808760132E-2</v>
      </c>
      <c r="E124" s="599">
        <f t="shared" si="15"/>
        <v>-8.4945130714403141E-3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6.0100097346448239E-4</v>
      </c>
      <c r="D126" s="599">
        <f t="shared" si="14"/>
        <v>7.4790389561874687E-4</v>
      </c>
      <c r="E126" s="599">
        <f t="shared" si="15"/>
        <v>1.4690292215426449E-4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1.9371019891642695E-3</v>
      </c>
      <c r="D127" s="599">
        <f t="shared" si="14"/>
        <v>7.7253908856487509E-3</v>
      </c>
      <c r="E127" s="599">
        <f t="shared" si="15"/>
        <v>5.7882888964844812E-3</v>
      </c>
    </row>
    <row r="128" spans="1:5" s="421" customFormat="1" x14ac:dyDescent="0.2">
      <c r="A128" s="588"/>
      <c r="B128" s="592" t="s">
        <v>800</v>
      </c>
      <c r="C128" s="600">
        <f>SUM(C122+C123+C126)</f>
        <v>0.15194613344407898</v>
      </c>
      <c r="D128" s="600">
        <f>SUM(D122+D123+D126)</f>
        <v>0.15563603146515059</v>
      </c>
      <c r="E128" s="601">
        <f t="shared" si="15"/>
        <v>3.6898980210716137E-3</v>
      </c>
    </row>
    <row r="129" spans="1:5" s="421" customFormat="1" x14ac:dyDescent="0.2">
      <c r="A129" s="588"/>
      <c r="B129" s="592" t="s">
        <v>801</v>
      </c>
      <c r="C129" s="600">
        <f>SUM(C121+C128)</f>
        <v>0.36110747858841286</v>
      </c>
      <c r="D129" s="600">
        <f>SUM(D121+D128)</f>
        <v>0.38664450706117026</v>
      </c>
      <c r="E129" s="601">
        <f t="shared" si="15"/>
        <v>2.5537028472757406E-2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9314</v>
      </c>
      <c r="D137" s="606">
        <v>9579</v>
      </c>
      <c r="E137" s="607">
        <f t="shared" ref="E137:E145" si="16">D137-C137</f>
        <v>265</v>
      </c>
    </row>
    <row r="138" spans="1:5" s="421" customFormat="1" x14ac:dyDescent="0.2">
      <c r="A138" s="588">
        <v>2</v>
      </c>
      <c r="B138" s="587" t="s">
        <v>636</v>
      </c>
      <c r="C138" s="606">
        <v>14409</v>
      </c>
      <c r="D138" s="606">
        <v>14763</v>
      </c>
      <c r="E138" s="607">
        <f t="shared" si="16"/>
        <v>354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7833</v>
      </c>
      <c r="D139" s="606">
        <f>D140+D141</f>
        <v>8114</v>
      </c>
      <c r="E139" s="607">
        <f t="shared" si="16"/>
        <v>281</v>
      </c>
    </row>
    <row r="140" spans="1:5" s="421" customFormat="1" x14ac:dyDescent="0.2">
      <c r="A140" s="588">
        <v>4</v>
      </c>
      <c r="B140" s="587" t="s">
        <v>115</v>
      </c>
      <c r="C140" s="606">
        <v>7833</v>
      </c>
      <c r="D140" s="606">
        <v>8114</v>
      </c>
      <c r="E140" s="607">
        <f t="shared" si="16"/>
        <v>281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76</v>
      </c>
      <c r="D142" s="606">
        <v>78</v>
      </c>
      <c r="E142" s="607">
        <f t="shared" si="16"/>
        <v>2</v>
      </c>
    </row>
    <row r="143" spans="1:5" s="421" customFormat="1" x14ac:dyDescent="0.2">
      <c r="A143" s="588">
        <v>7</v>
      </c>
      <c r="B143" s="587" t="s">
        <v>759</v>
      </c>
      <c r="C143" s="606">
        <v>266</v>
      </c>
      <c r="D143" s="606">
        <v>306</v>
      </c>
      <c r="E143" s="607">
        <f t="shared" si="16"/>
        <v>40</v>
      </c>
    </row>
    <row r="144" spans="1:5" s="421" customFormat="1" x14ac:dyDescent="0.2">
      <c r="A144" s="588"/>
      <c r="B144" s="592" t="s">
        <v>808</v>
      </c>
      <c r="C144" s="608">
        <f>SUM(C138+C139+C142)</f>
        <v>22318</v>
      </c>
      <c r="D144" s="608">
        <f>SUM(D138+D139+D142)</f>
        <v>22955</v>
      </c>
      <c r="E144" s="609">
        <f t="shared" si="16"/>
        <v>637</v>
      </c>
    </row>
    <row r="145" spans="1:5" s="421" customFormat="1" x14ac:dyDescent="0.2">
      <c r="A145" s="588"/>
      <c r="B145" s="592" t="s">
        <v>138</v>
      </c>
      <c r="C145" s="608">
        <f>SUM(C137+C144)</f>
        <v>31632</v>
      </c>
      <c r="D145" s="608">
        <f>SUM(D137+D144)</f>
        <v>32534</v>
      </c>
      <c r="E145" s="609">
        <f t="shared" si="16"/>
        <v>902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35656</v>
      </c>
      <c r="D149" s="610">
        <v>35380</v>
      </c>
      <c r="E149" s="607">
        <f t="shared" ref="E149:E157" si="17">D149-C149</f>
        <v>-276</v>
      </c>
    </row>
    <row r="150" spans="1:5" s="421" customFormat="1" x14ac:dyDescent="0.2">
      <c r="A150" s="588">
        <v>2</v>
      </c>
      <c r="B150" s="587" t="s">
        <v>636</v>
      </c>
      <c r="C150" s="610">
        <v>78137</v>
      </c>
      <c r="D150" s="610">
        <v>71200</v>
      </c>
      <c r="E150" s="607">
        <f t="shared" si="17"/>
        <v>-6937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38467</v>
      </c>
      <c r="D151" s="610">
        <f>D152+D153</f>
        <v>36841</v>
      </c>
      <c r="E151" s="607">
        <f t="shared" si="17"/>
        <v>-1626</v>
      </c>
    </row>
    <row r="152" spans="1:5" s="421" customFormat="1" x14ac:dyDescent="0.2">
      <c r="A152" s="588">
        <v>4</v>
      </c>
      <c r="B152" s="587" t="s">
        <v>115</v>
      </c>
      <c r="C152" s="610">
        <v>38467</v>
      </c>
      <c r="D152" s="610">
        <v>36841</v>
      </c>
      <c r="E152" s="607">
        <f t="shared" si="17"/>
        <v>-1626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230</v>
      </c>
      <c r="D154" s="610">
        <v>287</v>
      </c>
      <c r="E154" s="607">
        <f t="shared" si="17"/>
        <v>57</v>
      </c>
    </row>
    <row r="155" spans="1:5" s="421" customFormat="1" x14ac:dyDescent="0.2">
      <c r="A155" s="588">
        <v>7</v>
      </c>
      <c r="B155" s="587" t="s">
        <v>759</v>
      </c>
      <c r="C155" s="610">
        <v>978</v>
      </c>
      <c r="D155" s="610">
        <v>1053</v>
      </c>
      <c r="E155" s="607">
        <f t="shared" si="17"/>
        <v>75</v>
      </c>
    </row>
    <row r="156" spans="1:5" s="421" customFormat="1" x14ac:dyDescent="0.2">
      <c r="A156" s="588"/>
      <c r="B156" s="592" t="s">
        <v>809</v>
      </c>
      <c r="C156" s="608">
        <f>SUM(C150+C151+C154)</f>
        <v>116834</v>
      </c>
      <c r="D156" s="608">
        <f>SUM(D150+D151+D154)</f>
        <v>108328</v>
      </c>
      <c r="E156" s="609">
        <f t="shared" si="17"/>
        <v>-8506</v>
      </c>
    </row>
    <row r="157" spans="1:5" s="421" customFormat="1" x14ac:dyDescent="0.2">
      <c r="A157" s="588"/>
      <c r="B157" s="592" t="s">
        <v>140</v>
      </c>
      <c r="C157" s="608">
        <f>SUM(C149+C156)</f>
        <v>152490</v>
      </c>
      <c r="D157" s="608">
        <f>SUM(D149+D156)</f>
        <v>143708</v>
      </c>
      <c r="E157" s="609">
        <f t="shared" si="17"/>
        <v>-8782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3.828215589435259</v>
      </c>
      <c r="D161" s="612">
        <f t="shared" si="18"/>
        <v>3.693496189581376</v>
      </c>
      <c r="E161" s="613">
        <f t="shared" ref="E161:E169" si="19">D161-C161</f>
        <v>-0.13471939985388293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5.4227913109861889</v>
      </c>
      <c r="D162" s="612">
        <f t="shared" si="18"/>
        <v>4.8228679807627177</v>
      </c>
      <c r="E162" s="613">
        <f t="shared" si="19"/>
        <v>-0.59992333022347122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4.9108898250989403</v>
      </c>
      <c r="D163" s="612">
        <f t="shared" si="18"/>
        <v>4.5404239585900914</v>
      </c>
      <c r="E163" s="613">
        <f t="shared" si="19"/>
        <v>-0.37046586650884894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4.9108898250989403</v>
      </c>
      <c r="D164" s="612">
        <f t="shared" si="18"/>
        <v>4.5404239585900914</v>
      </c>
      <c r="E164" s="613">
        <f t="shared" si="19"/>
        <v>-0.37046586650884894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3.0263157894736841</v>
      </c>
      <c r="D166" s="612">
        <f t="shared" si="18"/>
        <v>3.6794871794871793</v>
      </c>
      <c r="E166" s="613">
        <f t="shared" si="19"/>
        <v>0.65317139001349522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3.6766917293233083</v>
      </c>
      <c r="D167" s="612">
        <f t="shared" si="18"/>
        <v>3.4411764705882355</v>
      </c>
      <c r="E167" s="613">
        <f t="shared" si="19"/>
        <v>-0.23551525873507284</v>
      </c>
    </row>
    <row r="168" spans="1:5" s="421" customFormat="1" x14ac:dyDescent="0.2">
      <c r="A168" s="588"/>
      <c r="B168" s="592" t="s">
        <v>811</v>
      </c>
      <c r="C168" s="614">
        <f t="shared" si="18"/>
        <v>5.2349672909758942</v>
      </c>
      <c r="D168" s="614">
        <f t="shared" si="18"/>
        <v>4.7191461555216732</v>
      </c>
      <c r="E168" s="615">
        <f t="shared" si="19"/>
        <v>-0.51582113545422104</v>
      </c>
    </row>
    <row r="169" spans="1:5" s="421" customFormat="1" x14ac:dyDescent="0.2">
      <c r="A169" s="588"/>
      <c r="B169" s="592" t="s">
        <v>745</v>
      </c>
      <c r="C169" s="614">
        <f t="shared" si="18"/>
        <v>4.8207511380880117</v>
      </c>
      <c r="D169" s="614">
        <f t="shared" si="18"/>
        <v>4.417163582713469</v>
      </c>
      <c r="E169" s="615">
        <f t="shared" si="19"/>
        <v>-0.40358755537454272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1.4554</v>
      </c>
      <c r="D173" s="617">
        <f t="shared" si="20"/>
        <v>1.4925999999999999</v>
      </c>
      <c r="E173" s="618">
        <f t="shared" ref="E173:E181" si="21">D173-C173</f>
        <v>3.71999999999999E-2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1.6785000000000003</v>
      </c>
      <c r="D174" s="617">
        <f t="shared" si="20"/>
        <v>1.7437</v>
      </c>
      <c r="E174" s="618">
        <f t="shared" si="21"/>
        <v>6.5199999999999703E-2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1.2070000000000001</v>
      </c>
      <c r="D175" s="617">
        <f t="shared" si="20"/>
        <v>1.2170000000000001</v>
      </c>
      <c r="E175" s="618">
        <f t="shared" si="21"/>
        <v>1.0000000000000009E-2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1.2070000000000001</v>
      </c>
      <c r="D176" s="617">
        <f t="shared" si="20"/>
        <v>1.2170000000000001</v>
      </c>
      <c r="E176" s="618">
        <f t="shared" si="21"/>
        <v>1.0000000000000009E-2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1.3247</v>
      </c>
      <c r="D178" s="617">
        <f t="shared" si="20"/>
        <v>0.94910000000000017</v>
      </c>
      <c r="E178" s="618">
        <f t="shared" si="21"/>
        <v>-0.37559999999999982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1.2336</v>
      </c>
      <c r="D179" s="617">
        <f t="shared" si="20"/>
        <v>1.2655000000000001</v>
      </c>
      <c r="E179" s="618">
        <f t="shared" si="21"/>
        <v>3.1900000000000039E-2</v>
      </c>
    </row>
    <row r="180" spans="1:5" s="421" customFormat="1" x14ac:dyDescent="0.2">
      <c r="A180" s="588"/>
      <c r="B180" s="592" t="s">
        <v>813</v>
      </c>
      <c r="C180" s="619">
        <f t="shared" si="20"/>
        <v>1.5118117528452371</v>
      </c>
      <c r="D180" s="619">
        <f t="shared" si="20"/>
        <v>1.5548251317795687</v>
      </c>
      <c r="E180" s="620">
        <f t="shared" si="21"/>
        <v>4.3013378934331659E-2</v>
      </c>
    </row>
    <row r="181" spans="1:5" s="421" customFormat="1" x14ac:dyDescent="0.2">
      <c r="A181" s="588"/>
      <c r="B181" s="592" t="s">
        <v>724</v>
      </c>
      <c r="C181" s="619">
        <f t="shared" si="20"/>
        <v>1.4952013878351036</v>
      </c>
      <c r="D181" s="619">
        <f t="shared" si="20"/>
        <v>1.5365041587262558</v>
      </c>
      <c r="E181" s="620">
        <f t="shared" si="21"/>
        <v>4.1302770891152196E-2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584513139</v>
      </c>
      <c r="D185" s="589">
        <v>640146525</v>
      </c>
      <c r="E185" s="590">
        <f>D185-C185</f>
        <v>55633386</v>
      </c>
    </row>
    <row r="186" spans="1:5" s="421" customFormat="1" ht="25.5" x14ac:dyDescent="0.2">
      <c r="A186" s="588">
        <v>2</v>
      </c>
      <c r="B186" s="587" t="s">
        <v>816</v>
      </c>
      <c r="C186" s="589">
        <v>285514532</v>
      </c>
      <c r="D186" s="589">
        <v>313014119</v>
      </c>
      <c r="E186" s="590">
        <f>D186-C186</f>
        <v>27499587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298998607</v>
      </c>
      <c r="D188" s="622">
        <f>+D185-D186</f>
        <v>327132406</v>
      </c>
      <c r="E188" s="590">
        <f t="shared" ref="E188:E197" si="22">D188-C188</f>
        <v>28133799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0.51153444986974017</v>
      </c>
      <c r="D189" s="623">
        <f>IF(D185=0,0,+D188/D185)</f>
        <v>0.5110273870501757</v>
      </c>
      <c r="E189" s="599">
        <f t="shared" si="22"/>
        <v>-5.0706281956447441E-4</v>
      </c>
    </row>
    <row r="190" spans="1:5" s="421" customFormat="1" x14ac:dyDescent="0.2">
      <c r="A190" s="588">
        <v>5</v>
      </c>
      <c r="B190" s="587" t="s">
        <v>763</v>
      </c>
      <c r="C190" s="589">
        <v>25885100</v>
      </c>
      <c r="D190" s="589">
        <v>28330647</v>
      </c>
      <c r="E190" s="622">
        <f t="shared" si="22"/>
        <v>2445547</v>
      </c>
    </row>
    <row r="191" spans="1:5" s="421" customFormat="1" x14ac:dyDescent="0.2">
      <c r="A191" s="588">
        <v>6</v>
      </c>
      <c r="B191" s="587" t="s">
        <v>749</v>
      </c>
      <c r="C191" s="589">
        <v>14570848</v>
      </c>
      <c r="D191" s="589">
        <v>18713914</v>
      </c>
      <c r="E191" s="622">
        <f t="shared" si="22"/>
        <v>4143066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4105108</v>
      </c>
      <c r="D193" s="589">
        <v>7595231</v>
      </c>
      <c r="E193" s="622">
        <f t="shared" si="22"/>
        <v>3490123</v>
      </c>
    </row>
    <row r="194" spans="1:5" s="421" customFormat="1" x14ac:dyDescent="0.2">
      <c r="A194" s="588">
        <v>9</v>
      </c>
      <c r="B194" s="587" t="s">
        <v>819</v>
      </c>
      <c r="C194" s="589">
        <v>20980833</v>
      </c>
      <c r="D194" s="589">
        <v>14575173</v>
      </c>
      <c r="E194" s="622">
        <f t="shared" si="22"/>
        <v>-6405660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25085941</v>
      </c>
      <c r="D195" s="589">
        <f>+D193+D194</f>
        <v>22170404</v>
      </c>
      <c r="E195" s="625">
        <f t="shared" si="22"/>
        <v>-2915537</v>
      </c>
    </row>
    <row r="196" spans="1:5" s="421" customFormat="1" x14ac:dyDescent="0.2">
      <c r="A196" s="588">
        <v>11</v>
      </c>
      <c r="B196" s="587" t="s">
        <v>821</v>
      </c>
      <c r="C196" s="589">
        <v>31281747</v>
      </c>
      <c r="D196" s="589">
        <v>37244898</v>
      </c>
      <c r="E196" s="622">
        <f t="shared" si="22"/>
        <v>5963151</v>
      </c>
    </row>
    <row r="197" spans="1:5" s="421" customFormat="1" x14ac:dyDescent="0.2">
      <c r="A197" s="588">
        <v>12</v>
      </c>
      <c r="B197" s="587" t="s">
        <v>711</v>
      </c>
      <c r="C197" s="589">
        <v>681612332</v>
      </c>
      <c r="D197" s="589">
        <v>760697798</v>
      </c>
      <c r="E197" s="622">
        <f t="shared" si="22"/>
        <v>79085466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13555.595600000001</v>
      </c>
      <c r="D203" s="629">
        <v>14297.615399999999</v>
      </c>
      <c r="E203" s="630">
        <f t="shared" ref="E203:E211" si="23">D203-C203</f>
        <v>742.01979999999821</v>
      </c>
    </row>
    <row r="204" spans="1:5" s="421" customFormat="1" x14ac:dyDescent="0.2">
      <c r="A204" s="588">
        <v>2</v>
      </c>
      <c r="B204" s="587" t="s">
        <v>636</v>
      </c>
      <c r="C204" s="629">
        <v>24185.506500000003</v>
      </c>
      <c r="D204" s="629">
        <v>25742.2431</v>
      </c>
      <c r="E204" s="630">
        <f t="shared" si="23"/>
        <v>1556.7365999999965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9454.4310000000005</v>
      </c>
      <c r="D205" s="629">
        <f>D206+D207</f>
        <v>9874.7380000000012</v>
      </c>
      <c r="E205" s="630">
        <f t="shared" si="23"/>
        <v>420.3070000000007</v>
      </c>
    </row>
    <row r="206" spans="1:5" s="421" customFormat="1" x14ac:dyDescent="0.2">
      <c r="A206" s="588">
        <v>4</v>
      </c>
      <c r="B206" s="587" t="s">
        <v>115</v>
      </c>
      <c r="C206" s="629">
        <v>9454.4310000000005</v>
      </c>
      <c r="D206" s="629">
        <v>9874.7380000000012</v>
      </c>
      <c r="E206" s="630">
        <f t="shared" si="23"/>
        <v>420.3070000000007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100.6772</v>
      </c>
      <c r="D208" s="629">
        <v>74.029800000000009</v>
      </c>
      <c r="E208" s="630">
        <f t="shared" si="23"/>
        <v>-26.64739999999999</v>
      </c>
    </row>
    <row r="209" spans="1:5" s="421" customFormat="1" x14ac:dyDescent="0.2">
      <c r="A209" s="588">
        <v>7</v>
      </c>
      <c r="B209" s="587" t="s">
        <v>759</v>
      </c>
      <c r="C209" s="629">
        <v>328.13760000000002</v>
      </c>
      <c r="D209" s="629">
        <v>387.24299999999999</v>
      </c>
      <c r="E209" s="630">
        <f t="shared" si="23"/>
        <v>59.105399999999975</v>
      </c>
    </row>
    <row r="210" spans="1:5" s="421" customFormat="1" x14ac:dyDescent="0.2">
      <c r="A210" s="588"/>
      <c r="B210" s="592" t="s">
        <v>824</v>
      </c>
      <c r="C210" s="631">
        <f>C204+C205+C208</f>
        <v>33740.614699999998</v>
      </c>
      <c r="D210" s="631">
        <f>D204+D205+D208</f>
        <v>35691.010900000001</v>
      </c>
      <c r="E210" s="632">
        <f t="shared" si="23"/>
        <v>1950.3962000000029</v>
      </c>
    </row>
    <row r="211" spans="1:5" s="421" customFormat="1" x14ac:dyDescent="0.2">
      <c r="A211" s="588"/>
      <c r="B211" s="592" t="s">
        <v>725</v>
      </c>
      <c r="C211" s="631">
        <f>C210+C203</f>
        <v>47296.210299999999</v>
      </c>
      <c r="D211" s="631">
        <f>D210+D203</f>
        <v>49988.626300000004</v>
      </c>
      <c r="E211" s="632">
        <f t="shared" si="23"/>
        <v>2692.4160000000047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10188.862617477724</v>
      </c>
      <c r="D215" s="633">
        <f>IF(D14*D137=0,0,D25/D14*D137)</f>
        <v>11439.85868452266</v>
      </c>
      <c r="E215" s="633">
        <f t="shared" ref="E215:E223" si="24">D215-C215</f>
        <v>1250.9960670449364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6387.3560568976172</v>
      </c>
      <c r="D216" s="633">
        <f>IF(D15*D138=0,0,D26/D15*D138)</f>
        <v>7997.1985209333825</v>
      </c>
      <c r="E216" s="633">
        <f t="shared" si="24"/>
        <v>1609.8424640357653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6995.6503733290238</v>
      </c>
      <c r="D217" s="633">
        <f>D218+D219</f>
        <v>8240.5966985057621</v>
      </c>
      <c r="E217" s="633">
        <f t="shared" si="24"/>
        <v>1244.9463251767384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6995.6503733290238</v>
      </c>
      <c r="D218" s="633">
        <f t="shared" si="25"/>
        <v>8240.5966985057621</v>
      </c>
      <c r="E218" s="633">
        <f t="shared" si="24"/>
        <v>1244.9463251767384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114.16412552591964</v>
      </c>
      <c r="D220" s="633">
        <f t="shared" si="25"/>
        <v>116.52524702465099</v>
      </c>
      <c r="E220" s="633">
        <f t="shared" si="24"/>
        <v>2.3611214987313502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747.64423922851222</v>
      </c>
      <c r="D221" s="633">
        <f t="shared" si="25"/>
        <v>763.71397461802223</v>
      </c>
      <c r="E221" s="633">
        <f t="shared" si="24"/>
        <v>16.069735389510015</v>
      </c>
    </row>
    <row r="222" spans="1:5" s="421" customFormat="1" x14ac:dyDescent="0.2">
      <c r="A222" s="588"/>
      <c r="B222" s="592" t="s">
        <v>826</v>
      </c>
      <c r="C222" s="634">
        <f>C216+C218+C219+C220</f>
        <v>13497.17055575256</v>
      </c>
      <c r="D222" s="634">
        <f>D216+D218+D219+D220</f>
        <v>16354.320466463794</v>
      </c>
      <c r="E222" s="634">
        <f t="shared" si="24"/>
        <v>2857.149910711234</v>
      </c>
    </row>
    <row r="223" spans="1:5" s="421" customFormat="1" x14ac:dyDescent="0.2">
      <c r="A223" s="588"/>
      <c r="B223" s="592" t="s">
        <v>827</v>
      </c>
      <c r="C223" s="634">
        <f>C215+C222</f>
        <v>23686.033173230284</v>
      </c>
      <c r="D223" s="634">
        <f>D215+D222</f>
        <v>27794.179150986456</v>
      </c>
      <c r="E223" s="634">
        <f t="shared" si="24"/>
        <v>4108.1459777561722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12483.433040743705</v>
      </c>
      <c r="D227" s="636">
        <f t="shared" si="26"/>
        <v>12456.359191197716</v>
      </c>
      <c r="E227" s="636">
        <f t="shared" ref="E227:E235" si="27">D227-C227</f>
        <v>-27.073849545988196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8432.9148533647603</v>
      </c>
      <c r="D228" s="636">
        <f t="shared" si="26"/>
        <v>7906.0658470745311</v>
      </c>
      <c r="E228" s="636">
        <f t="shared" si="27"/>
        <v>-526.84900629022923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5861.9228380851264</v>
      </c>
      <c r="D229" s="636">
        <f t="shared" si="26"/>
        <v>5523.6123733105624</v>
      </c>
      <c r="E229" s="636">
        <f t="shared" si="27"/>
        <v>-338.31046477456402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5861.9228380851264</v>
      </c>
      <c r="D230" s="636">
        <f t="shared" si="26"/>
        <v>5523.6123733105624</v>
      </c>
      <c r="E230" s="636">
        <f t="shared" si="27"/>
        <v>-338.31046477456402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6234.05299313052</v>
      </c>
      <c r="D232" s="636">
        <f t="shared" si="26"/>
        <v>5678.4970376794199</v>
      </c>
      <c r="E232" s="636">
        <f t="shared" si="27"/>
        <v>-555.55595545110009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901.98136391562559</v>
      </c>
      <c r="D233" s="636">
        <f t="shared" si="26"/>
        <v>4508.3293952376162</v>
      </c>
      <c r="E233" s="636">
        <f t="shared" si="27"/>
        <v>3606.3480313219907</v>
      </c>
    </row>
    <row r="234" spans="1:5" x14ac:dyDescent="0.2">
      <c r="A234" s="588"/>
      <c r="B234" s="592" t="s">
        <v>829</v>
      </c>
      <c r="C234" s="637">
        <f t="shared" si="26"/>
        <v>7705.9381197343746</v>
      </c>
      <c r="D234" s="637">
        <f t="shared" si="26"/>
        <v>7242.2849754586241</v>
      </c>
      <c r="E234" s="637">
        <f t="shared" si="27"/>
        <v>-463.65314427575049</v>
      </c>
    </row>
    <row r="235" spans="1:5" s="421" customFormat="1" x14ac:dyDescent="0.2">
      <c r="A235" s="588"/>
      <c r="B235" s="592" t="s">
        <v>830</v>
      </c>
      <c r="C235" s="637">
        <f t="shared" si="26"/>
        <v>9075.2188447538265</v>
      </c>
      <c r="D235" s="637">
        <f t="shared" si="26"/>
        <v>8733.6007671008956</v>
      </c>
      <c r="E235" s="637">
        <f t="shared" si="27"/>
        <v>-341.61807765293088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13791.495604127202</v>
      </c>
      <c r="D239" s="636">
        <f t="shared" si="28"/>
        <v>14373.400715383137</v>
      </c>
      <c r="E239" s="638">
        <f t="shared" ref="E239:E247" si="29">D239-C239</f>
        <v>581.90511125593548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9207.2318305305744</v>
      </c>
      <c r="D240" s="636">
        <f t="shared" si="28"/>
        <v>8862.681076938894</v>
      </c>
      <c r="E240" s="638">
        <f t="shared" si="29"/>
        <v>-344.5507535916804</v>
      </c>
    </row>
    <row r="241" spans="1:5" x14ac:dyDescent="0.2">
      <c r="A241" s="588">
        <v>3</v>
      </c>
      <c r="B241" s="587" t="s">
        <v>778</v>
      </c>
      <c r="C241" s="636">
        <f t="shared" si="28"/>
        <v>6127.7297624010107</v>
      </c>
      <c r="D241" s="636">
        <f t="shared" si="28"/>
        <v>4777.7245314212569</v>
      </c>
      <c r="E241" s="638">
        <f t="shared" si="29"/>
        <v>-1350.0052309797538</v>
      </c>
    </row>
    <row r="242" spans="1:5" x14ac:dyDescent="0.2">
      <c r="A242" s="588">
        <v>4</v>
      </c>
      <c r="B242" s="587" t="s">
        <v>115</v>
      </c>
      <c r="C242" s="636">
        <f t="shared" si="28"/>
        <v>6127.7297624010107</v>
      </c>
      <c r="D242" s="636">
        <f t="shared" si="28"/>
        <v>4777.7245314212569</v>
      </c>
      <c r="E242" s="638">
        <f t="shared" si="29"/>
        <v>-1350.0052309797538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3536.7239764678034</v>
      </c>
      <c r="D244" s="636">
        <f t="shared" si="28"/>
        <v>4568.5464188493052</v>
      </c>
      <c r="E244" s="638">
        <f t="shared" si="29"/>
        <v>1031.8224423815018</v>
      </c>
    </row>
    <row r="245" spans="1:5" x14ac:dyDescent="0.2">
      <c r="A245" s="588">
        <v>7</v>
      </c>
      <c r="B245" s="587" t="s">
        <v>759</v>
      </c>
      <c r="C245" s="636">
        <f t="shared" si="28"/>
        <v>1740.6567612196081</v>
      </c>
      <c r="D245" s="636">
        <f t="shared" si="28"/>
        <v>7200.1576280574154</v>
      </c>
      <c r="E245" s="638">
        <f t="shared" si="29"/>
        <v>5459.5008668378068</v>
      </c>
    </row>
    <row r="246" spans="1:5" ht="25.5" x14ac:dyDescent="0.2">
      <c r="A246" s="588"/>
      <c r="B246" s="592" t="s">
        <v>832</v>
      </c>
      <c r="C246" s="637">
        <f t="shared" si="28"/>
        <v>7563.1473706533652</v>
      </c>
      <c r="D246" s="637">
        <f t="shared" si="28"/>
        <v>6773.7618464286716</v>
      </c>
      <c r="E246" s="639">
        <f t="shared" si="29"/>
        <v>-789.38552422469365</v>
      </c>
    </row>
    <row r="247" spans="1:5" x14ac:dyDescent="0.2">
      <c r="A247" s="588"/>
      <c r="B247" s="592" t="s">
        <v>833</v>
      </c>
      <c r="C247" s="637">
        <f t="shared" si="28"/>
        <v>10242.354311746254</v>
      </c>
      <c r="D247" s="637">
        <f t="shared" si="28"/>
        <v>9901.7115599987919</v>
      </c>
      <c r="E247" s="639">
        <f t="shared" si="29"/>
        <v>-340.64275174746217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21543119.792578083</v>
      </c>
      <c r="D251" s="622">
        <f>((IF((IF(D15=0,0,D26/D15)*D138)=0,0,D59/(IF(D15=0,0,D26/D15)*D138)))-(IF((IF(D17=0,0,D28/D17)*D140)=0,0,D61/(IF(D17=0,0,D28/D17)*D140))))*(IF(D17=0,0,D28/D17)*D140)</f>
        <v>33662479.422532141</v>
      </c>
      <c r="E251" s="622">
        <f>D251-C251</f>
        <v>12119359.629954059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8053524.278325038</v>
      </c>
      <c r="D253" s="622">
        <f>IF(D233=0,0,(D228-D233)*D209+IF(D221=0,0,(D240-D245)*D221))</f>
        <v>2585442.0478596189</v>
      </c>
      <c r="E253" s="622">
        <f>D253-C253</f>
        <v>-5468082.2304654196</v>
      </c>
    </row>
    <row r="254" spans="1:5" ht="15" customHeight="1" x14ac:dyDescent="0.2">
      <c r="A254" s="588"/>
      <c r="B254" s="592" t="s">
        <v>760</v>
      </c>
      <c r="C254" s="640">
        <f>+C251+C252+C253</f>
        <v>29596644.070903122</v>
      </c>
      <c r="D254" s="640">
        <f>+D251+D252+D253</f>
        <v>36247921.470391758</v>
      </c>
      <c r="E254" s="640">
        <f>D254-C254</f>
        <v>6651277.3994886354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2104370392</v>
      </c>
      <c r="D258" s="625">
        <f>+D44</f>
        <v>2252204496</v>
      </c>
      <c r="E258" s="622">
        <f t="shared" ref="E258:E271" si="30">D258-C258</f>
        <v>147834104</v>
      </c>
    </row>
    <row r="259" spans="1:5" x14ac:dyDescent="0.2">
      <c r="A259" s="588">
        <v>2</v>
      </c>
      <c r="B259" s="587" t="s">
        <v>743</v>
      </c>
      <c r="C259" s="622">
        <f>+(C43-C76)</f>
        <v>1075056392</v>
      </c>
      <c r="D259" s="625">
        <f>+(D43-D76)</f>
        <v>1149881185</v>
      </c>
      <c r="E259" s="622">
        <f t="shared" si="30"/>
        <v>74824793</v>
      </c>
    </row>
    <row r="260" spans="1:5" x14ac:dyDescent="0.2">
      <c r="A260" s="588">
        <v>3</v>
      </c>
      <c r="B260" s="587" t="s">
        <v>747</v>
      </c>
      <c r="C260" s="622">
        <f>C195</f>
        <v>25085941</v>
      </c>
      <c r="D260" s="622">
        <f>D195</f>
        <v>22170404</v>
      </c>
      <c r="E260" s="622">
        <f t="shared" si="30"/>
        <v>-2915537</v>
      </c>
    </row>
    <row r="261" spans="1:5" x14ac:dyDescent="0.2">
      <c r="A261" s="588">
        <v>4</v>
      </c>
      <c r="B261" s="587" t="s">
        <v>748</v>
      </c>
      <c r="C261" s="622">
        <f>C188</f>
        <v>298998607</v>
      </c>
      <c r="D261" s="622">
        <f>D188</f>
        <v>327132406</v>
      </c>
      <c r="E261" s="622">
        <f t="shared" si="30"/>
        <v>28133799</v>
      </c>
    </row>
    <row r="262" spans="1:5" x14ac:dyDescent="0.2">
      <c r="A262" s="588">
        <v>5</v>
      </c>
      <c r="B262" s="587" t="s">
        <v>749</v>
      </c>
      <c r="C262" s="622">
        <f>C191</f>
        <v>14570848</v>
      </c>
      <c r="D262" s="622">
        <f>D191</f>
        <v>18713914</v>
      </c>
      <c r="E262" s="622">
        <f t="shared" si="30"/>
        <v>4143066</v>
      </c>
    </row>
    <row r="263" spans="1:5" x14ac:dyDescent="0.2">
      <c r="A263" s="588">
        <v>6</v>
      </c>
      <c r="B263" s="587" t="s">
        <v>750</v>
      </c>
      <c r="C263" s="622">
        <f>+C259+C260+C261+C262</f>
        <v>1413711788</v>
      </c>
      <c r="D263" s="622">
        <f>+D259+D260+D261+D262</f>
        <v>1517897909</v>
      </c>
      <c r="E263" s="622">
        <f t="shared" si="30"/>
        <v>104186121</v>
      </c>
    </row>
    <row r="264" spans="1:5" x14ac:dyDescent="0.2">
      <c r="A264" s="588">
        <v>7</v>
      </c>
      <c r="B264" s="587" t="s">
        <v>655</v>
      </c>
      <c r="C264" s="622">
        <f>+C258-C263</f>
        <v>690658604</v>
      </c>
      <c r="D264" s="622">
        <f>+D258-D263</f>
        <v>734306587</v>
      </c>
      <c r="E264" s="622">
        <f t="shared" si="30"/>
        <v>43647983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690658604</v>
      </c>
      <c r="D266" s="622">
        <f>+D264+D265</f>
        <v>734306587</v>
      </c>
      <c r="E266" s="641">
        <f t="shared" si="30"/>
        <v>43647983</v>
      </c>
    </row>
    <row r="267" spans="1:5" x14ac:dyDescent="0.2">
      <c r="A267" s="588">
        <v>10</v>
      </c>
      <c r="B267" s="587" t="s">
        <v>838</v>
      </c>
      <c r="C267" s="642">
        <f>IF(C258=0,0,C266/C258)</f>
        <v>0.32820201549385797</v>
      </c>
      <c r="D267" s="642">
        <f>IF(D258=0,0,D266/D258)</f>
        <v>0.32603903788672661</v>
      </c>
      <c r="E267" s="643">
        <f t="shared" si="30"/>
        <v>-2.1629776071313556E-3</v>
      </c>
    </row>
    <row r="268" spans="1:5" x14ac:dyDescent="0.2">
      <c r="A268" s="588">
        <v>11</v>
      </c>
      <c r="B268" s="587" t="s">
        <v>717</v>
      </c>
      <c r="C268" s="622">
        <f>+C260*C267</f>
        <v>8233256.3967600064</v>
      </c>
      <c r="D268" s="644">
        <f>+D260*D267</f>
        <v>7228417.1897200355</v>
      </c>
      <c r="E268" s="622">
        <f t="shared" si="30"/>
        <v>-1004839.2070399709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53551211.049122781</v>
      </c>
      <c r="D269" s="644">
        <f>((D17+D18+D28+D29)*D267)-(D50+D51+D61+D62)</f>
        <v>65622762.630495757</v>
      </c>
      <c r="E269" s="622">
        <f t="shared" si="30"/>
        <v>12071551.581372976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61784467.44588279</v>
      </c>
      <c r="D271" s="622">
        <f>+D268+D269+D270</f>
        <v>72851179.820215791</v>
      </c>
      <c r="E271" s="625">
        <f t="shared" si="30"/>
        <v>11066712.374333002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0.5310547771103451</v>
      </c>
      <c r="D276" s="623">
        <f t="shared" si="31"/>
        <v>0.53309550066112277</v>
      </c>
      <c r="E276" s="650">
        <f t="shared" ref="E276:E284" si="32">D276-C276</f>
        <v>2.0407235507776678E-3</v>
      </c>
    </row>
    <row r="277" spans="1:5" x14ac:dyDescent="0.2">
      <c r="A277" s="588">
        <v>2</v>
      </c>
      <c r="B277" s="587" t="s">
        <v>636</v>
      </c>
      <c r="C277" s="623">
        <f t="shared" si="31"/>
        <v>0.30360291491808661</v>
      </c>
      <c r="D277" s="623">
        <f t="shared" si="31"/>
        <v>0.30609953315218902</v>
      </c>
      <c r="E277" s="650">
        <f t="shared" si="32"/>
        <v>2.4966182341024101E-3</v>
      </c>
    </row>
    <row r="278" spans="1:5" x14ac:dyDescent="0.2">
      <c r="A278" s="588">
        <v>3</v>
      </c>
      <c r="B278" s="587" t="s">
        <v>778</v>
      </c>
      <c r="C278" s="623">
        <f t="shared" si="31"/>
        <v>0.22677991188051555</v>
      </c>
      <c r="D278" s="623">
        <f t="shared" si="31"/>
        <v>0.22467682850868292</v>
      </c>
      <c r="E278" s="650">
        <f t="shared" si="32"/>
        <v>-2.1030833718326258E-3</v>
      </c>
    </row>
    <row r="279" spans="1:5" x14ac:dyDescent="0.2">
      <c r="A279" s="588">
        <v>4</v>
      </c>
      <c r="B279" s="587" t="s">
        <v>115</v>
      </c>
      <c r="C279" s="623">
        <f t="shared" si="31"/>
        <v>0.22677991188051555</v>
      </c>
      <c r="D279" s="623">
        <f t="shared" si="31"/>
        <v>0.22467682850868292</v>
      </c>
      <c r="E279" s="650">
        <f t="shared" si="32"/>
        <v>-2.1030833718326258E-3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0.31876519859497432</v>
      </c>
      <c r="D281" s="623">
        <f t="shared" si="31"/>
        <v>0.21969371922154116</v>
      </c>
      <c r="E281" s="650">
        <f t="shared" si="32"/>
        <v>-9.9071479373433163E-2</v>
      </c>
    </row>
    <row r="282" spans="1:5" x14ac:dyDescent="0.2">
      <c r="A282" s="588">
        <v>7</v>
      </c>
      <c r="B282" s="587" t="s">
        <v>759</v>
      </c>
      <c r="C282" s="623">
        <f t="shared" si="31"/>
        <v>3.8800126530986259E-2</v>
      </c>
      <c r="D282" s="623">
        <f t="shared" si="31"/>
        <v>0.18067790007745324</v>
      </c>
      <c r="E282" s="650">
        <f t="shared" si="32"/>
        <v>0.14187777354646697</v>
      </c>
    </row>
    <row r="283" spans="1:5" ht="29.25" customHeight="1" x14ac:dyDescent="0.2">
      <c r="A283" s="588"/>
      <c r="B283" s="592" t="s">
        <v>845</v>
      </c>
      <c r="C283" s="651">
        <f t="shared" si="31"/>
        <v>0.28318713090978315</v>
      </c>
      <c r="D283" s="651">
        <f t="shared" si="31"/>
        <v>0.28418556483552354</v>
      </c>
      <c r="E283" s="652">
        <f t="shared" si="32"/>
        <v>9.9843392574039402E-4</v>
      </c>
    </row>
    <row r="284" spans="1:5" x14ac:dyDescent="0.2">
      <c r="A284" s="588"/>
      <c r="B284" s="592" t="s">
        <v>846</v>
      </c>
      <c r="C284" s="651">
        <f t="shared" si="31"/>
        <v>0.34704879908827019</v>
      </c>
      <c r="D284" s="651">
        <f t="shared" si="31"/>
        <v>0.35105022986037682</v>
      </c>
      <c r="E284" s="652">
        <f t="shared" si="32"/>
        <v>4.0014307721066289E-3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0.40311993797537526</v>
      </c>
      <c r="D287" s="623">
        <f t="shared" si="33"/>
        <v>0.41212597744956858</v>
      </c>
      <c r="E287" s="650">
        <f t="shared" ref="E287:E295" si="34">D287-C287</f>
        <v>9.006039474193317E-3</v>
      </c>
    </row>
    <row r="288" spans="1:5" x14ac:dyDescent="0.2">
      <c r="A288" s="588">
        <v>2</v>
      </c>
      <c r="B288" s="587" t="s">
        <v>636</v>
      </c>
      <c r="C288" s="623">
        <f t="shared" si="33"/>
        <v>0.19748583679005122</v>
      </c>
      <c r="D288" s="623">
        <f t="shared" si="33"/>
        <v>0.19678663256168741</v>
      </c>
      <c r="E288" s="650">
        <f t="shared" si="34"/>
        <v>-6.9920422836380891E-4</v>
      </c>
    </row>
    <row r="289" spans="1:5" x14ac:dyDescent="0.2">
      <c r="A289" s="588">
        <v>3</v>
      </c>
      <c r="B289" s="587" t="s">
        <v>778</v>
      </c>
      <c r="C289" s="623">
        <f t="shared" si="33"/>
        <v>0.19640693529091305</v>
      </c>
      <c r="D289" s="623">
        <f t="shared" si="33"/>
        <v>0.15968555015891392</v>
      </c>
      <c r="E289" s="650">
        <f t="shared" si="34"/>
        <v>-3.6721385131999129E-2</v>
      </c>
    </row>
    <row r="290" spans="1:5" x14ac:dyDescent="0.2">
      <c r="A290" s="588">
        <v>4</v>
      </c>
      <c r="B290" s="587" t="s">
        <v>115</v>
      </c>
      <c r="C290" s="623">
        <f t="shared" si="33"/>
        <v>0.19640693529091305</v>
      </c>
      <c r="D290" s="623">
        <f t="shared" si="33"/>
        <v>0.15968555015891392</v>
      </c>
      <c r="E290" s="650">
        <f t="shared" si="34"/>
        <v>-3.6721385131999129E-2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0.13651615302689635</v>
      </c>
      <c r="D292" s="623">
        <f t="shared" si="33"/>
        <v>0.18623028423721988</v>
      </c>
      <c r="E292" s="650">
        <f t="shared" si="34"/>
        <v>4.9714131210323531E-2</v>
      </c>
    </row>
    <row r="293" spans="1:5" x14ac:dyDescent="0.2">
      <c r="A293" s="588">
        <v>7</v>
      </c>
      <c r="B293" s="587" t="s">
        <v>759</v>
      </c>
      <c r="C293" s="623">
        <f t="shared" si="33"/>
        <v>6.0697996739246633E-2</v>
      </c>
      <c r="D293" s="623">
        <f t="shared" si="33"/>
        <v>0.22801806161005553</v>
      </c>
      <c r="E293" s="650">
        <f t="shared" si="34"/>
        <v>0.16732006487080889</v>
      </c>
    </row>
    <row r="294" spans="1:5" ht="29.25" customHeight="1" x14ac:dyDescent="0.2">
      <c r="A294" s="588"/>
      <c r="B294" s="592" t="s">
        <v>848</v>
      </c>
      <c r="C294" s="651">
        <f t="shared" si="33"/>
        <v>0.19668468232620451</v>
      </c>
      <c r="D294" s="651">
        <f t="shared" si="33"/>
        <v>0.18173104424982087</v>
      </c>
      <c r="E294" s="652">
        <f t="shared" si="34"/>
        <v>-1.4953638076383641E-2</v>
      </c>
    </row>
    <row r="295" spans="1:5" x14ac:dyDescent="0.2">
      <c r="A295" s="588"/>
      <c r="B295" s="592" t="s">
        <v>849</v>
      </c>
      <c r="C295" s="651">
        <f t="shared" si="33"/>
        <v>0.27962631328973958</v>
      </c>
      <c r="D295" s="651">
        <f t="shared" si="33"/>
        <v>0.27287338613358231</v>
      </c>
      <c r="E295" s="652">
        <f t="shared" si="34"/>
        <v>-6.7529271561572735E-3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671824203</v>
      </c>
      <c r="D301" s="590">
        <f>+D48+D47+D50+D51+D52+D59+D58+D61+D62+D63</f>
        <v>711790650</v>
      </c>
      <c r="E301" s="590">
        <f>D301-C301</f>
        <v>39966447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671824203</v>
      </c>
      <c r="D303" s="593">
        <f>+D301+D302</f>
        <v>711790650</v>
      </c>
      <c r="E303" s="593">
        <f>D303-C303</f>
        <v>39966447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-22591203</v>
      </c>
      <c r="D305" s="654">
        <v>18670350</v>
      </c>
      <c r="E305" s="655">
        <f>D305-C305</f>
        <v>41261553</v>
      </c>
    </row>
    <row r="306" spans="1:5" x14ac:dyDescent="0.2">
      <c r="A306" s="588">
        <v>4</v>
      </c>
      <c r="B306" s="592" t="s">
        <v>856</v>
      </c>
      <c r="C306" s="593">
        <f>+C303+C305+C194+C190-C191</f>
        <v>681528085</v>
      </c>
      <c r="D306" s="593">
        <f>+D303+D305</f>
        <v>730461000</v>
      </c>
      <c r="E306" s="656">
        <f>D306-C306</f>
        <v>48932915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649233000</v>
      </c>
      <c r="D308" s="589">
        <v>730461000</v>
      </c>
      <c r="E308" s="590">
        <f>D308-C308</f>
        <v>81228000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32295085</v>
      </c>
      <c r="D310" s="658">
        <f>D306-D308</f>
        <v>0</v>
      </c>
      <c r="E310" s="656">
        <f>D310-C310</f>
        <v>-32295085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2104370392</v>
      </c>
      <c r="D314" s="590">
        <f>+D14+D15+D16+D19+D25+D26+D27+D30</f>
        <v>2252204496</v>
      </c>
      <c r="E314" s="590">
        <f>D314-C314</f>
        <v>147834104</v>
      </c>
    </row>
    <row r="315" spans="1:5" x14ac:dyDescent="0.2">
      <c r="A315" s="588">
        <v>2</v>
      </c>
      <c r="B315" s="659" t="s">
        <v>861</v>
      </c>
      <c r="C315" s="589">
        <v>75695608</v>
      </c>
      <c r="D315" s="589">
        <v>1458143504</v>
      </c>
      <c r="E315" s="590">
        <f>D315-C315</f>
        <v>1382447896</v>
      </c>
    </row>
    <row r="316" spans="1:5" x14ac:dyDescent="0.2">
      <c r="A316" s="588"/>
      <c r="B316" s="592" t="s">
        <v>862</v>
      </c>
      <c r="C316" s="657">
        <f>C314+C315</f>
        <v>2180066000</v>
      </c>
      <c r="D316" s="657">
        <f>D314+D315</f>
        <v>3710348000</v>
      </c>
      <c r="E316" s="593">
        <f>D316-C316</f>
        <v>1530282000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2180066000</v>
      </c>
      <c r="D318" s="589">
        <v>3710348000</v>
      </c>
      <c r="E318" s="590">
        <f>D318-C318</f>
        <v>1530282000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25085941</v>
      </c>
      <c r="D324" s="589">
        <f>+D193+D194</f>
        <v>22170404</v>
      </c>
      <c r="E324" s="590">
        <f>D324-C324</f>
        <v>-2915537</v>
      </c>
    </row>
    <row r="325" spans="1:5" x14ac:dyDescent="0.2">
      <c r="A325" s="588">
        <v>2</v>
      </c>
      <c r="B325" s="587" t="s">
        <v>866</v>
      </c>
      <c r="C325" s="589">
        <v>11490059</v>
      </c>
      <c r="D325" s="589">
        <v>22818596</v>
      </c>
      <c r="E325" s="590">
        <f>D325-C325</f>
        <v>11328537</v>
      </c>
    </row>
    <row r="326" spans="1:5" x14ac:dyDescent="0.2">
      <c r="A326" s="588"/>
      <c r="B326" s="592" t="s">
        <v>867</v>
      </c>
      <c r="C326" s="657">
        <f>C324+C325</f>
        <v>36576000</v>
      </c>
      <c r="D326" s="657">
        <f>D324+D325</f>
        <v>44989000</v>
      </c>
      <c r="E326" s="593">
        <f>D326-C326</f>
        <v>8413000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36576000</v>
      </c>
      <c r="D328" s="589">
        <v>44989000</v>
      </c>
      <c r="E328" s="590">
        <f>D328-C328</f>
        <v>8413000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69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tabSelected="1" zoomScaleSheetLayoutView="75" workbookViewId="0">
      <selection activeCell="F54" sqref="F54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4.42578125" style="675" bestFit="1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334079415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664881344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242767469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242767469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1913473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9662604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909562286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1243641701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398979152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360169891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246555189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246555189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2858563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24115901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609583643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1008562795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733058567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1519145929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2252204496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178096233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203519869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54544225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54544225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420378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1745819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258484472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436580705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164429673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70876620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39371301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39371301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532351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5498861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110780272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275209945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342525906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369264744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711790650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9579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14763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8114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8114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306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22955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32534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1.4925999999999999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1.7437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1.2170000000000001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1.2170000000000001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0.94910000000000005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1.2655000000000001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1.5548251317795687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1.5365041587262556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640146525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313014119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327132406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0.5110273870501757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28330647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18713914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7595231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14575173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22170404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37244898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760697798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711790650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711790650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18670350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730461000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730461000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2252204496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1458143504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3710348000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3710348000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22170404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22818596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44989000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44989000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8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>
      <selection activeCell="F54" sqref="F54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5.42578125" style="365" bestFit="1" customWidth="1"/>
    <col min="5" max="5" width="16.42578125" style="365" bestFit="1" customWidth="1"/>
    <col min="6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940</v>
      </c>
      <c r="D12" s="185">
        <v>388</v>
      </c>
      <c r="E12" s="185">
        <f>+D12-C12</f>
        <v>-552</v>
      </c>
      <c r="F12" s="77">
        <f>IF(C12=0,0,+E12/C12)</f>
        <v>-0.58723404255319145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579</v>
      </c>
      <c r="D13" s="185">
        <v>197</v>
      </c>
      <c r="E13" s="185">
        <f>+D13-C13</f>
        <v>-382</v>
      </c>
      <c r="F13" s="77">
        <f>IF(C13=0,0,+E13/C13)</f>
        <v>-0.65975820379965455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4105108</v>
      </c>
      <c r="D15" s="76">
        <v>7595231</v>
      </c>
      <c r="E15" s="76">
        <f>+D15-C15</f>
        <v>3490123</v>
      </c>
      <c r="F15" s="77">
        <f>IF(C15=0,0,+E15/C15)</f>
        <v>0.85019029950003755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7089.9965457685666</v>
      </c>
      <c r="D16" s="79">
        <f>IF(D13=0,0,+D15/+D13)</f>
        <v>38554.472081218271</v>
      </c>
      <c r="E16" s="79">
        <f>+D16-C16</f>
        <v>31464.475535449703</v>
      </c>
      <c r="F16" s="80">
        <f>IF(C16=0,0,+E16/C16)</f>
        <v>4.4378689513224447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0.330563</v>
      </c>
      <c r="D18" s="704">
        <v>0.31915900000000003</v>
      </c>
      <c r="E18" s="704">
        <f>+D18-C18</f>
        <v>-1.140399999999997E-2</v>
      </c>
      <c r="F18" s="77">
        <f>IF(C18=0,0,+E18/C18)</f>
        <v>-3.4498718852382058E-2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1356996.815804</v>
      </c>
      <c r="D19" s="79">
        <f>+D15*D18</f>
        <v>2424086.3307290003</v>
      </c>
      <c r="E19" s="79">
        <f>+D19-C19</f>
        <v>1067089.5149250003</v>
      </c>
      <c r="F19" s="80">
        <f>IF(C19=0,0,+E19/C19)</f>
        <v>0.78636110453418118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2343.6905281588947</v>
      </c>
      <c r="D20" s="79">
        <f>IF(D13=0,0,+D19/D13)</f>
        <v>12305.006754969545</v>
      </c>
      <c r="E20" s="79">
        <f>+D20-C20</f>
        <v>9961.3162268106498</v>
      </c>
      <c r="F20" s="80">
        <f>IF(C20=0,0,+E20/C20)</f>
        <v>4.2502694392146747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1268357</v>
      </c>
      <c r="D22" s="76">
        <v>2810199</v>
      </c>
      <c r="E22" s="76">
        <f>+D22-C22</f>
        <v>1541842</v>
      </c>
      <c r="F22" s="77">
        <f>IF(C22=0,0,+E22/C22)</f>
        <v>1.2156214693497178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2153242</v>
      </c>
      <c r="D23" s="185">
        <v>2035716</v>
      </c>
      <c r="E23" s="185">
        <f>+D23-C23</f>
        <v>-117526</v>
      </c>
      <c r="F23" s="77">
        <f>IF(C23=0,0,+E23/C23)</f>
        <v>-5.4580952814407301E-2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683509</v>
      </c>
      <c r="D24" s="185">
        <v>2749316</v>
      </c>
      <c r="E24" s="185">
        <f>+D24-C24</f>
        <v>2065807</v>
      </c>
      <c r="F24" s="77">
        <f>IF(C24=0,0,+E24/C24)</f>
        <v>3.0223552286802366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4105108</v>
      </c>
      <c r="D25" s="79">
        <f>+D22+D23+D24</f>
        <v>7595231</v>
      </c>
      <c r="E25" s="79">
        <f>+E22+E23+E24</f>
        <v>3490123</v>
      </c>
      <c r="F25" s="80">
        <f>IF(C25=0,0,+E25/C25)</f>
        <v>0.85019029950003755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818</v>
      </c>
      <c r="D27" s="185">
        <v>1612</v>
      </c>
      <c r="E27" s="185">
        <f>+D27-C27</f>
        <v>794</v>
      </c>
      <c r="F27" s="77">
        <f>IF(C27=0,0,+E27/C27)</f>
        <v>0.97066014669926648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162</v>
      </c>
      <c r="D28" s="185">
        <v>338</v>
      </c>
      <c r="E28" s="185">
        <f>+D28-C28</f>
        <v>176</v>
      </c>
      <c r="F28" s="77">
        <f>IF(C28=0,0,+E28/C28)</f>
        <v>1.0864197530864197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431</v>
      </c>
      <c r="D29" s="185">
        <v>1280</v>
      </c>
      <c r="E29" s="185">
        <f>+D29-C29</f>
        <v>849</v>
      </c>
      <c r="F29" s="77">
        <f>IF(C29=0,0,+E29/C29)</f>
        <v>1.9698375870069607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1854</v>
      </c>
      <c r="D30" s="185">
        <v>3188</v>
      </c>
      <c r="E30" s="185">
        <f>+D30-C30</f>
        <v>1334</v>
      </c>
      <c r="F30" s="77">
        <f>IF(C30=0,0,+E30/C30)</f>
        <v>0.7195253505933118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7540268</v>
      </c>
      <c r="D33" s="76">
        <v>5364713</v>
      </c>
      <c r="E33" s="76">
        <f>+D33-C33</f>
        <v>-2175555</v>
      </c>
      <c r="F33" s="77">
        <f>IF(C33=0,0,+E33/C33)</f>
        <v>-0.28852489062722969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4334601</v>
      </c>
      <c r="D34" s="185">
        <v>3353583</v>
      </c>
      <c r="E34" s="185">
        <f>+D34-C34</f>
        <v>-981018</v>
      </c>
      <c r="F34" s="77">
        <f>IF(C34=0,0,+E34/C34)</f>
        <v>-0.2263225611769111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9105964</v>
      </c>
      <c r="D35" s="185">
        <v>5856877</v>
      </c>
      <c r="E35" s="185">
        <f>+D35-C35</f>
        <v>-3249087</v>
      </c>
      <c r="F35" s="77">
        <f>IF(C35=0,0,+E35/C35)</f>
        <v>-0.35680868055265758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20980833</v>
      </c>
      <c r="D36" s="79">
        <f>+D33+D34+D35</f>
        <v>14575173</v>
      </c>
      <c r="E36" s="79">
        <f>+E33+E34+E35</f>
        <v>-6405660</v>
      </c>
      <c r="F36" s="80">
        <f>IF(C36=0,0,+E36/C36)</f>
        <v>-0.30531008945164378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4105108</v>
      </c>
      <c r="D39" s="76">
        <f>+D25</f>
        <v>7595231</v>
      </c>
      <c r="E39" s="76">
        <f>+D39-C39</f>
        <v>3490123</v>
      </c>
      <c r="F39" s="77">
        <f>IF(C39=0,0,+E39/C39)</f>
        <v>0.85019029950003755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20980833</v>
      </c>
      <c r="D40" s="185">
        <f>+D36</f>
        <v>14575173</v>
      </c>
      <c r="E40" s="185">
        <f>+D40-C40</f>
        <v>-6405660</v>
      </c>
      <c r="F40" s="77">
        <f>IF(C40=0,0,+E40/C40)</f>
        <v>-0.30531008945164378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25085941</v>
      </c>
      <c r="D41" s="79">
        <f>+D39+D40</f>
        <v>22170404</v>
      </c>
      <c r="E41" s="79">
        <f>+E39+E40</f>
        <v>-2915537</v>
      </c>
      <c r="F41" s="80">
        <f>IF(C41=0,0,+E41/C41)</f>
        <v>-0.11622195077314421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8808625</v>
      </c>
      <c r="D43" s="76">
        <f t="shared" si="0"/>
        <v>8174912</v>
      </c>
      <c r="E43" s="76">
        <f>+D43-C43</f>
        <v>-633713</v>
      </c>
      <c r="F43" s="77">
        <f>IF(C43=0,0,+E43/C43)</f>
        <v>-7.1942329251160078E-2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6487843</v>
      </c>
      <c r="D44" s="185">
        <f t="shared" si="0"/>
        <v>5389299</v>
      </c>
      <c r="E44" s="185">
        <f>+D44-C44</f>
        <v>-1098544</v>
      </c>
      <c r="F44" s="77">
        <f>IF(C44=0,0,+E44/C44)</f>
        <v>-0.16932345619337583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9789473</v>
      </c>
      <c r="D45" s="185">
        <f t="shared" si="0"/>
        <v>8606193</v>
      </c>
      <c r="E45" s="185">
        <f>+D45-C45</f>
        <v>-1183280</v>
      </c>
      <c r="F45" s="77">
        <f>IF(C45=0,0,+E45/C45)</f>
        <v>-0.12087269662013471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25085941</v>
      </c>
      <c r="D46" s="79">
        <f>+D43+D44+D45</f>
        <v>22170404</v>
      </c>
      <c r="E46" s="79">
        <f>+E43+E44+E45</f>
        <v>-2915537</v>
      </c>
      <c r="F46" s="80">
        <f>IF(C46=0,0,+E46/C46)</f>
        <v>-0.11622195077314421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75" zoomScaleSheetLayoutView="90" workbookViewId="0">
      <selection activeCell="F54" sqref="F54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4.140625" style="365" bestFit="1" customWidth="1"/>
    <col min="5" max="5" width="16.42578125" style="365" bestFit="1" customWidth="1"/>
    <col min="6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584513139</v>
      </c>
      <c r="D15" s="76">
        <v>640146525</v>
      </c>
      <c r="E15" s="76">
        <f>+D15-C15</f>
        <v>55633386</v>
      </c>
      <c r="F15" s="77">
        <f>IF(C15=0,0,E15/C15)</f>
        <v>9.5179017010941822E-2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298998607</v>
      </c>
      <c r="D17" s="76">
        <v>327132406</v>
      </c>
      <c r="E17" s="76">
        <f>+D17-C17</f>
        <v>28133799</v>
      </c>
      <c r="F17" s="77">
        <f>IF(C17=0,0,E17/C17)</f>
        <v>9.4093411612449412E-2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285514532</v>
      </c>
      <c r="D19" s="79">
        <f>+D15-D17</f>
        <v>313014119</v>
      </c>
      <c r="E19" s="79">
        <f>+D19-C19</f>
        <v>27499587</v>
      </c>
      <c r="F19" s="80">
        <f>IF(C19=0,0,E19/C19)</f>
        <v>9.6315892600520939E-2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0.51153444986974017</v>
      </c>
      <c r="D21" s="720">
        <f>IF(D15=0,0,D17/D15)</f>
        <v>0.5110273870501757</v>
      </c>
      <c r="E21" s="720">
        <f>+D21-C21</f>
        <v>-5.0706281956447441E-4</v>
      </c>
      <c r="F21" s="80">
        <f>IF(C21=0,0,E21/C21)</f>
        <v>-9.9125839851762782E-4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1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5" workbookViewId="0">
      <selection activeCell="F54" sqref="F54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23.140625" style="733" bestFit="1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1145272737</v>
      </c>
      <c r="D10" s="744">
        <v>1236781283</v>
      </c>
      <c r="E10" s="744">
        <v>1243641701</v>
      </c>
    </row>
    <row r="11" spans="1:6" ht="26.1" customHeight="1" x14ac:dyDescent="0.25">
      <c r="A11" s="742">
        <v>2</v>
      </c>
      <c r="B11" s="743" t="s">
        <v>933</v>
      </c>
      <c r="C11" s="744">
        <v>843357837</v>
      </c>
      <c r="D11" s="744">
        <v>867589109</v>
      </c>
      <c r="E11" s="744">
        <v>1008562795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1988630574</v>
      </c>
      <c r="D12" s="744">
        <f>+D11+D10</f>
        <v>2104370392</v>
      </c>
      <c r="E12" s="744">
        <f>+E11+E10</f>
        <v>2252204496</v>
      </c>
    </row>
    <row r="13" spans="1:6" ht="26.1" customHeight="1" x14ac:dyDescent="0.25">
      <c r="A13" s="742">
        <v>4</v>
      </c>
      <c r="B13" s="743" t="s">
        <v>507</v>
      </c>
      <c r="C13" s="744">
        <v>648781738</v>
      </c>
      <c r="D13" s="744">
        <v>649231569</v>
      </c>
      <c r="E13" s="744">
        <v>730460340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666788583</v>
      </c>
      <c r="D16" s="744">
        <v>681612332</v>
      </c>
      <c r="E16" s="744">
        <v>760697798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151867</v>
      </c>
      <c r="D19" s="747">
        <v>152490</v>
      </c>
      <c r="E19" s="747">
        <v>143708</v>
      </c>
    </row>
    <row r="20" spans="1:5" ht="26.1" customHeight="1" x14ac:dyDescent="0.25">
      <c r="A20" s="742">
        <v>2</v>
      </c>
      <c r="B20" s="743" t="s">
        <v>381</v>
      </c>
      <c r="C20" s="748">
        <v>31234</v>
      </c>
      <c r="D20" s="748">
        <v>31632</v>
      </c>
      <c r="E20" s="748">
        <v>32534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4.8622334635333289</v>
      </c>
      <c r="D21" s="749">
        <f>IF(D20=0,0,+D19/D20)</f>
        <v>4.8207511380880117</v>
      </c>
      <c r="E21" s="749">
        <f>IF(E20=0,0,+E19/E20)</f>
        <v>4.417163582713469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263699.07326420362</v>
      </c>
      <c r="D22" s="748">
        <f>IF(D10=0,0,D19*(D12/D10))</f>
        <v>259460.13695946269</v>
      </c>
      <c r="E22" s="748">
        <f>IF(E10=0,0,E19*(E12/E10))</f>
        <v>260251.64920966895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54234.144707764921</v>
      </c>
      <c r="D23" s="748">
        <f>IF(D10=0,0,D20*(D12/D10))</f>
        <v>53821.516507979046</v>
      </c>
      <c r="E23" s="748">
        <f>IF(E10=0,0,E20*(E12/E10))</f>
        <v>58918.272854589646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1.4727576166997505</v>
      </c>
      <c r="D26" s="750">
        <v>1.4952013878351036</v>
      </c>
      <c r="E26" s="750">
        <v>1.5365041587262556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223663.28097534101</v>
      </c>
      <c r="D27" s="748">
        <f>D19*D26</f>
        <v>228003.25963097494</v>
      </c>
      <c r="E27" s="748">
        <f>E19*E26</f>
        <v>220807.93964223273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46000.111400000009</v>
      </c>
      <c r="D28" s="748">
        <f>D20*D26</f>
        <v>47296.210299999999</v>
      </c>
      <c r="E28" s="748">
        <f>E20*E26</f>
        <v>49988.626299999996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388364.8186665214</v>
      </c>
      <c r="D29" s="748">
        <f>D22*D26</f>
        <v>387945.15686967468</v>
      </c>
      <c r="E29" s="748">
        <f>E22*E26</f>
        <v>399877.74132602295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79873.749703557245</v>
      </c>
      <c r="D30" s="748">
        <f>D23*D26</f>
        <v>80474.006178120209</v>
      </c>
      <c r="E30" s="748">
        <f>E23*E26</f>
        <v>90528.171266045247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13094.553615992942</v>
      </c>
      <c r="D33" s="744">
        <f>IF(D19=0,0,D12/D19)</f>
        <v>13800.055033116925</v>
      </c>
      <c r="E33" s="744">
        <f>IF(E19=0,0,E12/E19)</f>
        <v>15672.088512817658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63668.776781712237</v>
      </c>
      <c r="D34" s="744">
        <f>IF(D20=0,0,D12/D20)</f>
        <v>66526.631006575626</v>
      </c>
      <c r="E34" s="744">
        <f>IF(E20=0,0,E12/E20)</f>
        <v>69226.178643880252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7541.2876859357202</v>
      </c>
      <c r="D35" s="744">
        <f>IF(D22=0,0,D12/D22)</f>
        <v>8110.5730408551381</v>
      </c>
      <c r="E35" s="744">
        <f>IF(E22=0,0,E12/E22)</f>
        <v>8653.9489868344135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36667.501344688484</v>
      </c>
      <c r="D36" s="744">
        <f>IF(D23=0,0,D12/D23)</f>
        <v>39099.054217248355</v>
      </c>
      <c r="E36" s="744">
        <f>IF(E23=0,0,E12/E23)</f>
        <v>38225.908311305102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5120.521938182007</v>
      </c>
      <c r="D37" s="744">
        <f>IF(D29=0,0,D12/D29)</f>
        <v>5424.4017607543865</v>
      </c>
      <c r="E37" s="744">
        <f>IF(E29=0,0,E12/E29)</f>
        <v>5632.2327132576329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24897.173118585099</v>
      </c>
      <c r="D38" s="744">
        <f>IF(D30=0,0,D12/D30)</f>
        <v>26149.690961603323</v>
      </c>
      <c r="E38" s="744">
        <f>IF(E30=0,0,E12/E30)</f>
        <v>24878.493230369088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4343.1048991686666</v>
      </c>
      <c r="D39" s="744">
        <f>IF(D22=0,0,D10/D22)</f>
        <v>4766.7487479713736</v>
      </c>
      <c r="E39" s="744">
        <f>IF(E22=0,0,E10/E22)</f>
        <v>4778.6121808514399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21117.18997637344</v>
      </c>
      <c r="D40" s="744">
        <f>IF(D23=0,0,D10/D23)</f>
        <v>22979.309451762605</v>
      </c>
      <c r="E40" s="744">
        <f>IF(E23=0,0,E10/E23)</f>
        <v>21107.91170116797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4272.03894196896</v>
      </c>
      <c r="D43" s="744">
        <f>IF(D19=0,0,D13/D19)</f>
        <v>4257.5353728113323</v>
      </c>
      <c r="E43" s="744">
        <f>IF(E19=0,0,E13/E19)</f>
        <v>5082.9483396888136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20771.650701158993</v>
      </c>
      <c r="D44" s="744">
        <f>IF(D20=0,0,D13/D20)</f>
        <v>20524.518493930198</v>
      </c>
      <c r="E44" s="744">
        <f>IF(E20=0,0,E13/E20)</f>
        <v>22452.214298887317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2460.311027904057</v>
      </c>
      <c r="D45" s="744">
        <f>IF(D22=0,0,D13/D22)</f>
        <v>2502.2401383432325</v>
      </c>
      <c r="E45" s="744">
        <f>IF(E22=0,0,E13/E22)</f>
        <v>2806.7462481727157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11962.606610575189</v>
      </c>
      <c r="D46" s="744">
        <f>IF(D23=0,0,D13/D23)</f>
        <v>12062.676994687643</v>
      </c>
      <c r="E46" s="744">
        <f>IF(E23=0,0,E13/E23)</f>
        <v>12397.857313346181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1670.5471423174706</v>
      </c>
      <c r="D47" s="744">
        <f>IF(D29=0,0,D13/D29)</f>
        <v>1673.5137879762246</v>
      </c>
      <c r="E47" s="744">
        <f>IF(E29=0,0,E13/E29)</f>
        <v>1826.709177604489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8122.5902177859816</v>
      </c>
      <c r="D48" s="744">
        <f>IF(D30=0,0,D13/D30)</f>
        <v>8067.593497992365</v>
      </c>
      <c r="E48" s="744">
        <f>IF(E30=0,0,E13/E30)</f>
        <v>8068.8732555230199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4390.6087761001399</v>
      </c>
      <c r="D51" s="744">
        <f>IF(D19=0,0,D16/D19)</f>
        <v>4469.8821693225782</v>
      </c>
      <c r="E51" s="744">
        <f>IF(E19=0,0,E16/E19)</f>
        <v>5293.3573496256295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21348.164916437217</v>
      </c>
      <c r="D52" s="744">
        <f>IF(D20=0,0,D16/D20)</f>
        <v>21548.189554881134</v>
      </c>
      <c r="E52" s="744">
        <f>IF(E20=0,0,E16/E20)</f>
        <v>23381.625315055018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2528.5966110769591</v>
      </c>
      <c r="D53" s="744">
        <f>IF(D22=0,0,D16/D22)</f>
        <v>2627.0406698601764</v>
      </c>
      <c r="E53" s="744">
        <f>IF(E22=0,0,E16/E22)</f>
        <v>2922.9317097896737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12294.627058155362</v>
      </c>
      <c r="D54" s="744">
        <f>IF(D23=0,0,D16/D23)</f>
        <v>12664.309299031938</v>
      </c>
      <c r="E54" s="744">
        <f>IF(E23=0,0,E16/E23)</f>
        <v>12911.067503241362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1716.9129410060023</v>
      </c>
      <c r="D55" s="744">
        <f>IF(D29=0,0,D16/D29)</f>
        <v>1756.9811606875637</v>
      </c>
      <c r="E55" s="744">
        <f>IF(E29=0,0,E16/E29)</f>
        <v>1902.3259346155955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8348.0315557328086</v>
      </c>
      <c r="D56" s="744">
        <f>IF(D30=0,0,D16/D30)</f>
        <v>8469.9689299837682</v>
      </c>
      <c r="E56" s="744">
        <f>IF(E30=0,0,E16/E30)</f>
        <v>8402.8848408353733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100600169</v>
      </c>
      <c r="D59" s="752">
        <v>112764341</v>
      </c>
      <c r="E59" s="752">
        <v>111359940</v>
      </c>
    </row>
    <row r="60" spans="1:6" ht="26.1" customHeight="1" x14ac:dyDescent="0.25">
      <c r="A60" s="742">
        <v>2</v>
      </c>
      <c r="B60" s="743" t="s">
        <v>969</v>
      </c>
      <c r="C60" s="752">
        <v>27335819</v>
      </c>
      <c r="D60" s="752">
        <v>29800759</v>
      </c>
      <c r="E60" s="752">
        <v>27935730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127935988</v>
      </c>
      <c r="D61" s="755">
        <f>D59+D60</f>
        <v>142565100</v>
      </c>
      <c r="E61" s="755">
        <f>E59+E60</f>
        <v>139295670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5213156</v>
      </c>
      <c r="D64" s="744">
        <v>5224559</v>
      </c>
      <c r="E64" s="752">
        <v>4782238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1416557</v>
      </c>
      <c r="D65" s="752">
        <v>1380719</v>
      </c>
      <c r="E65" s="752">
        <v>1199671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6629713</v>
      </c>
      <c r="D66" s="757">
        <f>D64+D65</f>
        <v>6605278</v>
      </c>
      <c r="E66" s="757">
        <f>E64+E65</f>
        <v>5981909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148405212</v>
      </c>
      <c r="D69" s="752">
        <v>139632328</v>
      </c>
      <c r="E69" s="752">
        <v>141852922</v>
      </c>
    </row>
    <row r="70" spans="1:6" ht="26.1" customHeight="1" x14ac:dyDescent="0.25">
      <c r="A70" s="742">
        <v>2</v>
      </c>
      <c r="B70" s="743" t="s">
        <v>977</v>
      </c>
      <c r="C70" s="752">
        <v>40325757</v>
      </c>
      <c r="D70" s="752">
        <v>36901287</v>
      </c>
      <c r="E70" s="752">
        <v>35588192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188730969</v>
      </c>
      <c r="D71" s="755">
        <f>D69+D70</f>
        <v>176533615</v>
      </c>
      <c r="E71" s="755">
        <f>E69+E70</f>
        <v>177441114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254218537</v>
      </c>
      <c r="D75" s="744">
        <f t="shared" si="0"/>
        <v>257621228</v>
      </c>
      <c r="E75" s="744">
        <f t="shared" si="0"/>
        <v>257995100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69078133</v>
      </c>
      <c r="D76" s="744">
        <f t="shared" si="0"/>
        <v>68082765</v>
      </c>
      <c r="E76" s="744">
        <f t="shared" si="0"/>
        <v>64723593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323296670</v>
      </c>
      <c r="D77" s="757">
        <f>D75+D76</f>
        <v>325703993</v>
      </c>
      <c r="E77" s="757">
        <f>E75+E76</f>
        <v>322718693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1322.9</v>
      </c>
      <c r="D80" s="749">
        <v>1402.6</v>
      </c>
      <c r="E80" s="749">
        <v>1323.3</v>
      </c>
    </row>
    <row r="81" spans="1:5" ht="26.1" customHeight="1" x14ac:dyDescent="0.25">
      <c r="A81" s="742">
        <v>2</v>
      </c>
      <c r="B81" s="743" t="s">
        <v>617</v>
      </c>
      <c r="C81" s="749">
        <v>40</v>
      </c>
      <c r="D81" s="749">
        <v>38.799999999999997</v>
      </c>
      <c r="E81" s="749">
        <v>38.1</v>
      </c>
    </row>
    <row r="82" spans="1:5" ht="26.1" customHeight="1" x14ac:dyDescent="0.25">
      <c r="A82" s="742">
        <v>3</v>
      </c>
      <c r="B82" s="743" t="s">
        <v>983</v>
      </c>
      <c r="C82" s="749">
        <v>2439.9</v>
      </c>
      <c r="D82" s="749">
        <v>2347.6999999999998</v>
      </c>
      <c r="E82" s="749">
        <v>2357.3000000000002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3802.8</v>
      </c>
      <c r="D83" s="759">
        <f>D80+D81+D82</f>
        <v>3789.0999999999995</v>
      </c>
      <c r="E83" s="759">
        <f>E80+E81+E82</f>
        <v>3718.7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76045.180285735885</v>
      </c>
      <c r="D86" s="752">
        <f>IF(D80=0,0,D59/D80)</f>
        <v>80396.649793241129</v>
      </c>
      <c r="E86" s="752">
        <f>IF(E80=0,0,E59/E80)</f>
        <v>84153.207889367492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20663.55658024038</v>
      </c>
      <c r="D87" s="752">
        <f>IF(D80=0,0,D60/D80)</f>
        <v>21246.7980892628</v>
      </c>
      <c r="E87" s="752">
        <f>IF(E80=0,0,E60/E80)</f>
        <v>21110.655180231242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96708.736865976272</v>
      </c>
      <c r="D88" s="755">
        <f>+D86+D87</f>
        <v>101643.44788250393</v>
      </c>
      <c r="E88" s="755">
        <f>+E86+E87</f>
        <v>105263.86306959874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130328.9</v>
      </c>
      <c r="D91" s="744">
        <f>IF(D81=0,0,D64/D81)</f>
        <v>134653.5824742268</v>
      </c>
      <c r="E91" s="744">
        <f>IF(E81=0,0,E64/E81)</f>
        <v>125518.05774278214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35413.925000000003</v>
      </c>
      <c r="D92" s="744">
        <f>IF(D81=0,0,D65/D81)</f>
        <v>35585.541237113408</v>
      </c>
      <c r="E92" s="744">
        <f>IF(E81=0,0,E65/E81)</f>
        <v>31487.427821522309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165742.82500000001</v>
      </c>
      <c r="D93" s="757">
        <f>+D91+D92</f>
        <v>170239.12371134022</v>
      </c>
      <c r="E93" s="757">
        <f>+E91+E92</f>
        <v>157005.48556430446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60824.300995942453</v>
      </c>
      <c r="D96" s="752">
        <f>IF(D82=0,0,D69/D82)</f>
        <v>59476.222686033143</v>
      </c>
      <c r="E96" s="752">
        <f>IF(E82=0,0,E69/E82)</f>
        <v>60176.015780766123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16527.62695192426</v>
      </c>
      <c r="D97" s="752">
        <f>IF(D82=0,0,D70/D82)</f>
        <v>15718.058951314053</v>
      </c>
      <c r="E97" s="752">
        <f>IF(E82=0,0,E70/E82)</f>
        <v>15097.014380859457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77351.927947866716</v>
      </c>
      <c r="D98" s="757">
        <f>+D96+D97</f>
        <v>75194.281637347201</v>
      </c>
      <c r="E98" s="757">
        <f>+E96+E97</f>
        <v>75273.030161625575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66850.356842326699</v>
      </c>
      <c r="D101" s="744">
        <f>IF(D83=0,0,D75/D83)</f>
        <v>67990.084188857523</v>
      </c>
      <c r="E101" s="744">
        <f>IF(E83=0,0,E75/E83)</f>
        <v>69377.766423750232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18165.071263279689</v>
      </c>
      <c r="D102" s="761">
        <f>IF(D83=0,0,D76/D83)</f>
        <v>17968.057058404374</v>
      </c>
      <c r="E102" s="761">
        <f>IF(E83=0,0,E76/E83)</f>
        <v>17404.89767929653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85015.428105606392</v>
      </c>
      <c r="D103" s="757">
        <f>+D101+D102</f>
        <v>85958.141247261898</v>
      </c>
      <c r="E103" s="757">
        <f>+E101+E102</f>
        <v>86782.664103046758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2128.8144889936589</v>
      </c>
      <c r="D108" s="744">
        <f>IF(D19=0,0,D77/D19)</f>
        <v>2135.9039477998558</v>
      </c>
      <c r="E108" s="744">
        <f>IF(E19=0,0,E77/E19)</f>
        <v>2245.6557254989284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10350.793046039573</v>
      </c>
      <c r="D109" s="744">
        <f>IF(D20=0,0,D77/D20)</f>
        <v>10296.661387202832</v>
      </c>
      <c r="E109" s="744">
        <f>IF(E20=0,0,E77/E20)</f>
        <v>9919.4286899858616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1226.0060909508193</v>
      </c>
      <c r="D110" s="744">
        <f>IF(D22=0,0,D77/D22)</f>
        <v>1255.3141951470066</v>
      </c>
      <c r="E110" s="744">
        <f>IF(E22=0,0,E77/E22)</f>
        <v>1240.0255444299034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5961.1278419167602</v>
      </c>
      <c r="D111" s="744">
        <f>IF(D23=0,0,D77/D23)</f>
        <v>6051.5573349129681</v>
      </c>
      <c r="E111" s="744">
        <f>IF(E23=0,0,E77/E23)</f>
        <v>5477.3956764902132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832.45611976404666</v>
      </c>
      <c r="D112" s="744">
        <f>IF(D29=0,0,D77/D29)</f>
        <v>839.56195156063302</v>
      </c>
      <c r="E112" s="744">
        <f>IF(E29=0,0,E77/E29)</f>
        <v>807.04340264062193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4047.5960024398569</v>
      </c>
      <c r="D113" s="744">
        <f>IF(D30=0,0,D77/D30)</f>
        <v>4047.3192334813139</v>
      </c>
      <c r="E113" s="744">
        <f>IF(E30=0,0,E77/E30)</f>
        <v>3564.8427278133181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2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J20" sqref="J20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5703125" style="56" bestFit="1" customWidth="1"/>
    <col min="5" max="5" width="16.7109375" style="91" bestFit="1" customWidth="1"/>
    <col min="6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2104370392</v>
      </c>
      <c r="D12" s="76">
        <v>2252208496</v>
      </c>
      <c r="E12" s="76">
        <f t="shared" ref="E12:E21" si="0">D12-C12</f>
        <v>147838104</v>
      </c>
      <c r="F12" s="77">
        <f t="shared" ref="F12:F21" si="1">IF(C12=0,0,E12/C12)</f>
        <v>7.0252891107964233E-2</v>
      </c>
    </row>
    <row r="13" spans="1:8" ht="23.1" customHeight="1" x14ac:dyDescent="0.2">
      <c r="A13" s="74">
        <v>2</v>
      </c>
      <c r="B13" s="75" t="s">
        <v>72</v>
      </c>
      <c r="C13" s="76">
        <v>1420599391</v>
      </c>
      <c r="D13" s="76">
        <v>1492769983</v>
      </c>
      <c r="E13" s="76">
        <f t="shared" si="0"/>
        <v>72170592</v>
      </c>
      <c r="F13" s="77">
        <f t="shared" si="1"/>
        <v>5.08029163304069E-2</v>
      </c>
    </row>
    <row r="14" spans="1:8" ht="23.1" customHeight="1" x14ac:dyDescent="0.2">
      <c r="A14" s="74">
        <v>3</v>
      </c>
      <c r="B14" s="75" t="s">
        <v>73</v>
      </c>
      <c r="C14" s="76">
        <v>13558599</v>
      </c>
      <c r="D14" s="76">
        <v>14403000</v>
      </c>
      <c r="E14" s="76">
        <f t="shared" si="0"/>
        <v>844401</v>
      </c>
      <c r="F14" s="77">
        <f t="shared" si="1"/>
        <v>6.227789464088436E-2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670212402</v>
      </c>
      <c r="D16" s="79">
        <f>D12-D13-D14-D15</f>
        <v>745035513</v>
      </c>
      <c r="E16" s="79">
        <f t="shared" si="0"/>
        <v>74823111</v>
      </c>
      <c r="F16" s="80">
        <f t="shared" si="1"/>
        <v>0.11164089291203537</v>
      </c>
    </row>
    <row r="17" spans="1:7" ht="23.1" customHeight="1" x14ac:dyDescent="0.2">
      <c r="A17" s="74">
        <v>5</v>
      </c>
      <c r="B17" s="75" t="s">
        <v>76</v>
      </c>
      <c r="C17" s="76">
        <v>20980833</v>
      </c>
      <c r="D17" s="76">
        <v>14575173</v>
      </c>
      <c r="E17" s="76">
        <f t="shared" si="0"/>
        <v>-6405660</v>
      </c>
      <c r="F17" s="77">
        <f t="shared" si="1"/>
        <v>-0.30531008945164378</v>
      </c>
      <c r="G17" s="65"/>
    </row>
    <row r="18" spans="1:7" ht="31.5" customHeight="1" x14ac:dyDescent="0.25">
      <c r="A18" s="71"/>
      <c r="B18" s="81" t="s">
        <v>77</v>
      </c>
      <c r="C18" s="79">
        <f>C16-C17</f>
        <v>649231569</v>
      </c>
      <c r="D18" s="79">
        <f>D16-D17</f>
        <v>730460340</v>
      </c>
      <c r="E18" s="79">
        <f t="shared" si="0"/>
        <v>81228771</v>
      </c>
      <c r="F18" s="80">
        <f t="shared" si="1"/>
        <v>0.1251152514427406</v>
      </c>
    </row>
    <row r="19" spans="1:7" ht="23.1" customHeight="1" x14ac:dyDescent="0.2">
      <c r="A19" s="74">
        <v>6</v>
      </c>
      <c r="B19" s="75" t="s">
        <v>78</v>
      </c>
      <c r="C19" s="76">
        <v>31281747</v>
      </c>
      <c r="D19" s="76">
        <v>37244898</v>
      </c>
      <c r="E19" s="76">
        <f t="shared" si="0"/>
        <v>5963151</v>
      </c>
      <c r="F19" s="77">
        <f t="shared" si="1"/>
        <v>0.19062717309234678</v>
      </c>
      <c r="G19" s="65"/>
    </row>
    <row r="20" spans="1:7" ht="33" customHeight="1" x14ac:dyDescent="0.2">
      <c r="A20" s="74">
        <v>7</v>
      </c>
      <c r="B20" s="82" t="s">
        <v>79</v>
      </c>
      <c r="C20" s="76">
        <v>4156122</v>
      </c>
      <c r="D20" s="76">
        <v>3396800</v>
      </c>
      <c r="E20" s="76">
        <f t="shared" si="0"/>
        <v>-759322</v>
      </c>
      <c r="F20" s="77">
        <f t="shared" si="1"/>
        <v>-0.1826996416370838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684669438</v>
      </c>
      <c r="D21" s="79">
        <f>SUM(D18:D20)</f>
        <v>771102038</v>
      </c>
      <c r="E21" s="79">
        <f t="shared" si="0"/>
        <v>86432600</v>
      </c>
      <c r="F21" s="80">
        <f t="shared" si="1"/>
        <v>0.12623989797540811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257621228</v>
      </c>
      <c r="D24" s="76">
        <v>257995100</v>
      </c>
      <c r="E24" s="76">
        <f t="shared" ref="E24:E33" si="2">D24-C24</f>
        <v>373872</v>
      </c>
      <c r="F24" s="77">
        <f t="shared" ref="F24:F33" si="3">IF(C24=0,0,E24/C24)</f>
        <v>1.4512468669701396E-3</v>
      </c>
    </row>
    <row r="25" spans="1:7" ht="23.1" customHeight="1" x14ac:dyDescent="0.2">
      <c r="A25" s="74">
        <v>2</v>
      </c>
      <c r="B25" s="75" t="s">
        <v>83</v>
      </c>
      <c r="C25" s="76">
        <v>68082765</v>
      </c>
      <c r="D25" s="76">
        <v>64723593</v>
      </c>
      <c r="E25" s="76">
        <f t="shared" si="2"/>
        <v>-3359172</v>
      </c>
      <c r="F25" s="77">
        <f t="shared" si="3"/>
        <v>-4.93395354903697E-2</v>
      </c>
    </row>
    <row r="26" spans="1:7" ht="23.1" customHeight="1" x14ac:dyDescent="0.2">
      <c r="A26" s="74">
        <v>3</v>
      </c>
      <c r="B26" s="75" t="s">
        <v>84</v>
      </c>
      <c r="C26" s="76">
        <v>47535764</v>
      </c>
      <c r="D26" s="76">
        <v>52216369</v>
      </c>
      <c r="E26" s="76">
        <f t="shared" si="2"/>
        <v>4680605</v>
      </c>
      <c r="F26" s="77">
        <f t="shared" si="3"/>
        <v>9.8464915805287156E-2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99464711</v>
      </c>
      <c r="D27" s="76">
        <v>113739471</v>
      </c>
      <c r="E27" s="76">
        <f t="shared" si="2"/>
        <v>14274760</v>
      </c>
      <c r="F27" s="77">
        <f t="shared" si="3"/>
        <v>0.14351582442138699</v>
      </c>
    </row>
    <row r="28" spans="1:7" ht="23.1" customHeight="1" x14ac:dyDescent="0.2">
      <c r="A28" s="74">
        <v>5</v>
      </c>
      <c r="B28" s="75" t="s">
        <v>86</v>
      </c>
      <c r="C28" s="76">
        <v>37713710</v>
      </c>
      <c r="D28" s="76">
        <v>43827465</v>
      </c>
      <c r="E28" s="76">
        <f t="shared" si="2"/>
        <v>6113755</v>
      </c>
      <c r="F28" s="77">
        <f t="shared" si="3"/>
        <v>0.16210961477934682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11151596</v>
      </c>
      <c r="D30" s="76">
        <v>8464953</v>
      </c>
      <c r="E30" s="76">
        <f t="shared" si="2"/>
        <v>-2686643</v>
      </c>
      <c r="F30" s="77">
        <f t="shared" si="3"/>
        <v>-0.2409200440905499</v>
      </c>
    </row>
    <row r="31" spans="1:7" ht="23.1" customHeight="1" x14ac:dyDescent="0.2">
      <c r="A31" s="74">
        <v>8</v>
      </c>
      <c r="B31" s="75" t="s">
        <v>89</v>
      </c>
      <c r="C31" s="76">
        <v>10303205</v>
      </c>
      <c r="D31" s="76">
        <v>8752762</v>
      </c>
      <c r="E31" s="76">
        <f t="shared" si="2"/>
        <v>-1550443</v>
      </c>
      <c r="F31" s="77">
        <f t="shared" si="3"/>
        <v>-0.15048162198073317</v>
      </c>
    </row>
    <row r="32" spans="1:7" ht="23.1" customHeight="1" x14ac:dyDescent="0.2">
      <c r="A32" s="74">
        <v>9</v>
      </c>
      <c r="B32" s="75" t="s">
        <v>90</v>
      </c>
      <c r="C32" s="76">
        <v>149739353</v>
      </c>
      <c r="D32" s="76">
        <v>210978085</v>
      </c>
      <c r="E32" s="76">
        <f t="shared" si="2"/>
        <v>61238732</v>
      </c>
      <c r="F32" s="77">
        <f t="shared" si="3"/>
        <v>0.40896885670395544</v>
      </c>
    </row>
    <row r="33" spans="1:6" ht="23.1" customHeight="1" x14ac:dyDescent="0.25">
      <c r="A33" s="71"/>
      <c r="B33" s="78" t="s">
        <v>91</v>
      </c>
      <c r="C33" s="79">
        <f>SUM(C24:C32)</f>
        <v>681612332</v>
      </c>
      <c r="D33" s="79">
        <f>SUM(D24:D32)</f>
        <v>760697798</v>
      </c>
      <c r="E33" s="79">
        <f t="shared" si="2"/>
        <v>79085466</v>
      </c>
      <c r="F33" s="80">
        <f t="shared" si="3"/>
        <v>0.11602704688154028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3057106</v>
      </c>
      <c r="D35" s="79">
        <f>+D21-D33</f>
        <v>10404240</v>
      </c>
      <c r="E35" s="79">
        <f>D35-C35</f>
        <v>7347134</v>
      </c>
      <c r="F35" s="80">
        <f>IF(C35=0,0,E35/C35)</f>
        <v>2.403297105170707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-2527631</v>
      </c>
      <c r="D38" s="76">
        <v>6884403</v>
      </c>
      <c r="E38" s="76">
        <f>D38-C38</f>
        <v>9412034</v>
      </c>
      <c r="F38" s="77">
        <f>IF(C38=0,0,E38/C38)</f>
        <v>-3.7236582396718507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-17532605</v>
      </c>
      <c r="D40" s="76">
        <v>-4959580</v>
      </c>
      <c r="E40" s="76">
        <f>D40-C40</f>
        <v>12573025</v>
      </c>
      <c r="F40" s="77">
        <f>IF(C40=0,0,E40/C40)</f>
        <v>-0.7171224698212274</v>
      </c>
    </row>
    <row r="41" spans="1:6" ht="23.1" customHeight="1" x14ac:dyDescent="0.25">
      <c r="A41" s="83"/>
      <c r="B41" s="78" t="s">
        <v>97</v>
      </c>
      <c r="C41" s="79">
        <f>SUM(C38:C40)</f>
        <v>-20060236</v>
      </c>
      <c r="D41" s="79">
        <f>SUM(D38:D40)</f>
        <v>1924823</v>
      </c>
      <c r="E41" s="79">
        <f>D41-C41</f>
        <v>21985059</v>
      </c>
      <c r="F41" s="80">
        <f>IF(C41=0,0,E41/C41)</f>
        <v>-1.0959521612806549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-17003130</v>
      </c>
      <c r="D43" s="79">
        <f>D35+D41</f>
        <v>12329063</v>
      </c>
      <c r="E43" s="79">
        <f>D43-C43</f>
        <v>29332193</v>
      </c>
      <c r="F43" s="80">
        <f>IF(C43=0,0,E43/C43)</f>
        <v>-1.7251054952823393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-17003130</v>
      </c>
      <c r="D50" s="79">
        <f>D43+D48</f>
        <v>12329063</v>
      </c>
      <c r="E50" s="79">
        <f>D50-C50</f>
        <v>29332193</v>
      </c>
      <c r="F50" s="80">
        <f>IF(C50=0,0,E50/C50)</f>
        <v>-1.7251054952823393</v>
      </c>
    </row>
    <row r="51" spans="1:6" ht="23.1" customHeight="1" x14ac:dyDescent="0.2">
      <c r="A51" s="85"/>
      <c r="B51" s="75" t="s">
        <v>104</v>
      </c>
      <c r="C51" s="76">
        <v>8785000</v>
      </c>
      <c r="D51" s="76">
        <v>4888255</v>
      </c>
      <c r="E51" s="76">
        <f>D51-C51</f>
        <v>-3896745</v>
      </c>
      <c r="F51" s="77">
        <f>IF(C51=0,0,E51/C51)</f>
        <v>-0.44356801365964715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fitToWidth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abSelected="1" zoomScale="75" workbookViewId="0">
      <selection activeCell="F54" sqref="F54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5703125" style="135" bestFit="1" customWidth="1"/>
    <col min="4" max="4" width="18.5703125" style="96" bestFit="1" customWidth="1"/>
    <col min="5" max="5" width="16.7109375" style="96" bestFit="1" customWidth="1"/>
    <col min="6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485425305</v>
      </c>
      <c r="D14" s="113">
        <v>475284952</v>
      </c>
      <c r="E14" s="113">
        <f t="shared" ref="E14:E25" si="0">D14-C14</f>
        <v>-10140353</v>
      </c>
      <c r="F14" s="114">
        <f t="shared" ref="F14:F25" si="1">IF(C14=0,0,E14/C14)</f>
        <v>-2.0889625850881423E-2</v>
      </c>
    </row>
    <row r="15" spans="1:6" x14ac:dyDescent="0.2">
      <c r="A15" s="115">
        <v>2</v>
      </c>
      <c r="B15" s="116" t="s">
        <v>114</v>
      </c>
      <c r="C15" s="113">
        <v>186354533</v>
      </c>
      <c r="D15" s="113">
        <v>189596392</v>
      </c>
      <c r="E15" s="113">
        <f t="shared" si="0"/>
        <v>3241859</v>
      </c>
      <c r="F15" s="114">
        <f t="shared" si="1"/>
        <v>1.7396190732854349E-2</v>
      </c>
    </row>
    <row r="16" spans="1:6" x14ac:dyDescent="0.2">
      <c r="A16" s="115">
        <v>3</v>
      </c>
      <c r="B16" s="116" t="s">
        <v>115</v>
      </c>
      <c r="C16" s="113">
        <v>244382955</v>
      </c>
      <c r="D16" s="113">
        <v>242767469</v>
      </c>
      <c r="E16" s="113">
        <f t="shared" si="0"/>
        <v>-1615486</v>
      </c>
      <c r="F16" s="114">
        <f t="shared" si="1"/>
        <v>-6.6104692121428847E-3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1968932</v>
      </c>
      <c r="D18" s="113">
        <v>1913473</v>
      </c>
      <c r="E18" s="113">
        <f t="shared" si="0"/>
        <v>-55459</v>
      </c>
      <c r="F18" s="114">
        <f t="shared" si="1"/>
        <v>-2.8167046906647869E-2</v>
      </c>
    </row>
    <row r="19" spans="1:6" x14ac:dyDescent="0.2">
      <c r="A19" s="115">
        <v>6</v>
      </c>
      <c r="B19" s="116" t="s">
        <v>118</v>
      </c>
      <c r="C19" s="113">
        <v>15198993</v>
      </c>
      <c r="D19" s="113">
        <v>16077025</v>
      </c>
      <c r="E19" s="113">
        <f t="shared" si="0"/>
        <v>878032</v>
      </c>
      <c r="F19" s="114">
        <f t="shared" si="1"/>
        <v>5.7769090360131094E-2</v>
      </c>
    </row>
    <row r="20" spans="1:6" x14ac:dyDescent="0.2">
      <c r="A20" s="115">
        <v>7</v>
      </c>
      <c r="B20" s="116" t="s">
        <v>119</v>
      </c>
      <c r="C20" s="113">
        <v>289785095</v>
      </c>
      <c r="D20" s="113">
        <v>301111592</v>
      </c>
      <c r="E20" s="113">
        <f t="shared" si="0"/>
        <v>11326497</v>
      </c>
      <c r="F20" s="114">
        <f t="shared" si="1"/>
        <v>3.9085850844053936E-2</v>
      </c>
    </row>
    <row r="21" spans="1:6" x14ac:dyDescent="0.2">
      <c r="A21" s="115">
        <v>8</v>
      </c>
      <c r="B21" s="116" t="s">
        <v>120</v>
      </c>
      <c r="C21" s="113">
        <v>6037299</v>
      </c>
      <c r="D21" s="113">
        <v>7228194</v>
      </c>
      <c r="E21" s="113">
        <f t="shared" si="0"/>
        <v>1190895</v>
      </c>
      <c r="F21" s="114">
        <f t="shared" si="1"/>
        <v>0.19725625648158224</v>
      </c>
    </row>
    <row r="22" spans="1:6" x14ac:dyDescent="0.2">
      <c r="A22" s="115">
        <v>9</v>
      </c>
      <c r="B22" s="116" t="s">
        <v>121</v>
      </c>
      <c r="C22" s="113">
        <v>7628171</v>
      </c>
      <c r="D22" s="113">
        <v>9662604</v>
      </c>
      <c r="E22" s="113">
        <f t="shared" si="0"/>
        <v>2034433</v>
      </c>
      <c r="F22" s="114">
        <f t="shared" si="1"/>
        <v>0.26669997303416509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1236781283</v>
      </c>
      <c r="D25" s="119">
        <f>SUM(D14:D24)</f>
        <v>1243641701</v>
      </c>
      <c r="E25" s="119">
        <f t="shared" si="0"/>
        <v>6860418</v>
      </c>
      <c r="F25" s="120">
        <f t="shared" si="1"/>
        <v>5.5469937120644474E-3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200813167</v>
      </c>
      <c r="D27" s="113">
        <v>240166572</v>
      </c>
      <c r="E27" s="113">
        <f t="shared" ref="E27:E38" si="2">D27-C27</f>
        <v>39353405</v>
      </c>
      <c r="F27" s="114">
        <f t="shared" ref="F27:F38" si="3">IF(C27=0,0,E27/C27)</f>
        <v>0.19597024232977711</v>
      </c>
    </row>
    <row r="28" spans="1:6" x14ac:dyDescent="0.2">
      <c r="A28" s="115">
        <v>2</v>
      </c>
      <c r="B28" s="116" t="s">
        <v>114</v>
      </c>
      <c r="C28" s="113">
        <v>96979672</v>
      </c>
      <c r="D28" s="113">
        <v>120003319</v>
      </c>
      <c r="E28" s="113">
        <f t="shared" si="2"/>
        <v>23023647</v>
      </c>
      <c r="F28" s="114">
        <f t="shared" si="3"/>
        <v>0.23740693822928169</v>
      </c>
    </row>
    <row r="29" spans="1:6" x14ac:dyDescent="0.2">
      <c r="A29" s="115">
        <v>3</v>
      </c>
      <c r="B29" s="116" t="s">
        <v>115</v>
      </c>
      <c r="C29" s="113">
        <v>218258357</v>
      </c>
      <c r="D29" s="113">
        <v>246555189</v>
      </c>
      <c r="E29" s="113">
        <f t="shared" si="2"/>
        <v>28296832</v>
      </c>
      <c r="F29" s="114">
        <f t="shared" si="3"/>
        <v>0.12964833232021444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2957650</v>
      </c>
      <c r="D31" s="113">
        <v>2858563</v>
      </c>
      <c r="E31" s="113">
        <f t="shared" si="2"/>
        <v>-99087</v>
      </c>
      <c r="F31" s="114">
        <f t="shared" si="3"/>
        <v>-3.3501935658377426E-2</v>
      </c>
    </row>
    <row r="32" spans="1:6" x14ac:dyDescent="0.2">
      <c r="A32" s="115">
        <v>6</v>
      </c>
      <c r="B32" s="116" t="s">
        <v>118</v>
      </c>
      <c r="C32" s="113">
        <v>23654818</v>
      </c>
      <c r="D32" s="113">
        <v>27769869</v>
      </c>
      <c r="E32" s="113">
        <f t="shared" si="2"/>
        <v>4115051</v>
      </c>
      <c r="F32" s="114">
        <f t="shared" si="3"/>
        <v>0.17396248831844743</v>
      </c>
    </row>
    <row r="33" spans="1:6" x14ac:dyDescent="0.2">
      <c r="A33" s="115">
        <v>7</v>
      </c>
      <c r="B33" s="116" t="s">
        <v>119</v>
      </c>
      <c r="C33" s="113">
        <v>294728044</v>
      </c>
      <c r="D33" s="113">
        <v>339034932</v>
      </c>
      <c r="E33" s="113">
        <f t="shared" si="2"/>
        <v>44306888</v>
      </c>
      <c r="F33" s="114">
        <f t="shared" si="3"/>
        <v>0.15033142892910456</v>
      </c>
    </row>
    <row r="34" spans="1:6" x14ac:dyDescent="0.2">
      <c r="A34" s="115">
        <v>8</v>
      </c>
      <c r="B34" s="116" t="s">
        <v>120</v>
      </c>
      <c r="C34" s="113">
        <v>8756957</v>
      </c>
      <c r="D34" s="113">
        <v>8058450</v>
      </c>
      <c r="E34" s="113">
        <f t="shared" si="2"/>
        <v>-698507</v>
      </c>
      <c r="F34" s="114">
        <f t="shared" si="3"/>
        <v>-7.976595066071468E-2</v>
      </c>
    </row>
    <row r="35" spans="1:6" x14ac:dyDescent="0.2">
      <c r="A35" s="115">
        <v>9</v>
      </c>
      <c r="B35" s="116" t="s">
        <v>121</v>
      </c>
      <c r="C35" s="113">
        <v>21440444</v>
      </c>
      <c r="D35" s="113">
        <v>24115901</v>
      </c>
      <c r="E35" s="113">
        <f t="shared" si="2"/>
        <v>2675457</v>
      </c>
      <c r="F35" s="114">
        <f t="shared" si="3"/>
        <v>0.12478552216549246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867589109</v>
      </c>
      <c r="D38" s="119">
        <f>SUM(D27:D37)</f>
        <v>1008562795</v>
      </c>
      <c r="E38" s="119">
        <f t="shared" si="2"/>
        <v>140973686</v>
      </c>
      <c r="F38" s="120">
        <f t="shared" si="3"/>
        <v>0.1624889991559357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686238472</v>
      </c>
      <c r="D41" s="119">
        <f t="shared" si="4"/>
        <v>715451524</v>
      </c>
      <c r="E41" s="123">
        <f t="shared" ref="E41:E52" si="5">D41-C41</f>
        <v>29213052</v>
      </c>
      <c r="F41" s="124">
        <f t="shared" ref="F41:F52" si="6">IF(C41=0,0,E41/C41)</f>
        <v>4.2569825493549422E-2</v>
      </c>
    </row>
    <row r="42" spans="1:6" ht="15.75" x14ac:dyDescent="0.25">
      <c r="A42" s="121">
        <v>2</v>
      </c>
      <c r="B42" s="122" t="s">
        <v>114</v>
      </c>
      <c r="C42" s="119">
        <f t="shared" si="4"/>
        <v>283334205</v>
      </c>
      <c r="D42" s="119">
        <f t="shared" si="4"/>
        <v>309599711</v>
      </c>
      <c r="E42" s="123">
        <f t="shared" si="5"/>
        <v>26265506</v>
      </c>
      <c r="F42" s="124">
        <f t="shared" si="6"/>
        <v>9.2701500688912586E-2</v>
      </c>
    </row>
    <row r="43" spans="1:6" ht="15.75" x14ac:dyDescent="0.25">
      <c r="A43" s="121">
        <v>3</v>
      </c>
      <c r="B43" s="122" t="s">
        <v>115</v>
      </c>
      <c r="C43" s="119">
        <f t="shared" si="4"/>
        <v>462641312</v>
      </c>
      <c r="D43" s="119">
        <f t="shared" si="4"/>
        <v>489322658</v>
      </c>
      <c r="E43" s="123">
        <f t="shared" si="5"/>
        <v>26681346</v>
      </c>
      <c r="F43" s="124">
        <f t="shared" si="6"/>
        <v>5.7671775753566946E-2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4926582</v>
      </c>
      <c r="D45" s="119">
        <f t="shared" si="4"/>
        <v>4772036</v>
      </c>
      <c r="E45" s="123">
        <f t="shared" si="5"/>
        <v>-154546</v>
      </c>
      <c r="F45" s="124">
        <f t="shared" si="6"/>
        <v>-3.1369821917101956E-2</v>
      </c>
    </row>
    <row r="46" spans="1:6" ht="15.75" x14ac:dyDescent="0.25">
      <c r="A46" s="121">
        <v>6</v>
      </c>
      <c r="B46" s="122" t="s">
        <v>118</v>
      </c>
      <c r="C46" s="119">
        <f t="shared" si="4"/>
        <v>38853811</v>
      </c>
      <c r="D46" s="119">
        <f t="shared" si="4"/>
        <v>43846894</v>
      </c>
      <c r="E46" s="123">
        <f t="shared" si="5"/>
        <v>4993083</v>
      </c>
      <c r="F46" s="124">
        <f t="shared" si="6"/>
        <v>0.1285094787741671</v>
      </c>
    </row>
    <row r="47" spans="1:6" ht="15.75" x14ac:dyDescent="0.25">
      <c r="A47" s="121">
        <v>7</v>
      </c>
      <c r="B47" s="122" t="s">
        <v>119</v>
      </c>
      <c r="C47" s="119">
        <f t="shared" si="4"/>
        <v>584513139</v>
      </c>
      <c r="D47" s="119">
        <f t="shared" si="4"/>
        <v>640146524</v>
      </c>
      <c r="E47" s="123">
        <f t="shared" si="5"/>
        <v>55633385</v>
      </c>
      <c r="F47" s="124">
        <f t="shared" si="6"/>
        <v>9.5179015300116285E-2</v>
      </c>
    </row>
    <row r="48" spans="1:6" ht="15.75" x14ac:dyDescent="0.25">
      <c r="A48" s="121">
        <v>8</v>
      </c>
      <c r="B48" s="122" t="s">
        <v>120</v>
      </c>
      <c r="C48" s="119">
        <f t="shared" si="4"/>
        <v>14794256</v>
      </c>
      <c r="D48" s="119">
        <f t="shared" si="4"/>
        <v>15286644</v>
      </c>
      <c r="E48" s="123">
        <f t="shared" si="5"/>
        <v>492388</v>
      </c>
      <c r="F48" s="124">
        <f t="shared" si="6"/>
        <v>3.3282376619682669E-2</v>
      </c>
    </row>
    <row r="49" spans="1:6" ht="15.75" x14ac:dyDescent="0.25">
      <c r="A49" s="121">
        <v>9</v>
      </c>
      <c r="B49" s="122" t="s">
        <v>121</v>
      </c>
      <c r="C49" s="119">
        <f t="shared" si="4"/>
        <v>29068615</v>
      </c>
      <c r="D49" s="119">
        <f t="shared" si="4"/>
        <v>33778505</v>
      </c>
      <c r="E49" s="123">
        <f t="shared" si="5"/>
        <v>4709890</v>
      </c>
      <c r="F49" s="124">
        <f t="shared" si="6"/>
        <v>0.16202663938409173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2104370392</v>
      </c>
      <c r="D52" s="128">
        <f>SUM(D41:D51)</f>
        <v>2252204496</v>
      </c>
      <c r="E52" s="127">
        <f t="shared" si="5"/>
        <v>147834104</v>
      </c>
      <c r="F52" s="129">
        <f t="shared" si="6"/>
        <v>7.0250990301901184E-2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150461981</v>
      </c>
      <c r="D57" s="113">
        <v>148310669</v>
      </c>
      <c r="E57" s="113">
        <f t="shared" ref="E57:E68" si="7">D57-C57</f>
        <v>-2151312</v>
      </c>
      <c r="F57" s="114">
        <f t="shared" ref="F57:F68" si="8">IF(C57=0,0,E57/C57)</f>
        <v>-1.4298043836070456E-2</v>
      </c>
    </row>
    <row r="58" spans="1:6" x14ac:dyDescent="0.2">
      <c r="A58" s="115">
        <v>2</v>
      </c>
      <c r="B58" s="116" t="s">
        <v>114</v>
      </c>
      <c r="C58" s="113">
        <v>53492336</v>
      </c>
      <c r="D58" s="113">
        <v>55209200</v>
      </c>
      <c r="E58" s="113">
        <f t="shared" si="7"/>
        <v>1716864</v>
      </c>
      <c r="F58" s="114">
        <f t="shared" si="8"/>
        <v>3.2095513645169653E-2</v>
      </c>
    </row>
    <row r="59" spans="1:6" x14ac:dyDescent="0.2">
      <c r="A59" s="115">
        <v>3</v>
      </c>
      <c r="B59" s="116" t="s">
        <v>115</v>
      </c>
      <c r="C59" s="113">
        <v>55421145</v>
      </c>
      <c r="D59" s="113">
        <v>54544225</v>
      </c>
      <c r="E59" s="113">
        <f t="shared" si="7"/>
        <v>-876920</v>
      </c>
      <c r="F59" s="114">
        <f t="shared" si="8"/>
        <v>-1.5822841624798623E-2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627627</v>
      </c>
      <c r="D61" s="113">
        <v>420378</v>
      </c>
      <c r="E61" s="113">
        <f t="shared" si="7"/>
        <v>-207249</v>
      </c>
      <c r="F61" s="114">
        <f t="shared" si="8"/>
        <v>-0.33021045939706228</v>
      </c>
    </row>
    <row r="62" spans="1:6" x14ac:dyDescent="0.2">
      <c r="A62" s="115">
        <v>6</v>
      </c>
      <c r="B62" s="116" t="s">
        <v>118</v>
      </c>
      <c r="C62" s="113">
        <v>9599885</v>
      </c>
      <c r="D62" s="113">
        <v>7450206</v>
      </c>
      <c r="E62" s="113">
        <f t="shared" si="7"/>
        <v>-2149679</v>
      </c>
      <c r="F62" s="114">
        <f t="shared" si="8"/>
        <v>-0.22392757829911505</v>
      </c>
    </row>
    <row r="63" spans="1:6" x14ac:dyDescent="0.2">
      <c r="A63" s="115">
        <v>7</v>
      </c>
      <c r="B63" s="116" t="s">
        <v>119</v>
      </c>
      <c r="C63" s="113">
        <v>154995712</v>
      </c>
      <c r="D63" s="113">
        <v>164257850</v>
      </c>
      <c r="E63" s="113">
        <f t="shared" si="7"/>
        <v>9262138</v>
      </c>
      <c r="F63" s="114">
        <f t="shared" si="8"/>
        <v>5.9757382191321526E-2</v>
      </c>
    </row>
    <row r="64" spans="1:6" x14ac:dyDescent="0.2">
      <c r="A64" s="115">
        <v>8</v>
      </c>
      <c r="B64" s="116" t="s">
        <v>120</v>
      </c>
      <c r="C64" s="113">
        <v>4328799</v>
      </c>
      <c r="D64" s="113">
        <v>4642358</v>
      </c>
      <c r="E64" s="113">
        <f t="shared" si="7"/>
        <v>313559</v>
      </c>
      <c r="F64" s="114">
        <f t="shared" si="8"/>
        <v>7.2435564691268869E-2</v>
      </c>
    </row>
    <row r="65" spans="1:6" x14ac:dyDescent="0.2">
      <c r="A65" s="115">
        <v>9</v>
      </c>
      <c r="B65" s="116" t="s">
        <v>121</v>
      </c>
      <c r="C65" s="113">
        <v>295974</v>
      </c>
      <c r="D65" s="113">
        <v>1745819</v>
      </c>
      <c r="E65" s="113">
        <f t="shared" si="7"/>
        <v>1449845</v>
      </c>
      <c r="F65" s="114">
        <f t="shared" si="8"/>
        <v>4.898555278504193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429223459</v>
      </c>
      <c r="D68" s="119">
        <f>SUM(D57:D67)</f>
        <v>436580705</v>
      </c>
      <c r="E68" s="119">
        <f t="shared" si="7"/>
        <v>7357246</v>
      </c>
      <c r="F68" s="120">
        <f t="shared" si="8"/>
        <v>1.7140829201509229E-2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40740412</v>
      </c>
      <c r="D70" s="113">
        <v>47501344</v>
      </c>
      <c r="E70" s="113">
        <f t="shared" ref="E70:E81" si="9">D70-C70</f>
        <v>6760932</v>
      </c>
      <c r="F70" s="114">
        <f t="shared" ref="F70:F81" si="10">IF(C70=0,0,E70/C70)</f>
        <v>0.16595148816855362</v>
      </c>
    </row>
    <row r="71" spans="1:6" x14ac:dyDescent="0.2">
      <c r="A71" s="115">
        <v>2</v>
      </c>
      <c r="B71" s="116" t="s">
        <v>114</v>
      </c>
      <c r="C71" s="113">
        <v>18069456</v>
      </c>
      <c r="D71" s="113">
        <v>23375276</v>
      </c>
      <c r="E71" s="113">
        <f t="shared" si="9"/>
        <v>5305820</v>
      </c>
      <c r="F71" s="114">
        <f t="shared" si="10"/>
        <v>0.29363473919746119</v>
      </c>
    </row>
    <row r="72" spans="1:6" x14ac:dyDescent="0.2">
      <c r="A72" s="115">
        <v>3</v>
      </c>
      <c r="B72" s="116" t="s">
        <v>115</v>
      </c>
      <c r="C72" s="113">
        <v>42867455</v>
      </c>
      <c r="D72" s="113">
        <v>39371301</v>
      </c>
      <c r="E72" s="113">
        <f t="shared" si="9"/>
        <v>-3496154</v>
      </c>
      <c r="F72" s="114">
        <f t="shared" si="10"/>
        <v>-8.1557302620367825E-2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403767</v>
      </c>
      <c r="D74" s="113">
        <v>532351</v>
      </c>
      <c r="E74" s="113">
        <f t="shared" si="9"/>
        <v>128584</v>
      </c>
      <c r="F74" s="114">
        <f t="shared" si="10"/>
        <v>0.31846089452580323</v>
      </c>
    </row>
    <row r="75" spans="1:6" x14ac:dyDescent="0.2">
      <c r="A75" s="115">
        <v>6</v>
      </c>
      <c r="B75" s="116" t="s">
        <v>118</v>
      </c>
      <c r="C75" s="113">
        <v>10431185</v>
      </c>
      <c r="D75" s="113">
        <v>11721020</v>
      </c>
      <c r="E75" s="113">
        <f t="shared" si="9"/>
        <v>1289835</v>
      </c>
      <c r="F75" s="114">
        <f t="shared" si="10"/>
        <v>0.12365181904069385</v>
      </c>
    </row>
    <row r="76" spans="1:6" x14ac:dyDescent="0.2">
      <c r="A76" s="115">
        <v>7</v>
      </c>
      <c r="B76" s="116" t="s">
        <v>119</v>
      </c>
      <c r="C76" s="113">
        <v>122470467</v>
      </c>
      <c r="D76" s="113">
        <v>142861503</v>
      </c>
      <c r="E76" s="113">
        <f t="shared" si="9"/>
        <v>20391036</v>
      </c>
      <c r="F76" s="114">
        <f t="shared" si="10"/>
        <v>0.16649757692195294</v>
      </c>
    </row>
    <row r="77" spans="1:6" x14ac:dyDescent="0.2">
      <c r="A77" s="115">
        <v>8</v>
      </c>
      <c r="B77" s="116" t="s">
        <v>120</v>
      </c>
      <c r="C77" s="113">
        <v>6316610</v>
      </c>
      <c r="D77" s="113">
        <v>4348289</v>
      </c>
      <c r="E77" s="113">
        <f t="shared" si="9"/>
        <v>-1968321</v>
      </c>
      <c r="F77" s="114">
        <f t="shared" si="10"/>
        <v>-0.31161034162311746</v>
      </c>
    </row>
    <row r="78" spans="1:6" x14ac:dyDescent="0.2">
      <c r="A78" s="115">
        <v>9</v>
      </c>
      <c r="B78" s="116" t="s">
        <v>121</v>
      </c>
      <c r="C78" s="113">
        <v>1301392</v>
      </c>
      <c r="D78" s="113">
        <v>5498861</v>
      </c>
      <c r="E78" s="113">
        <f t="shared" si="9"/>
        <v>4197469</v>
      </c>
      <c r="F78" s="114">
        <f t="shared" si="10"/>
        <v>3.2253686821495751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242600744</v>
      </c>
      <c r="D81" s="119">
        <f>SUM(D70:D80)</f>
        <v>275209945</v>
      </c>
      <c r="E81" s="119">
        <f t="shared" si="9"/>
        <v>32609201</v>
      </c>
      <c r="F81" s="120">
        <f t="shared" si="10"/>
        <v>0.13441509066435509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191202393</v>
      </c>
      <c r="D84" s="119">
        <f t="shared" si="11"/>
        <v>195812013</v>
      </c>
      <c r="E84" s="119">
        <f t="shared" ref="E84:E95" si="12">D84-C84</f>
        <v>4609620</v>
      </c>
      <c r="F84" s="120">
        <f t="shared" ref="F84:F95" si="13">IF(C84=0,0,E84/C84)</f>
        <v>2.4108589477747803E-2</v>
      </c>
    </row>
    <row r="85" spans="1:6" ht="15.75" x14ac:dyDescent="0.25">
      <c r="A85" s="130">
        <v>2</v>
      </c>
      <c r="B85" s="122" t="s">
        <v>114</v>
      </c>
      <c r="C85" s="119">
        <f t="shared" si="11"/>
        <v>71561792</v>
      </c>
      <c r="D85" s="119">
        <f t="shared" si="11"/>
        <v>78584476</v>
      </c>
      <c r="E85" s="119">
        <f t="shared" si="12"/>
        <v>7022684</v>
      </c>
      <c r="F85" s="120">
        <f t="shared" si="13"/>
        <v>9.8134546435058534E-2</v>
      </c>
    </row>
    <row r="86" spans="1:6" ht="15.75" x14ac:dyDescent="0.25">
      <c r="A86" s="130">
        <v>3</v>
      </c>
      <c r="B86" s="122" t="s">
        <v>115</v>
      </c>
      <c r="C86" s="119">
        <f t="shared" si="11"/>
        <v>98288600</v>
      </c>
      <c r="D86" s="119">
        <f t="shared" si="11"/>
        <v>93915526</v>
      </c>
      <c r="E86" s="119">
        <f t="shared" si="12"/>
        <v>-4373074</v>
      </c>
      <c r="F86" s="120">
        <f t="shared" si="13"/>
        <v>-4.4492179154042279E-2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1031394</v>
      </c>
      <c r="D88" s="119">
        <f t="shared" si="11"/>
        <v>952729</v>
      </c>
      <c r="E88" s="119">
        <f t="shared" si="12"/>
        <v>-78665</v>
      </c>
      <c r="F88" s="120">
        <f t="shared" si="13"/>
        <v>-7.6270561977285115E-2</v>
      </c>
    </row>
    <row r="89" spans="1:6" ht="15.75" x14ac:dyDescent="0.25">
      <c r="A89" s="130">
        <v>6</v>
      </c>
      <c r="B89" s="122" t="s">
        <v>118</v>
      </c>
      <c r="C89" s="119">
        <f t="shared" si="11"/>
        <v>20031070</v>
      </c>
      <c r="D89" s="119">
        <f t="shared" si="11"/>
        <v>19171226</v>
      </c>
      <c r="E89" s="119">
        <f t="shared" si="12"/>
        <v>-859844</v>
      </c>
      <c r="F89" s="120">
        <f t="shared" si="13"/>
        <v>-4.2925515212117973E-2</v>
      </c>
    </row>
    <row r="90" spans="1:6" ht="15.75" x14ac:dyDescent="0.25">
      <c r="A90" s="130">
        <v>7</v>
      </c>
      <c r="B90" s="122" t="s">
        <v>119</v>
      </c>
      <c r="C90" s="119">
        <f t="shared" si="11"/>
        <v>277466179</v>
      </c>
      <c r="D90" s="119">
        <f t="shared" si="11"/>
        <v>307119353</v>
      </c>
      <c r="E90" s="119">
        <f t="shared" si="12"/>
        <v>29653174</v>
      </c>
      <c r="F90" s="120">
        <f t="shared" si="13"/>
        <v>0.10687130989034883</v>
      </c>
    </row>
    <row r="91" spans="1:6" ht="15.75" x14ac:dyDescent="0.25">
      <c r="A91" s="130">
        <v>8</v>
      </c>
      <c r="B91" s="122" t="s">
        <v>120</v>
      </c>
      <c r="C91" s="119">
        <f t="shared" si="11"/>
        <v>10645409</v>
      </c>
      <c r="D91" s="119">
        <f t="shared" si="11"/>
        <v>8990647</v>
      </c>
      <c r="E91" s="119">
        <f t="shared" si="12"/>
        <v>-1654762</v>
      </c>
      <c r="F91" s="120">
        <f t="shared" si="13"/>
        <v>-0.15544372226562644</v>
      </c>
    </row>
    <row r="92" spans="1:6" ht="15.75" x14ac:dyDescent="0.25">
      <c r="A92" s="130">
        <v>9</v>
      </c>
      <c r="B92" s="122" t="s">
        <v>121</v>
      </c>
      <c r="C92" s="119">
        <f t="shared" si="11"/>
        <v>1597366</v>
      </c>
      <c r="D92" s="119">
        <f t="shared" si="11"/>
        <v>7244680</v>
      </c>
      <c r="E92" s="119">
        <f t="shared" si="12"/>
        <v>5647314</v>
      </c>
      <c r="F92" s="120">
        <f t="shared" si="13"/>
        <v>3.5353913880726147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671824203</v>
      </c>
      <c r="D95" s="128">
        <f>SUM(D84:D94)</f>
        <v>711790650</v>
      </c>
      <c r="E95" s="128">
        <f t="shared" si="12"/>
        <v>39966447</v>
      </c>
      <c r="F95" s="129">
        <f t="shared" si="13"/>
        <v>5.9489442061675765E-2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10660</v>
      </c>
      <c r="D100" s="133">
        <v>10696</v>
      </c>
      <c r="E100" s="133">
        <f t="shared" ref="E100:E111" si="14">D100-C100</f>
        <v>36</v>
      </c>
      <c r="F100" s="114">
        <f t="shared" ref="F100:F111" si="15">IF(C100=0,0,E100/C100)</f>
        <v>3.3771106941838649E-3</v>
      </c>
    </row>
    <row r="101" spans="1:6" x14ac:dyDescent="0.2">
      <c r="A101" s="115">
        <v>2</v>
      </c>
      <c r="B101" s="116" t="s">
        <v>114</v>
      </c>
      <c r="C101" s="133">
        <v>3749</v>
      </c>
      <c r="D101" s="133">
        <v>4067</v>
      </c>
      <c r="E101" s="133">
        <f t="shared" si="14"/>
        <v>318</v>
      </c>
      <c r="F101" s="114">
        <f t="shared" si="15"/>
        <v>8.482261936516404E-2</v>
      </c>
    </row>
    <row r="102" spans="1:6" x14ac:dyDescent="0.2">
      <c r="A102" s="115">
        <v>3</v>
      </c>
      <c r="B102" s="116" t="s">
        <v>115</v>
      </c>
      <c r="C102" s="133">
        <v>7833</v>
      </c>
      <c r="D102" s="133">
        <v>8114</v>
      </c>
      <c r="E102" s="133">
        <f t="shared" si="14"/>
        <v>281</v>
      </c>
      <c r="F102" s="114">
        <f t="shared" si="15"/>
        <v>3.5873866973062683E-2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76</v>
      </c>
      <c r="D104" s="133">
        <v>78</v>
      </c>
      <c r="E104" s="133">
        <f t="shared" si="14"/>
        <v>2</v>
      </c>
      <c r="F104" s="114">
        <f t="shared" si="15"/>
        <v>2.6315789473684209E-2</v>
      </c>
    </row>
    <row r="105" spans="1:6" x14ac:dyDescent="0.2">
      <c r="A105" s="115">
        <v>6</v>
      </c>
      <c r="B105" s="116" t="s">
        <v>118</v>
      </c>
      <c r="C105" s="133">
        <v>468</v>
      </c>
      <c r="D105" s="133">
        <v>459</v>
      </c>
      <c r="E105" s="133">
        <f t="shared" si="14"/>
        <v>-9</v>
      </c>
      <c r="F105" s="114">
        <f t="shared" si="15"/>
        <v>-1.9230769230769232E-2</v>
      </c>
    </row>
    <row r="106" spans="1:6" x14ac:dyDescent="0.2">
      <c r="A106" s="115">
        <v>7</v>
      </c>
      <c r="B106" s="116" t="s">
        <v>119</v>
      </c>
      <c r="C106" s="133">
        <v>8446</v>
      </c>
      <c r="D106" s="133">
        <v>8676</v>
      </c>
      <c r="E106" s="133">
        <f t="shared" si="14"/>
        <v>230</v>
      </c>
      <c r="F106" s="114">
        <f t="shared" si="15"/>
        <v>2.7231825716315414E-2</v>
      </c>
    </row>
    <row r="107" spans="1:6" x14ac:dyDescent="0.2">
      <c r="A107" s="115">
        <v>8</v>
      </c>
      <c r="B107" s="116" t="s">
        <v>120</v>
      </c>
      <c r="C107" s="133">
        <v>134</v>
      </c>
      <c r="D107" s="133">
        <v>138</v>
      </c>
      <c r="E107" s="133">
        <f t="shared" si="14"/>
        <v>4</v>
      </c>
      <c r="F107" s="114">
        <f t="shared" si="15"/>
        <v>2.9850746268656716E-2</v>
      </c>
    </row>
    <row r="108" spans="1:6" x14ac:dyDescent="0.2">
      <c r="A108" s="115">
        <v>9</v>
      </c>
      <c r="B108" s="116" t="s">
        <v>121</v>
      </c>
      <c r="C108" s="133">
        <v>266</v>
      </c>
      <c r="D108" s="133">
        <v>306</v>
      </c>
      <c r="E108" s="133">
        <f t="shared" si="14"/>
        <v>40</v>
      </c>
      <c r="F108" s="114">
        <f t="shared" si="15"/>
        <v>0.15037593984962405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31632</v>
      </c>
      <c r="D111" s="134">
        <f>SUM(D100:D110)</f>
        <v>32534</v>
      </c>
      <c r="E111" s="134">
        <f t="shared" si="14"/>
        <v>902</v>
      </c>
      <c r="F111" s="120">
        <f t="shared" si="15"/>
        <v>2.8515427415275671E-2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57188</v>
      </c>
      <c r="D113" s="133">
        <v>51430</v>
      </c>
      <c r="E113" s="133">
        <f t="shared" ref="E113:E124" si="16">D113-C113</f>
        <v>-5758</v>
      </c>
      <c r="F113" s="114">
        <f t="shared" ref="F113:F124" si="17">IF(C113=0,0,E113/C113)</f>
        <v>-0.10068545848779464</v>
      </c>
    </row>
    <row r="114" spans="1:6" x14ac:dyDescent="0.2">
      <c r="A114" s="115">
        <v>2</v>
      </c>
      <c r="B114" s="116" t="s">
        <v>114</v>
      </c>
      <c r="C114" s="133">
        <v>20949</v>
      </c>
      <c r="D114" s="133">
        <v>19770</v>
      </c>
      <c r="E114" s="133">
        <f t="shared" si="16"/>
        <v>-1179</v>
      </c>
      <c r="F114" s="114">
        <f t="shared" si="17"/>
        <v>-5.6279536016038953E-2</v>
      </c>
    </row>
    <row r="115" spans="1:6" x14ac:dyDescent="0.2">
      <c r="A115" s="115">
        <v>3</v>
      </c>
      <c r="B115" s="116" t="s">
        <v>115</v>
      </c>
      <c r="C115" s="133">
        <v>38467</v>
      </c>
      <c r="D115" s="133">
        <v>36841</v>
      </c>
      <c r="E115" s="133">
        <f t="shared" si="16"/>
        <v>-1626</v>
      </c>
      <c r="F115" s="114">
        <f t="shared" si="17"/>
        <v>-4.226999766033223E-2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230</v>
      </c>
      <c r="D117" s="133">
        <v>287</v>
      </c>
      <c r="E117" s="133">
        <f t="shared" si="16"/>
        <v>57</v>
      </c>
      <c r="F117" s="114">
        <f t="shared" si="17"/>
        <v>0.24782608695652175</v>
      </c>
    </row>
    <row r="118" spans="1:6" x14ac:dyDescent="0.2">
      <c r="A118" s="115">
        <v>6</v>
      </c>
      <c r="B118" s="116" t="s">
        <v>118</v>
      </c>
      <c r="C118" s="133">
        <v>1775</v>
      </c>
      <c r="D118" s="133">
        <v>1766</v>
      </c>
      <c r="E118" s="133">
        <f t="shared" si="16"/>
        <v>-9</v>
      </c>
      <c r="F118" s="114">
        <f t="shared" si="17"/>
        <v>-5.0704225352112674E-3</v>
      </c>
    </row>
    <row r="119" spans="1:6" x14ac:dyDescent="0.2">
      <c r="A119" s="115">
        <v>7</v>
      </c>
      <c r="B119" s="116" t="s">
        <v>119</v>
      </c>
      <c r="C119" s="133">
        <v>32566</v>
      </c>
      <c r="D119" s="133">
        <v>32198</v>
      </c>
      <c r="E119" s="133">
        <f t="shared" si="16"/>
        <v>-368</v>
      </c>
      <c r="F119" s="114">
        <f t="shared" si="17"/>
        <v>-1.1300128968863232E-2</v>
      </c>
    </row>
    <row r="120" spans="1:6" x14ac:dyDescent="0.2">
      <c r="A120" s="115">
        <v>8</v>
      </c>
      <c r="B120" s="116" t="s">
        <v>120</v>
      </c>
      <c r="C120" s="133">
        <v>337</v>
      </c>
      <c r="D120" s="133">
        <v>363</v>
      </c>
      <c r="E120" s="133">
        <f t="shared" si="16"/>
        <v>26</v>
      </c>
      <c r="F120" s="114">
        <f t="shared" si="17"/>
        <v>7.71513353115727E-2</v>
      </c>
    </row>
    <row r="121" spans="1:6" x14ac:dyDescent="0.2">
      <c r="A121" s="115">
        <v>9</v>
      </c>
      <c r="B121" s="116" t="s">
        <v>121</v>
      </c>
      <c r="C121" s="133">
        <v>978</v>
      </c>
      <c r="D121" s="133">
        <v>1053</v>
      </c>
      <c r="E121" s="133">
        <f t="shared" si="16"/>
        <v>75</v>
      </c>
      <c r="F121" s="114">
        <f t="shared" si="17"/>
        <v>7.6687116564417179E-2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152490</v>
      </c>
      <c r="D124" s="134">
        <f>SUM(D113:D123)</f>
        <v>143708</v>
      </c>
      <c r="E124" s="134">
        <f t="shared" si="16"/>
        <v>-8782</v>
      </c>
      <c r="F124" s="120">
        <f t="shared" si="17"/>
        <v>-5.7590661682733295E-2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45602</v>
      </c>
      <c r="D126" s="133">
        <v>49407</v>
      </c>
      <c r="E126" s="133">
        <f t="shared" ref="E126:E137" si="18">D126-C126</f>
        <v>3805</v>
      </c>
      <c r="F126" s="114">
        <f t="shared" ref="F126:F137" si="19">IF(C126=0,0,E126/C126)</f>
        <v>8.3439322836717691E-2</v>
      </c>
    </row>
    <row r="127" spans="1:6" x14ac:dyDescent="0.2">
      <c r="A127" s="115">
        <v>2</v>
      </c>
      <c r="B127" s="116" t="s">
        <v>114</v>
      </c>
      <c r="C127" s="133">
        <v>22570</v>
      </c>
      <c r="D127" s="133">
        <v>26403</v>
      </c>
      <c r="E127" s="133">
        <f t="shared" si="18"/>
        <v>3833</v>
      </c>
      <c r="F127" s="114">
        <f t="shared" si="19"/>
        <v>0.16982720425343376</v>
      </c>
    </row>
    <row r="128" spans="1:6" x14ac:dyDescent="0.2">
      <c r="A128" s="115">
        <v>3</v>
      </c>
      <c r="B128" s="116" t="s">
        <v>115</v>
      </c>
      <c r="C128" s="133">
        <v>89312</v>
      </c>
      <c r="D128" s="133">
        <v>94137</v>
      </c>
      <c r="E128" s="133">
        <f t="shared" si="18"/>
        <v>4825</v>
      </c>
      <c r="F128" s="114">
        <f t="shared" si="19"/>
        <v>5.4024095306341814E-2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719</v>
      </c>
      <c r="D130" s="133">
        <v>687</v>
      </c>
      <c r="E130" s="133">
        <f t="shared" si="18"/>
        <v>-32</v>
      </c>
      <c r="F130" s="114">
        <f t="shared" si="19"/>
        <v>-4.4506258692628649E-2</v>
      </c>
    </row>
    <row r="131" spans="1:6" x14ac:dyDescent="0.2">
      <c r="A131" s="115">
        <v>6</v>
      </c>
      <c r="B131" s="116" t="s">
        <v>118</v>
      </c>
      <c r="C131" s="133">
        <v>6787</v>
      </c>
      <c r="D131" s="133">
        <v>6729</v>
      </c>
      <c r="E131" s="133">
        <f t="shared" si="18"/>
        <v>-58</v>
      </c>
      <c r="F131" s="114">
        <f t="shared" si="19"/>
        <v>-8.5457492264623541E-3</v>
      </c>
    </row>
    <row r="132" spans="1:6" x14ac:dyDescent="0.2">
      <c r="A132" s="115">
        <v>7</v>
      </c>
      <c r="B132" s="116" t="s">
        <v>119</v>
      </c>
      <c r="C132" s="133">
        <v>72029</v>
      </c>
      <c r="D132" s="133">
        <v>76304</v>
      </c>
      <c r="E132" s="133">
        <f t="shared" si="18"/>
        <v>4275</v>
      </c>
      <c r="F132" s="114">
        <f t="shared" si="19"/>
        <v>5.935109469796887E-2</v>
      </c>
    </row>
    <row r="133" spans="1:6" x14ac:dyDescent="0.2">
      <c r="A133" s="115">
        <v>8</v>
      </c>
      <c r="B133" s="116" t="s">
        <v>120</v>
      </c>
      <c r="C133" s="133">
        <v>2207</v>
      </c>
      <c r="D133" s="133">
        <v>1950</v>
      </c>
      <c r="E133" s="133">
        <f t="shared" si="18"/>
        <v>-257</v>
      </c>
      <c r="F133" s="114">
        <f t="shared" si="19"/>
        <v>-0.11644766651563208</v>
      </c>
    </row>
    <row r="134" spans="1:6" x14ac:dyDescent="0.2">
      <c r="A134" s="115">
        <v>9</v>
      </c>
      <c r="B134" s="116" t="s">
        <v>121</v>
      </c>
      <c r="C134" s="133">
        <v>10236</v>
      </c>
      <c r="D134" s="133">
        <v>10629</v>
      </c>
      <c r="E134" s="133">
        <f t="shared" si="18"/>
        <v>393</v>
      </c>
      <c r="F134" s="114">
        <f t="shared" si="19"/>
        <v>3.839390386869871E-2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249462</v>
      </c>
      <c r="D137" s="134">
        <f>SUM(D126:D136)</f>
        <v>266246</v>
      </c>
      <c r="E137" s="134">
        <f t="shared" si="18"/>
        <v>16784</v>
      </c>
      <c r="F137" s="120">
        <f t="shared" si="19"/>
        <v>6.728078825632762E-2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48516920</v>
      </c>
      <c r="D142" s="113">
        <v>57099282</v>
      </c>
      <c r="E142" s="113">
        <f t="shared" ref="E142:E153" si="20">D142-C142</f>
        <v>8582362</v>
      </c>
      <c r="F142" s="114">
        <f t="shared" ref="F142:F153" si="21">IF(C142=0,0,E142/C142)</f>
        <v>0.17689420515564466</v>
      </c>
    </row>
    <row r="143" spans="1:6" x14ac:dyDescent="0.2">
      <c r="A143" s="115">
        <v>2</v>
      </c>
      <c r="B143" s="116" t="s">
        <v>114</v>
      </c>
      <c r="C143" s="113">
        <v>26203899</v>
      </c>
      <c r="D143" s="113">
        <v>37876143</v>
      </c>
      <c r="E143" s="113">
        <f t="shared" si="20"/>
        <v>11672244</v>
      </c>
      <c r="F143" s="114">
        <f t="shared" si="21"/>
        <v>0.44543920734849418</v>
      </c>
    </row>
    <row r="144" spans="1:6" x14ac:dyDescent="0.2">
      <c r="A144" s="115">
        <v>3</v>
      </c>
      <c r="B144" s="116" t="s">
        <v>115</v>
      </c>
      <c r="C144" s="113">
        <v>119276038</v>
      </c>
      <c r="D144" s="113">
        <v>127474588</v>
      </c>
      <c r="E144" s="113">
        <f t="shared" si="20"/>
        <v>8198550</v>
      </c>
      <c r="F144" s="114">
        <f t="shared" si="21"/>
        <v>6.8735935041705526E-2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577476</v>
      </c>
      <c r="D146" s="113">
        <v>585251</v>
      </c>
      <c r="E146" s="113">
        <f t="shared" si="20"/>
        <v>7775</v>
      </c>
      <c r="F146" s="114">
        <f t="shared" si="21"/>
        <v>1.3463762996211099E-2</v>
      </c>
    </row>
    <row r="147" spans="1:6" x14ac:dyDescent="0.2">
      <c r="A147" s="115">
        <v>6</v>
      </c>
      <c r="B147" s="116" t="s">
        <v>118</v>
      </c>
      <c r="C147" s="113">
        <v>6381661</v>
      </c>
      <c r="D147" s="113">
        <v>7214507</v>
      </c>
      <c r="E147" s="113">
        <f t="shared" si="20"/>
        <v>832846</v>
      </c>
      <c r="F147" s="114">
        <f t="shared" si="21"/>
        <v>0.13050614879104358</v>
      </c>
    </row>
    <row r="148" spans="1:6" x14ac:dyDescent="0.2">
      <c r="A148" s="115">
        <v>7</v>
      </c>
      <c r="B148" s="116" t="s">
        <v>119</v>
      </c>
      <c r="C148" s="113">
        <v>61801036</v>
      </c>
      <c r="D148" s="113">
        <v>70140951</v>
      </c>
      <c r="E148" s="113">
        <f t="shared" si="20"/>
        <v>8339915</v>
      </c>
      <c r="F148" s="114">
        <f t="shared" si="21"/>
        <v>0.13494781867410766</v>
      </c>
    </row>
    <row r="149" spans="1:6" x14ac:dyDescent="0.2">
      <c r="A149" s="115">
        <v>8</v>
      </c>
      <c r="B149" s="116" t="s">
        <v>120</v>
      </c>
      <c r="C149" s="113">
        <v>4147384</v>
      </c>
      <c r="D149" s="113">
        <v>3924700</v>
      </c>
      <c r="E149" s="113">
        <f t="shared" si="20"/>
        <v>-222684</v>
      </c>
      <c r="F149" s="114">
        <f t="shared" si="21"/>
        <v>-5.3692640951500996E-2</v>
      </c>
    </row>
    <row r="150" spans="1:6" x14ac:dyDescent="0.2">
      <c r="A150" s="115">
        <v>9</v>
      </c>
      <c r="B150" s="116" t="s">
        <v>121</v>
      </c>
      <c r="C150" s="113">
        <v>14170654</v>
      </c>
      <c r="D150" s="113">
        <v>15673131</v>
      </c>
      <c r="E150" s="113">
        <f t="shared" si="20"/>
        <v>1502477</v>
      </c>
      <c r="F150" s="114">
        <f t="shared" si="21"/>
        <v>0.10602735766464978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281075068</v>
      </c>
      <c r="D153" s="119">
        <f>SUM(D142:D152)</f>
        <v>319988553</v>
      </c>
      <c r="E153" s="119">
        <f t="shared" si="20"/>
        <v>38913485</v>
      </c>
      <c r="F153" s="120">
        <f t="shared" si="21"/>
        <v>0.13844516796487977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7188208</v>
      </c>
      <c r="D155" s="113">
        <v>7928104</v>
      </c>
      <c r="E155" s="113">
        <f t="shared" ref="E155:E166" si="22">D155-C155</f>
        <v>739896</v>
      </c>
      <c r="F155" s="114">
        <f t="shared" ref="F155:F166" si="23">IF(C155=0,0,E155/C155)</f>
        <v>0.10293191293295909</v>
      </c>
    </row>
    <row r="156" spans="1:6" x14ac:dyDescent="0.2">
      <c r="A156" s="115">
        <v>2</v>
      </c>
      <c r="B156" s="116" t="s">
        <v>114</v>
      </c>
      <c r="C156" s="113">
        <v>3853311</v>
      </c>
      <c r="D156" s="113">
        <v>5298379</v>
      </c>
      <c r="E156" s="113">
        <f t="shared" si="22"/>
        <v>1445068</v>
      </c>
      <c r="F156" s="114">
        <f t="shared" si="23"/>
        <v>0.37501982061660738</v>
      </c>
    </row>
    <row r="157" spans="1:6" x14ac:dyDescent="0.2">
      <c r="A157" s="115">
        <v>3</v>
      </c>
      <c r="B157" s="116" t="s">
        <v>115</v>
      </c>
      <c r="C157" s="113">
        <v>12671710</v>
      </c>
      <c r="D157" s="113">
        <v>14292884</v>
      </c>
      <c r="E157" s="113">
        <f t="shared" si="22"/>
        <v>1621174</v>
      </c>
      <c r="F157" s="114">
        <f t="shared" si="23"/>
        <v>0.12793648213224576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81164</v>
      </c>
      <c r="D159" s="113">
        <v>78614</v>
      </c>
      <c r="E159" s="113">
        <f t="shared" si="22"/>
        <v>-2550</v>
      </c>
      <c r="F159" s="114">
        <f t="shared" si="23"/>
        <v>-3.1417869991621904E-2</v>
      </c>
    </row>
    <row r="160" spans="1:6" x14ac:dyDescent="0.2">
      <c r="A160" s="115">
        <v>6</v>
      </c>
      <c r="B160" s="116" t="s">
        <v>118</v>
      </c>
      <c r="C160" s="113">
        <v>2898178</v>
      </c>
      <c r="D160" s="113">
        <v>3497036</v>
      </c>
      <c r="E160" s="113">
        <f t="shared" si="22"/>
        <v>598858</v>
      </c>
      <c r="F160" s="114">
        <f t="shared" si="23"/>
        <v>0.20663258088357581</v>
      </c>
    </row>
    <row r="161" spans="1:6" x14ac:dyDescent="0.2">
      <c r="A161" s="115">
        <v>7</v>
      </c>
      <c r="B161" s="116" t="s">
        <v>119</v>
      </c>
      <c r="C161" s="113">
        <v>28463169</v>
      </c>
      <c r="D161" s="113">
        <v>32689047</v>
      </c>
      <c r="E161" s="113">
        <f t="shared" si="22"/>
        <v>4225878</v>
      </c>
      <c r="F161" s="114">
        <f t="shared" si="23"/>
        <v>0.14846828896669939</v>
      </c>
    </row>
    <row r="162" spans="1:6" x14ac:dyDescent="0.2">
      <c r="A162" s="115">
        <v>8</v>
      </c>
      <c r="B162" s="116" t="s">
        <v>120</v>
      </c>
      <c r="C162" s="113">
        <v>2487321</v>
      </c>
      <c r="D162" s="113">
        <v>1870735</v>
      </c>
      <c r="E162" s="113">
        <f t="shared" si="22"/>
        <v>-616586</v>
      </c>
      <c r="F162" s="114">
        <f t="shared" si="23"/>
        <v>-0.24789160707443872</v>
      </c>
    </row>
    <row r="163" spans="1:6" x14ac:dyDescent="0.2">
      <c r="A163" s="115">
        <v>9</v>
      </c>
      <c r="B163" s="116" t="s">
        <v>121</v>
      </c>
      <c r="C163" s="113">
        <v>194026</v>
      </c>
      <c r="D163" s="113">
        <v>263809</v>
      </c>
      <c r="E163" s="113">
        <f t="shared" si="22"/>
        <v>69783</v>
      </c>
      <c r="F163" s="114">
        <f t="shared" si="23"/>
        <v>0.35965798398152826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57837087</v>
      </c>
      <c r="D166" s="119">
        <f>SUM(D155:D165)</f>
        <v>65918608</v>
      </c>
      <c r="E166" s="119">
        <f t="shared" si="22"/>
        <v>8081521</v>
      </c>
      <c r="F166" s="120">
        <f t="shared" si="23"/>
        <v>0.13972904617412699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9206</v>
      </c>
      <c r="D168" s="133">
        <v>10211</v>
      </c>
      <c r="E168" s="133">
        <f t="shared" ref="E168:E179" si="24">D168-C168</f>
        <v>1005</v>
      </c>
      <c r="F168" s="114">
        <f t="shared" ref="F168:F179" si="25">IF(C168=0,0,E168/C168)</f>
        <v>0.10916793395611557</v>
      </c>
    </row>
    <row r="169" spans="1:6" x14ac:dyDescent="0.2">
      <c r="A169" s="115">
        <v>2</v>
      </c>
      <c r="B169" s="116" t="s">
        <v>114</v>
      </c>
      <c r="C169" s="133">
        <v>4429</v>
      </c>
      <c r="D169" s="133">
        <v>5631</v>
      </c>
      <c r="E169" s="133">
        <f t="shared" si="24"/>
        <v>1202</v>
      </c>
      <c r="F169" s="114">
        <f t="shared" si="25"/>
        <v>0.27139309099119441</v>
      </c>
    </row>
    <row r="170" spans="1:6" x14ac:dyDescent="0.2">
      <c r="A170" s="115">
        <v>3</v>
      </c>
      <c r="B170" s="116" t="s">
        <v>115</v>
      </c>
      <c r="C170" s="133">
        <v>32138</v>
      </c>
      <c r="D170" s="133">
        <v>33746</v>
      </c>
      <c r="E170" s="133">
        <f t="shared" si="24"/>
        <v>1608</v>
      </c>
      <c r="F170" s="114">
        <f t="shared" si="25"/>
        <v>5.0034227394361815E-2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131</v>
      </c>
      <c r="D172" s="133">
        <v>118</v>
      </c>
      <c r="E172" s="133">
        <f t="shared" si="24"/>
        <v>-13</v>
      </c>
      <c r="F172" s="114">
        <f t="shared" si="25"/>
        <v>-9.9236641221374045E-2</v>
      </c>
    </row>
    <row r="173" spans="1:6" x14ac:dyDescent="0.2">
      <c r="A173" s="115">
        <v>6</v>
      </c>
      <c r="B173" s="116" t="s">
        <v>118</v>
      </c>
      <c r="C173" s="133">
        <v>1342</v>
      </c>
      <c r="D173" s="133">
        <v>1523</v>
      </c>
      <c r="E173" s="133">
        <f t="shared" si="24"/>
        <v>181</v>
      </c>
      <c r="F173" s="114">
        <f t="shared" si="25"/>
        <v>0.13487332339791355</v>
      </c>
    </row>
    <row r="174" spans="1:6" x14ac:dyDescent="0.2">
      <c r="A174" s="115">
        <v>7</v>
      </c>
      <c r="B174" s="116" t="s">
        <v>119</v>
      </c>
      <c r="C174" s="133">
        <v>12743</v>
      </c>
      <c r="D174" s="133">
        <v>13602</v>
      </c>
      <c r="E174" s="133">
        <f t="shared" si="24"/>
        <v>859</v>
      </c>
      <c r="F174" s="114">
        <f t="shared" si="25"/>
        <v>6.7409558188809546E-2</v>
      </c>
    </row>
    <row r="175" spans="1:6" x14ac:dyDescent="0.2">
      <c r="A175" s="115">
        <v>8</v>
      </c>
      <c r="B175" s="116" t="s">
        <v>120</v>
      </c>
      <c r="C175" s="133">
        <v>1317</v>
      </c>
      <c r="D175" s="133">
        <v>1192</v>
      </c>
      <c r="E175" s="133">
        <f t="shared" si="24"/>
        <v>-125</v>
      </c>
      <c r="F175" s="114">
        <f t="shared" si="25"/>
        <v>-9.4912680334092642E-2</v>
      </c>
    </row>
    <row r="176" spans="1:6" x14ac:dyDescent="0.2">
      <c r="A176" s="115">
        <v>9</v>
      </c>
      <c r="B176" s="116" t="s">
        <v>121</v>
      </c>
      <c r="C176" s="133">
        <v>4058</v>
      </c>
      <c r="D176" s="133">
        <v>4334</v>
      </c>
      <c r="E176" s="133">
        <f t="shared" si="24"/>
        <v>276</v>
      </c>
      <c r="F176" s="114">
        <f t="shared" si="25"/>
        <v>6.8013799901429278E-2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65364</v>
      </c>
      <c r="D179" s="134">
        <f>SUM(D168:D178)</f>
        <v>70357</v>
      </c>
      <c r="E179" s="134">
        <f t="shared" si="24"/>
        <v>4993</v>
      </c>
      <c r="F179" s="120">
        <f t="shared" si="25"/>
        <v>7.6387613977112787E-2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abSelected="1" topLeftCell="B1" zoomScale="75" workbookViewId="0">
      <selection activeCell="F54" sqref="F54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6.7109375" style="172" bestFit="1" customWidth="1"/>
    <col min="4" max="4" width="16.7109375" style="137" bestFit="1" customWidth="1"/>
    <col min="5" max="5" width="16.42578125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112764341</v>
      </c>
      <c r="D15" s="157">
        <v>111359940</v>
      </c>
      <c r="E15" s="157">
        <f>+D15-C15</f>
        <v>-1404401</v>
      </c>
      <c r="F15" s="161">
        <f>IF(C15=0,0,E15/C15)</f>
        <v>-1.2454300601996158E-2</v>
      </c>
    </row>
    <row r="16" spans="1:6" ht="15" customHeight="1" x14ac:dyDescent="0.2">
      <c r="A16" s="147">
        <v>2</v>
      </c>
      <c r="B16" s="160" t="s">
        <v>157</v>
      </c>
      <c r="C16" s="157">
        <v>5224559</v>
      </c>
      <c r="D16" s="157">
        <v>4782238</v>
      </c>
      <c r="E16" s="157">
        <f>+D16-C16</f>
        <v>-442321</v>
      </c>
      <c r="F16" s="161">
        <f>IF(C16=0,0,E16/C16)</f>
        <v>-8.4661882467017793E-2</v>
      </c>
    </row>
    <row r="17" spans="1:6" ht="15" customHeight="1" x14ac:dyDescent="0.2">
      <c r="A17" s="147">
        <v>3</v>
      </c>
      <c r="B17" s="160" t="s">
        <v>158</v>
      </c>
      <c r="C17" s="157">
        <v>139632328</v>
      </c>
      <c r="D17" s="157">
        <v>141852922</v>
      </c>
      <c r="E17" s="157">
        <f>+D17-C17</f>
        <v>2220594</v>
      </c>
      <c r="F17" s="161">
        <f>IF(C17=0,0,E17/C17)</f>
        <v>1.5903151023880374E-2</v>
      </c>
    </row>
    <row r="18" spans="1:6" ht="15.75" customHeight="1" x14ac:dyDescent="0.25">
      <c r="A18" s="147"/>
      <c r="B18" s="162" t="s">
        <v>159</v>
      </c>
      <c r="C18" s="158">
        <f>SUM(C15:C17)</f>
        <v>257621228</v>
      </c>
      <c r="D18" s="158">
        <f>SUM(D15:D17)</f>
        <v>257995100</v>
      </c>
      <c r="E18" s="158">
        <f>+D18-C18</f>
        <v>373872</v>
      </c>
      <c r="F18" s="159">
        <f>IF(C18=0,0,E18/C18)</f>
        <v>1.4512468669701396E-3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29800759</v>
      </c>
      <c r="D21" s="157">
        <v>27935730</v>
      </c>
      <c r="E21" s="157">
        <f>+D21-C21</f>
        <v>-1865029</v>
      </c>
      <c r="F21" s="161">
        <f>IF(C21=0,0,E21/C21)</f>
        <v>-6.2583271788480291E-2</v>
      </c>
    </row>
    <row r="22" spans="1:6" ht="15" customHeight="1" x14ac:dyDescent="0.2">
      <c r="A22" s="147">
        <v>2</v>
      </c>
      <c r="B22" s="160" t="s">
        <v>162</v>
      </c>
      <c r="C22" s="157">
        <v>1380719</v>
      </c>
      <c r="D22" s="157">
        <v>1199671</v>
      </c>
      <c r="E22" s="157">
        <f>+D22-C22</f>
        <v>-181048</v>
      </c>
      <c r="F22" s="161">
        <f>IF(C22=0,0,E22/C22)</f>
        <v>-0.13112588441239673</v>
      </c>
    </row>
    <row r="23" spans="1:6" ht="15" customHeight="1" x14ac:dyDescent="0.2">
      <c r="A23" s="147">
        <v>3</v>
      </c>
      <c r="B23" s="160" t="s">
        <v>163</v>
      </c>
      <c r="C23" s="157">
        <v>36901287</v>
      </c>
      <c r="D23" s="157">
        <v>35588192</v>
      </c>
      <c r="E23" s="157">
        <f>+D23-C23</f>
        <v>-1313095</v>
      </c>
      <c r="F23" s="161">
        <f>IF(C23=0,0,E23/C23)</f>
        <v>-3.5583989252190577E-2</v>
      </c>
    </row>
    <row r="24" spans="1:6" ht="15.75" customHeight="1" x14ac:dyDescent="0.25">
      <c r="A24" s="147"/>
      <c r="B24" s="162" t="s">
        <v>164</v>
      </c>
      <c r="C24" s="158">
        <f>SUM(C21:C23)</f>
        <v>68082765</v>
      </c>
      <c r="D24" s="158">
        <f>SUM(D21:D23)</f>
        <v>64723593</v>
      </c>
      <c r="E24" s="158">
        <f>+D24-C24</f>
        <v>-3359172</v>
      </c>
      <c r="F24" s="159">
        <f>IF(C24=0,0,E24/C24)</f>
        <v>-4.93395354903697E-2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3021592</v>
      </c>
      <c r="D27" s="157">
        <v>1297560</v>
      </c>
      <c r="E27" s="157">
        <f>+D27-C27</f>
        <v>-1724032</v>
      </c>
      <c r="F27" s="161">
        <f>IF(C27=0,0,E27/C27)</f>
        <v>-0.57057074548780906</v>
      </c>
    </row>
    <row r="28" spans="1:6" ht="15" customHeight="1" x14ac:dyDescent="0.2">
      <c r="A28" s="147">
        <v>2</v>
      </c>
      <c r="B28" s="160" t="s">
        <v>167</v>
      </c>
      <c r="C28" s="157">
        <v>47535764</v>
      </c>
      <c r="D28" s="157">
        <v>52216369</v>
      </c>
      <c r="E28" s="157">
        <f>+D28-C28</f>
        <v>4680605</v>
      </c>
      <c r="F28" s="161">
        <f>IF(C28=0,0,E28/C28)</f>
        <v>9.8464915805287156E-2</v>
      </c>
    </row>
    <row r="29" spans="1:6" ht="15" customHeight="1" x14ac:dyDescent="0.2">
      <c r="A29" s="147">
        <v>3</v>
      </c>
      <c r="B29" s="160" t="s">
        <v>168</v>
      </c>
      <c r="C29" s="157">
        <v>11574127</v>
      </c>
      <c r="D29" s="157">
        <v>29492407</v>
      </c>
      <c r="E29" s="157">
        <f>+D29-C29</f>
        <v>17918280</v>
      </c>
      <c r="F29" s="161">
        <f>IF(C29=0,0,E29/C29)</f>
        <v>1.5481323127005604</v>
      </c>
    </row>
    <row r="30" spans="1:6" ht="15.75" customHeight="1" x14ac:dyDescent="0.25">
      <c r="A30" s="147"/>
      <c r="B30" s="162" t="s">
        <v>169</v>
      </c>
      <c r="C30" s="158">
        <f>SUM(C27:C29)</f>
        <v>62131483</v>
      </c>
      <c r="D30" s="158">
        <f>SUM(D27:D29)</f>
        <v>83006336</v>
      </c>
      <c r="E30" s="158">
        <f>+D30-C30</f>
        <v>20874853</v>
      </c>
      <c r="F30" s="159">
        <f>IF(C30=0,0,E30/C30)</f>
        <v>0.33597866962229117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70091969</v>
      </c>
      <c r="D33" s="157">
        <v>77580024</v>
      </c>
      <c r="E33" s="157">
        <f>+D33-C33</f>
        <v>7488055</v>
      </c>
      <c r="F33" s="161">
        <f>IF(C33=0,0,E33/C33)</f>
        <v>0.1068318540173982</v>
      </c>
    </row>
    <row r="34" spans="1:6" ht="15" customHeight="1" x14ac:dyDescent="0.2">
      <c r="A34" s="147">
        <v>2</v>
      </c>
      <c r="B34" s="160" t="s">
        <v>173</v>
      </c>
      <c r="C34" s="157">
        <v>29372742</v>
      </c>
      <c r="D34" s="157">
        <v>36159447</v>
      </c>
      <c r="E34" s="157">
        <f>+D34-C34</f>
        <v>6786705</v>
      </c>
      <c r="F34" s="161">
        <f>IF(C34=0,0,E34/C34)</f>
        <v>0.23105452667646759</v>
      </c>
    </row>
    <row r="35" spans="1:6" ht="15.75" customHeight="1" x14ac:dyDescent="0.25">
      <c r="A35" s="147"/>
      <c r="B35" s="162" t="s">
        <v>174</v>
      </c>
      <c r="C35" s="158">
        <f>SUM(C33:C34)</f>
        <v>99464711</v>
      </c>
      <c r="D35" s="158">
        <f>SUM(D33:D34)</f>
        <v>113739471</v>
      </c>
      <c r="E35" s="158">
        <f>+D35-C35</f>
        <v>14274760</v>
      </c>
      <c r="F35" s="159">
        <f>IF(C35=0,0,E35/C35)</f>
        <v>0.14351582442138699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13831599</v>
      </c>
      <c r="D38" s="157">
        <v>11044213</v>
      </c>
      <c r="E38" s="157">
        <f>+D38-C38</f>
        <v>-2787386</v>
      </c>
      <c r="F38" s="161">
        <f>IF(C38=0,0,E38/C38)</f>
        <v>-0.2015230487812725</v>
      </c>
    </row>
    <row r="39" spans="1:6" ht="15" customHeight="1" x14ac:dyDescent="0.2">
      <c r="A39" s="147">
        <v>2</v>
      </c>
      <c r="B39" s="160" t="s">
        <v>178</v>
      </c>
      <c r="C39" s="157">
        <v>23473172</v>
      </c>
      <c r="D39" s="157">
        <v>32783252</v>
      </c>
      <c r="E39" s="157">
        <f>+D39-C39</f>
        <v>9310080</v>
      </c>
      <c r="F39" s="161">
        <f>IF(C39=0,0,E39/C39)</f>
        <v>0.39662641248485719</v>
      </c>
    </row>
    <row r="40" spans="1:6" ht="15" customHeight="1" x14ac:dyDescent="0.2">
      <c r="A40" s="147">
        <v>3</v>
      </c>
      <c r="B40" s="160" t="s">
        <v>179</v>
      </c>
      <c r="C40" s="157">
        <v>408939</v>
      </c>
      <c r="D40" s="157">
        <v>0</v>
      </c>
      <c r="E40" s="157">
        <f>+D40-C40</f>
        <v>-408939</v>
      </c>
      <c r="F40" s="161">
        <f>IF(C40=0,0,E40/C40)</f>
        <v>-1</v>
      </c>
    </row>
    <row r="41" spans="1:6" ht="15.75" customHeight="1" x14ac:dyDescent="0.25">
      <c r="A41" s="147"/>
      <c r="B41" s="162" t="s">
        <v>180</v>
      </c>
      <c r="C41" s="158">
        <f>SUM(C38:C40)</f>
        <v>37713710</v>
      </c>
      <c r="D41" s="158">
        <f>SUM(D38:D40)</f>
        <v>43827465</v>
      </c>
      <c r="E41" s="158">
        <f>+D41-C41</f>
        <v>6113755</v>
      </c>
      <c r="F41" s="159">
        <f>IF(C41=0,0,E41/C41)</f>
        <v>0.16210961477934682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11151596</v>
      </c>
      <c r="D47" s="157">
        <v>8464953</v>
      </c>
      <c r="E47" s="157">
        <f>+D47-C47</f>
        <v>-2686643</v>
      </c>
      <c r="F47" s="161">
        <f>IF(C47=0,0,E47/C47)</f>
        <v>-0.2409200440905499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10303205</v>
      </c>
      <c r="D50" s="157">
        <v>8752762</v>
      </c>
      <c r="E50" s="157">
        <f>+D50-C50</f>
        <v>-1550443</v>
      </c>
      <c r="F50" s="161">
        <f>IF(C50=0,0,E50/C50)</f>
        <v>-0.15048162198073317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921343</v>
      </c>
      <c r="D53" s="157">
        <v>1114258</v>
      </c>
      <c r="E53" s="157">
        <f t="shared" ref="E53:E59" si="0">+D53-C53</f>
        <v>192915</v>
      </c>
      <c r="F53" s="161">
        <f t="shared" ref="F53:F59" si="1">IF(C53=0,0,E53/C53)</f>
        <v>0.20938456144997031</v>
      </c>
    </row>
    <row r="54" spans="1:6" ht="15" customHeight="1" x14ac:dyDescent="0.2">
      <c r="A54" s="147">
        <v>2</v>
      </c>
      <c r="B54" s="160" t="s">
        <v>189</v>
      </c>
      <c r="C54" s="157">
        <v>3191276</v>
      </c>
      <c r="D54" s="157">
        <v>3232400</v>
      </c>
      <c r="E54" s="157">
        <f t="shared" si="0"/>
        <v>41124</v>
      </c>
      <c r="F54" s="161">
        <f t="shared" si="1"/>
        <v>1.2886381497557716E-2</v>
      </c>
    </row>
    <row r="55" spans="1:6" ht="15" customHeight="1" x14ac:dyDescent="0.2">
      <c r="A55" s="147">
        <v>3</v>
      </c>
      <c r="B55" s="160" t="s">
        <v>190</v>
      </c>
      <c r="C55" s="157">
        <v>19611</v>
      </c>
      <c r="D55" s="157">
        <v>6807</v>
      </c>
      <c r="E55" s="157">
        <f t="shared" si="0"/>
        <v>-12804</v>
      </c>
      <c r="F55" s="161">
        <f t="shared" si="1"/>
        <v>-0.65289888327979195</v>
      </c>
    </row>
    <row r="56" spans="1:6" ht="15" customHeight="1" x14ac:dyDescent="0.2">
      <c r="A56" s="147">
        <v>4</v>
      </c>
      <c r="B56" s="160" t="s">
        <v>191</v>
      </c>
      <c r="C56" s="157">
        <v>7072327</v>
      </c>
      <c r="D56" s="157">
        <v>7080184</v>
      </c>
      <c r="E56" s="157">
        <f t="shared" si="0"/>
        <v>7857</v>
      </c>
      <c r="F56" s="161">
        <f t="shared" si="1"/>
        <v>1.1109497623625151E-3</v>
      </c>
    </row>
    <row r="57" spans="1:6" ht="15" customHeight="1" x14ac:dyDescent="0.2">
      <c r="A57" s="147">
        <v>5</v>
      </c>
      <c r="B57" s="160" t="s">
        <v>192</v>
      </c>
      <c r="C57" s="157">
        <v>1623999</v>
      </c>
      <c r="D57" s="157">
        <v>1510861</v>
      </c>
      <c r="E57" s="157">
        <f t="shared" si="0"/>
        <v>-113138</v>
      </c>
      <c r="F57" s="161">
        <f t="shared" si="1"/>
        <v>-6.9666299055602871E-2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12828556</v>
      </c>
      <c r="D59" s="158">
        <f>SUM(D53:D58)</f>
        <v>12944510</v>
      </c>
      <c r="E59" s="158">
        <f t="shared" si="0"/>
        <v>115954</v>
      </c>
      <c r="F59" s="159">
        <f t="shared" si="1"/>
        <v>9.0387413828960945E-3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615565</v>
      </c>
      <c r="D62" s="157">
        <v>1325231</v>
      </c>
      <c r="E62" s="157">
        <f t="shared" ref="E62:E90" si="2">+D62-C62</f>
        <v>709666</v>
      </c>
      <c r="F62" s="161">
        <f t="shared" ref="F62:F90" si="3">IF(C62=0,0,E62/C62)</f>
        <v>1.1528693151819873</v>
      </c>
    </row>
    <row r="63" spans="1:6" ht="15" customHeight="1" x14ac:dyDescent="0.2">
      <c r="A63" s="147">
        <v>2</v>
      </c>
      <c r="B63" s="160" t="s">
        <v>198</v>
      </c>
      <c r="C63" s="157">
        <v>2329779</v>
      </c>
      <c r="D63" s="157">
        <v>1617544</v>
      </c>
      <c r="E63" s="157">
        <f t="shared" si="2"/>
        <v>-712235</v>
      </c>
      <c r="F63" s="161">
        <f t="shared" si="3"/>
        <v>-0.30570925396786564</v>
      </c>
    </row>
    <row r="64" spans="1:6" ht="15" customHeight="1" x14ac:dyDescent="0.2">
      <c r="A64" s="147">
        <v>3</v>
      </c>
      <c r="B64" s="160" t="s">
        <v>199</v>
      </c>
      <c r="C64" s="157">
        <v>10613420</v>
      </c>
      <c r="D64" s="157">
        <v>10011532</v>
      </c>
      <c r="E64" s="157">
        <f t="shared" si="2"/>
        <v>-601888</v>
      </c>
      <c r="F64" s="161">
        <f t="shared" si="3"/>
        <v>-5.6710089678915936E-2</v>
      </c>
    </row>
    <row r="65" spans="1:6" ht="15" customHeight="1" x14ac:dyDescent="0.2">
      <c r="A65" s="147">
        <v>4</v>
      </c>
      <c r="B65" s="160" t="s">
        <v>200</v>
      </c>
      <c r="C65" s="157">
        <v>2217392</v>
      </c>
      <c r="D65" s="157">
        <v>2236185</v>
      </c>
      <c r="E65" s="157">
        <f t="shared" si="2"/>
        <v>18793</v>
      </c>
      <c r="F65" s="161">
        <f t="shared" si="3"/>
        <v>8.4752718508951056E-3</v>
      </c>
    </row>
    <row r="66" spans="1:6" ht="15" customHeight="1" x14ac:dyDescent="0.2">
      <c r="A66" s="147">
        <v>5</v>
      </c>
      <c r="B66" s="160" t="s">
        <v>201</v>
      </c>
      <c r="C66" s="157">
        <v>3553318</v>
      </c>
      <c r="D66" s="157">
        <v>2338592</v>
      </c>
      <c r="E66" s="157">
        <f t="shared" si="2"/>
        <v>-1214726</v>
      </c>
      <c r="F66" s="161">
        <f t="shared" si="3"/>
        <v>-0.34185682227146569</v>
      </c>
    </row>
    <row r="67" spans="1:6" ht="15" customHeight="1" x14ac:dyDescent="0.2">
      <c r="A67" s="147">
        <v>6</v>
      </c>
      <c r="B67" s="160" t="s">
        <v>202</v>
      </c>
      <c r="C67" s="157">
        <v>4828080</v>
      </c>
      <c r="D67" s="157">
        <v>4598895</v>
      </c>
      <c r="E67" s="157">
        <f t="shared" si="2"/>
        <v>-229185</v>
      </c>
      <c r="F67" s="161">
        <f t="shared" si="3"/>
        <v>-4.7469180295272653E-2</v>
      </c>
    </row>
    <row r="68" spans="1:6" ht="15" customHeight="1" x14ac:dyDescent="0.2">
      <c r="A68" s="147">
        <v>7</v>
      </c>
      <c r="B68" s="160" t="s">
        <v>203</v>
      </c>
      <c r="C68" s="157">
        <v>12665795</v>
      </c>
      <c r="D68" s="157">
        <v>12374652</v>
      </c>
      <c r="E68" s="157">
        <f t="shared" si="2"/>
        <v>-291143</v>
      </c>
      <c r="F68" s="161">
        <f t="shared" si="3"/>
        <v>-2.2986555522176065E-2</v>
      </c>
    </row>
    <row r="69" spans="1:6" ht="15" customHeight="1" x14ac:dyDescent="0.2">
      <c r="A69" s="147">
        <v>8</v>
      </c>
      <c r="B69" s="160" t="s">
        <v>204</v>
      </c>
      <c r="C69" s="157">
        <v>1377743</v>
      </c>
      <c r="D69" s="157">
        <v>1987617</v>
      </c>
      <c r="E69" s="157">
        <f t="shared" si="2"/>
        <v>609874</v>
      </c>
      <c r="F69" s="161">
        <f t="shared" si="3"/>
        <v>0.44266165750796777</v>
      </c>
    </row>
    <row r="70" spans="1:6" ht="15" customHeight="1" x14ac:dyDescent="0.2">
      <c r="A70" s="147">
        <v>9</v>
      </c>
      <c r="B70" s="160" t="s">
        <v>205</v>
      </c>
      <c r="C70" s="157">
        <v>1399156</v>
      </c>
      <c r="D70" s="157">
        <v>1173081</v>
      </c>
      <c r="E70" s="157">
        <f t="shared" si="2"/>
        <v>-226075</v>
      </c>
      <c r="F70" s="161">
        <f t="shared" si="3"/>
        <v>-0.16157955224435303</v>
      </c>
    </row>
    <row r="71" spans="1:6" ht="15" customHeight="1" x14ac:dyDescent="0.2">
      <c r="A71" s="147">
        <v>10</v>
      </c>
      <c r="B71" s="160" t="s">
        <v>206</v>
      </c>
      <c r="C71" s="157">
        <v>727955</v>
      </c>
      <c r="D71" s="157">
        <v>646259</v>
      </c>
      <c r="E71" s="157">
        <f t="shared" si="2"/>
        <v>-81696</v>
      </c>
      <c r="F71" s="161">
        <f t="shared" si="3"/>
        <v>-0.11222671731082279</v>
      </c>
    </row>
    <row r="72" spans="1:6" ht="15" customHeight="1" x14ac:dyDescent="0.2">
      <c r="A72" s="147">
        <v>11</v>
      </c>
      <c r="B72" s="160" t="s">
        <v>207</v>
      </c>
      <c r="C72" s="157">
        <v>2111955</v>
      </c>
      <c r="D72" s="157">
        <v>1942834</v>
      </c>
      <c r="E72" s="157">
        <f t="shared" si="2"/>
        <v>-169121</v>
      </c>
      <c r="F72" s="161">
        <f t="shared" si="3"/>
        <v>-8.0077937266655783E-2</v>
      </c>
    </row>
    <row r="73" spans="1:6" ht="15" customHeight="1" x14ac:dyDescent="0.2">
      <c r="A73" s="147">
        <v>12</v>
      </c>
      <c r="B73" s="160" t="s">
        <v>208</v>
      </c>
      <c r="C73" s="157">
        <v>3856318</v>
      </c>
      <c r="D73" s="157">
        <v>4271750</v>
      </c>
      <c r="E73" s="157">
        <f t="shared" si="2"/>
        <v>415432</v>
      </c>
      <c r="F73" s="161">
        <f t="shared" si="3"/>
        <v>0.10772763034583765</v>
      </c>
    </row>
    <row r="74" spans="1:6" ht="15" customHeight="1" x14ac:dyDescent="0.2">
      <c r="A74" s="147">
        <v>13</v>
      </c>
      <c r="B74" s="160" t="s">
        <v>209</v>
      </c>
      <c r="C74" s="157">
        <v>479725</v>
      </c>
      <c r="D74" s="157">
        <v>435836</v>
      </c>
      <c r="E74" s="157">
        <f t="shared" si="2"/>
        <v>-43889</v>
      </c>
      <c r="F74" s="161">
        <f t="shared" si="3"/>
        <v>-9.1487831570170416E-2</v>
      </c>
    </row>
    <row r="75" spans="1:6" ht="15" customHeight="1" x14ac:dyDescent="0.2">
      <c r="A75" s="147">
        <v>14</v>
      </c>
      <c r="B75" s="160" t="s">
        <v>210</v>
      </c>
      <c r="C75" s="157">
        <v>696720</v>
      </c>
      <c r="D75" s="157">
        <v>825796</v>
      </c>
      <c r="E75" s="157">
        <f t="shared" si="2"/>
        <v>129076</v>
      </c>
      <c r="F75" s="161">
        <f t="shared" si="3"/>
        <v>0.18526237225858308</v>
      </c>
    </row>
    <row r="76" spans="1:6" ht="15" customHeight="1" x14ac:dyDescent="0.2">
      <c r="A76" s="147">
        <v>15</v>
      </c>
      <c r="B76" s="160" t="s">
        <v>211</v>
      </c>
      <c r="C76" s="157">
        <v>1682924</v>
      </c>
      <c r="D76" s="157">
        <v>1521550</v>
      </c>
      <c r="E76" s="157">
        <f t="shared" si="2"/>
        <v>-161374</v>
      </c>
      <c r="F76" s="161">
        <f t="shared" si="3"/>
        <v>-9.5889059755520742E-2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13822674</v>
      </c>
      <c r="E77" s="157">
        <f t="shared" si="2"/>
        <v>13822674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13352198</v>
      </c>
      <c r="D78" s="157">
        <v>11652288</v>
      </c>
      <c r="E78" s="157">
        <f t="shared" si="2"/>
        <v>-1699910</v>
      </c>
      <c r="F78" s="161">
        <f t="shared" si="3"/>
        <v>-0.12731312103070971</v>
      </c>
    </row>
    <row r="79" spans="1:6" ht="15" customHeight="1" x14ac:dyDescent="0.2">
      <c r="A79" s="147">
        <v>18</v>
      </c>
      <c r="B79" s="160" t="s">
        <v>214</v>
      </c>
      <c r="C79" s="157">
        <v>1168479</v>
      </c>
      <c r="D79" s="157">
        <v>2018742</v>
      </c>
      <c r="E79" s="157">
        <f t="shared" si="2"/>
        <v>850263</v>
      </c>
      <c r="F79" s="161">
        <f t="shared" si="3"/>
        <v>0.72766647924352945</v>
      </c>
    </row>
    <row r="80" spans="1:6" ht="15" customHeight="1" x14ac:dyDescent="0.2">
      <c r="A80" s="147">
        <v>19</v>
      </c>
      <c r="B80" s="160" t="s">
        <v>215</v>
      </c>
      <c r="C80" s="157">
        <v>5618300</v>
      </c>
      <c r="D80" s="157">
        <v>6429434</v>
      </c>
      <c r="E80" s="157">
        <f t="shared" si="2"/>
        <v>811134</v>
      </c>
      <c r="F80" s="161">
        <f t="shared" si="3"/>
        <v>0.14437356495737144</v>
      </c>
    </row>
    <row r="81" spans="1:6" ht="15" customHeight="1" x14ac:dyDescent="0.2">
      <c r="A81" s="147">
        <v>20</v>
      </c>
      <c r="B81" s="160" t="s">
        <v>216</v>
      </c>
      <c r="C81" s="157">
        <v>4133968</v>
      </c>
      <c r="D81" s="157">
        <v>3451211</v>
      </c>
      <c r="E81" s="157">
        <f t="shared" si="2"/>
        <v>-682757</v>
      </c>
      <c r="F81" s="161">
        <f t="shared" si="3"/>
        <v>-0.16515778544971804</v>
      </c>
    </row>
    <row r="82" spans="1:6" ht="15" customHeight="1" x14ac:dyDescent="0.2">
      <c r="A82" s="147">
        <v>21</v>
      </c>
      <c r="B82" s="160" t="s">
        <v>217</v>
      </c>
      <c r="C82" s="157">
        <v>2856315</v>
      </c>
      <c r="D82" s="157">
        <v>2569038</v>
      </c>
      <c r="E82" s="157">
        <f t="shared" si="2"/>
        <v>-287277</v>
      </c>
      <c r="F82" s="161">
        <f t="shared" si="3"/>
        <v>-0.10057609192263459</v>
      </c>
    </row>
    <row r="83" spans="1:6" ht="15" customHeight="1" x14ac:dyDescent="0.2">
      <c r="A83" s="147">
        <v>22</v>
      </c>
      <c r="B83" s="160" t="s">
        <v>218</v>
      </c>
      <c r="C83" s="157">
        <v>635599</v>
      </c>
      <c r="D83" s="157">
        <v>833807</v>
      </c>
      <c r="E83" s="157">
        <f t="shared" si="2"/>
        <v>198208</v>
      </c>
      <c r="F83" s="161">
        <f t="shared" si="3"/>
        <v>0.31184441762809573</v>
      </c>
    </row>
    <row r="84" spans="1:6" ht="15" customHeight="1" x14ac:dyDescent="0.2">
      <c r="A84" s="147">
        <v>23</v>
      </c>
      <c r="B84" s="160" t="s">
        <v>219</v>
      </c>
      <c r="C84" s="157">
        <v>1625930</v>
      </c>
      <c r="D84" s="157">
        <v>1826815</v>
      </c>
      <c r="E84" s="157">
        <f t="shared" si="2"/>
        <v>200885</v>
      </c>
      <c r="F84" s="161">
        <f t="shared" si="3"/>
        <v>0.12355082937149815</v>
      </c>
    </row>
    <row r="85" spans="1:6" ht="15" customHeight="1" x14ac:dyDescent="0.2">
      <c r="A85" s="147">
        <v>24</v>
      </c>
      <c r="B85" s="160" t="s">
        <v>220</v>
      </c>
      <c r="C85" s="157">
        <v>1504826</v>
      </c>
      <c r="D85" s="157">
        <v>1962815</v>
      </c>
      <c r="E85" s="157">
        <f t="shared" si="2"/>
        <v>457989</v>
      </c>
      <c r="F85" s="161">
        <f t="shared" si="3"/>
        <v>0.30434681484769666</v>
      </c>
    </row>
    <row r="86" spans="1:6" ht="15" customHeight="1" x14ac:dyDescent="0.2">
      <c r="A86" s="147">
        <v>25</v>
      </c>
      <c r="B86" s="160" t="s">
        <v>221</v>
      </c>
      <c r="C86" s="157">
        <v>1466601</v>
      </c>
      <c r="D86" s="157">
        <v>1596703</v>
      </c>
      <c r="E86" s="157">
        <f t="shared" si="2"/>
        <v>130102</v>
      </c>
      <c r="F86" s="161">
        <f t="shared" si="3"/>
        <v>8.8709880874211874E-2</v>
      </c>
    </row>
    <row r="87" spans="1:6" ht="15" customHeight="1" x14ac:dyDescent="0.2">
      <c r="A87" s="147">
        <v>26</v>
      </c>
      <c r="B87" s="160" t="s">
        <v>222</v>
      </c>
      <c r="C87" s="157">
        <v>510909</v>
      </c>
      <c r="D87" s="157">
        <v>627727</v>
      </c>
      <c r="E87" s="157">
        <f t="shared" si="2"/>
        <v>116818</v>
      </c>
      <c r="F87" s="161">
        <f t="shared" si="3"/>
        <v>0.2286473716454398</v>
      </c>
    </row>
    <row r="88" spans="1:6" ht="15" customHeight="1" x14ac:dyDescent="0.2">
      <c r="A88" s="147">
        <v>27</v>
      </c>
      <c r="B88" s="160" t="s">
        <v>223</v>
      </c>
      <c r="C88" s="157">
        <v>1461150</v>
      </c>
      <c r="D88" s="157">
        <v>464102</v>
      </c>
      <c r="E88" s="157">
        <f t="shared" si="2"/>
        <v>-997048</v>
      </c>
      <c r="F88" s="161">
        <f t="shared" si="3"/>
        <v>-0.68237210416452798</v>
      </c>
    </row>
    <row r="89" spans="1:6" ht="15" customHeight="1" x14ac:dyDescent="0.2">
      <c r="A89" s="147">
        <v>28</v>
      </c>
      <c r="B89" s="160" t="s">
        <v>224</v>
      </c>
      <c r="C89" s="157">
        <v>6102067</v>
      </c>
      <c r="D89" s="157">
        <v>39251532</v>
      </c>
      <c r="E89" s="157">
        <f t="shared" si="2"/>
        <v>33149465</v>
      </c>
      <c r="F89" s="161">
        <f t="shared" si="3"/>
        <v>5.4324977093827389</v>
      </c>
    </row>
    <row r="90" spans="1:6" ht="15.75" customHeight="1" x14ac:dyDescent="0.25">
      <c r="A90" s="147"/>
      <c r="B90" s="162" t="s">
        <v>225</v>
      </c>
      <c r="C90" s="158">
        <f>SUM(C62:C89)</f>
        <v>89592187</v>
      </c>
      <c r="D90" s="158">
        <f>SUM(D62:D89)</f>
        <v>133814242</v>
      </c>
      <c r="E90" s="158">
        <f t="shared" si="2"/>
        <v>44222055</v>
      </c>
      <c r="F90" s="159">
        <f t="shared" si="3"/>
        <v>0.49359276160989352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32722891</v>
      </c>
      <c r="D93" s="157">
        <v>33429366</v>
      </c>
      <c r="E93" s="157">
        <f>+D93-C93</f>
        <v>706475</v>
      </c>
      <c r="F93" s="161">
        <f>IF(C93=0,0,E93/C93)</f>
        <v>2.1589626662265264E-2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681612332</v>
      </c>
      <c r="D95" s="158">
        <f>+D93+D90+D59+D50+D47+D44+D41+D35+D30+D24+D18</f>
        <v>760697798</v>
      </c>
      <c r="E95" s="158">
        <f>+D95-C95</f>
        <v>79085466</v>
      </c>
      <c r="F95" s="159">
        <f>IF(C95=0,0,E95/C95)</f>
        <v>0.11602704688154028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91759854</v>
      </c>
      <c r="D103" s="157">
        <v>145813231</v>
      </c>
      <c r="E103" s="157">
        <f t="shared" ref="E103:E121" si="4">D103-C103</f>
        <v>54053377</v>
      </c>
      <c r="F103" s="161">
        <f t="shared" ref="F103:F121" si="5">IF(C103=0,0,E103/C103)</f>
        <v>0.58907435707123079</v>
      </c>
    </row>
    <row r="104" spans="1:6" ht="15" customHeight="1" x14ac:dyDescent="0.2">
      <c r="A104" s="147">
        <v>2</v>
      </c>
      <c r="B104" s="169" t="s">
        <v>234</v>
      </c>
      <c r="C104" s="157">
        <v>3129580</v>
      </c>
      <c r="D104" s="157">
        <v>4666241</v>
      </c>
      <c r="E104" s="157">
        <f t="shared" si="4"/>
        <v>1536661</v>
      </c>
      <c r="F104" s="161">
        <f t="shared" si="5"/>
        <v>0.49101189296966369</v>
      </c>
    </row>
    <row r="105" spans="1:6" ht="15" customHeight="1" x14ac:dyDescent="0.2">
      <c r="A105" s="147">
        <v>3</v>
      </c>
      <c r="B105" s="169" t="s">
        <v>235</v>
      </c>
      <c r="C105" s="157">
        <v>8154927</v>
      </c>
      <c r="D105" s="157">
        <v>7659896</v>
      </c>
      <c r="E105" s="157">
        <f t="shared" si="4"/>
        <v>-495031</v>
      </c>
      <c r="F105" s="161">
        <f t="shared" si="5"/>
        <v>-6.0703302432995418E-2</v>
      </c>
    </row>
    <row r="106" spans="1:6" ht="15" customHeight="1" x14ac:dyDescent="0.2">
      <c r="A106" s="147">
        <v>4</v>
      </c>
      <c r="B106" s="169" t="s">
        <v>236</v>
      </c>
      <c r="C106" s="157">
        <v>3560167</v>
      </c>
      <c r="D106" s="157">
        <v>3454126</v>
      </c>
      <c r="E106" s="157">
        <f t="shared" si="4"/>
        <v>-106041</v>
      </c>
      <c r="F106" s="161">
        <f t="shared" si="5"/>
        <v>-2.9785400516324095E-2</v>
      </c>
    </row>
    <row r="107" spans="1:6" ht="15" customHeight="1" x14ac:dyDescent="0.2">
      <c r="A107" s="147">
        <v>5</v>
      </c>
      <c r="B107" s="169" t="s">
        <v>237</v>
      </c>
      <c r="C107" s="157">
        <v>22090779</v>
      </c>
      <c r="D107" s="157">
        <v>26293893</v>
      </c>
      <c r="E107" s="157">
        <f t="shared" si="4"/>
        <v>4203114</v>
      </c>
      <c r="F107" s="161">
        <f t="shared" si="5"/>
        <v>0.19026554020571207</v>
      </c>
    </row>
    <row r="108" spans="1:6" ht="15" customHeight="1" x14ac:dyDescent="0.2">
      <c r="A108" s="147">
        <v>6</v>
      </c>
      <c r="B108" s="169" t="s">
        <v>238</v>
      </c>
      <c r="C108" s="157">
        <v>12956535</v>
      </c>
      <c r="D108" s="157">
        <v>13592460</v>
      </c>
      <c r="E108" s="157">
        <f t="shared" si="4"/>
        <v>635925</v>
      </c>
      <c r="F108" s="161">
        <f t="shared" si="5"/>
        <v>4.9081409497215109E-2</v>
      </c>
    </row>
    <row r="109" spans="1:6" ht="15" customHeight="1" x14ac:dyDescent="0.2">
      <c r="A109" s="147">
        <v>7</v>
      </c>
      <c r="B109" s="169" t="s">
        <v>239</v>
      </c>
      <c r="C109" s="157">
        <v>5833771</v>
      </c>
      <c r="D109" s="157">
        <v>6527210</v>
      </c>
      <c r="E109" s="157">
        <f t="shared" si="4"/>
        <v>693439</v>
      </c>
      <c r="F109" s="161">
        <f t="shared" si="5"/>
        <v>0.11886633877126819</v>
      </c>
    </row>
    <row r="110" spans="1:6" ht="15" customHeight="1" x14ac:dyDescent="0.2">
      <c r="A110" s="147">
        <v>8</v>
      </c>
      <c r="B110" s="169" t="s">
        <v>240</v>
      </c>
      <c r="C110" s="157">
        <v>2046933</v>
      </c>
      <c r="D110" s="157">
        <v>1724322</v>
      </c>
      <c r="E110" s="157">
        <f t="shared" si="4"/>
        <v>-322611</v>
      </c>
      <c r="F110" s="161">
        <f t="shared" si="5"/>
        <v>-0.15760701498290369</v>
      </c>
    </row>
    <row r="111" spans="1:6" ht="15" customHeight="1" x14ac:dyDescent="0.2">
      <c r="A111" s="147">
        <v>9</v>
      </c>
      <c r="B111" s="169" t="s">
        <v>241</v>
      </c>
      <c r="C111" s="157">
        <v>3171762</v>
      </c>
      <c r="D111" s="157">
        <v>3087222</v>
      </c>
      <c r="E111" s="157">
        <f t="shared" si="4"/>
        <v>-84540</v>
      </c>
      <c r="F111" s="161">
        <f t="shared" si="5"/>
        <v>-2.6653954489649603E-2</v>
      </c>
    </row>
    <row r="112" spans="1:6" ht="15" customHeight="1" x14ac:dyDescent="0.2">
      <c r="A112" s="147">
        <v>10</v>
      </c>
      <c r="B112" s="169" t="s">
        <v>242</v>
      </c>
      <c r="C112" s="157">
        <v>9471360</v>
      </c>
      <c r="D112" s="157">
        <v>10686575</v>
      </c>
      <c r="E112" s="157">
        <f t="shared" si="4"/>
        <v>1215215</v>
      </c>
      <c r="F112" s="161">
        <f t="shared" si="5"/>
        <v>0.12830417173457667</v>
      </c>
    </row>
    <row r="113" spans="1:6" ht="15" customHeight="1" x14ac:dyDescent="0.2">
      <c r="A113" s="147">
        <v>11</v>
      </c>
      <c r="B113" s="169" t="s">
        <v>243</v>
      </c>
      <c r="C113" s="157">
        <v>9213880</v>
      </c>
      <c r="D113" s="157">
        <v>9606686</v>
      </c>
      <c r="E113" s="157">
        <f t="shared" si="4"/>
        <v>392806</v>
      </c>
      <c r="F113" s="161">
        <f t="shared" si="5"/>
        <v>4.2631985656422698E-2</v>
      </c>
    </row>
    <row r="114" spans="1:6" ht="15" customHeight="1" x14ac:dyDescent="0.2">
      <c r="A114" s="147">
        <v>12</v>
      </c>
      <c r="B114" s="169" t="s">
        <v>244</v>
      </c>
      <c r="C114" s="157">
        <v>4544812</v>
      </c>
      <c r="D114" s="157">
        <v>5528816</v>
      </c>
      <c r="E114" s="157">
        <f t="shared" si="4"/>
        <v>984004</v>
      </c>
      <c r="F114" s="161">
        <f t="shared" si="5"/>
        <v>0.21651148606366996</v>
      </c>
    </row>
    <row r="115" spans="1:6" ht="15" customHeight="1" x14ac:dyDescent="0.2">
      <c r="A115" s="147">
        <v>13</v>
      </c>
      <c r="B115" s="169" t="s">
        <v>245</v>
      </c>
      <c r="C115" s="157">
        <v>19966356</v>
      </c>
      <c r="D115" s="157">
        <v>20631526</v>
      </c>
      <c r="E115" s="157">
        <f t="shared" si="4"/>
        <v>665170</v>
      </c>
      <c r="F115" s="161">
        <f t="shared" si="5"/>
        <v>3.3314541722084888E-2</v>
      </c>
    </row>
    <row r="116" spans="1:6" ht="15" customHeight="1" x14ac:dyDescent="0.2">
      <c r="A116" s="147">
        <v>14</v>
      </c>
      <c r="B116" s="169" t="s">
        <v>246</v>
      </c>
      <c r="C116" s="157">
        <v>3474089</v>
      </c>
      <c r="D116" s="157">
        <v>3340516</v>
      </c>
      <c r="E116" s="157">
        <f t="shared" si="4"/>
        <v>-133573</v>
      </c>
      <c r="F116" s="161">
        <f t="shared" si="5"/>
        <v>-3.8448352935114789E-2</v>
      </c>
    </row>
    <row r="117" spans="1:6" ht="15" customHeight="1" x14ac:dyDescent="0.2">
      <c r="A117" s="147">
        <v>15</v>
      </c>
      <c r="B117" s="169" t="s">
        <v>203</v>
      </c>
      <c r="C117" s="157">
        <v>8918316</v>
      </c>
      <c r="D117" s="157">
        <v>8492374</v>
      </c>
      <c r="E117" s="157">
        <f t="shared" si="4"/>
        <v>-425942</v>
      </c>
      <c r="F117" s="161">
        <f t="shared" si="5"/>
        <v>-4.7760361933800059E-2</v>
      </c>
    </row>
    <row r="118" spans="1:6" ht="15" customHeight="1" x14ac:dyDescent="0.2">
      <c r="A118" s="147">
        <v>16</v>
      </c>
      <c r="B118" s="169" t="s">
        <v>247</v>
      </c>
      <c r="C118" s="157">
        <v>4541794</v>
      </c>
      <c r="D118" s="157">
        <v>5129226</v>
      </c>
      <c r="E118" s="157">
        <f t="shared" si="4"/>
        <v>587432</v>
      </c>
      <c r="F118" s="161">
        <f t="shared" si="5"/>
        <v>0.12933919944409633</v>
      </c>
    </row>
    <row r="119" spans="1:6" ht="15" customHeight="1" x14ac:dyDescent="0.2">
      <c r="A119" s="147">
        <v>17</v>
      </c>
      <c r="B119" s="169" t="s">
        <v>248</v>
      </c>
      <c r="C119" s="157">
        <v>36591140</v>
      </c>
      <c r="D119" s="157">
        <v>42443359</v>
      </c>
      <c r="E119" s="157">
        <f t="shared" si="4"/>
        <v>5852219</v>
      </c>
      <c r="F119" s="161">
        <f t="shared" si="5"/>
        <v>0.15993541059393065</v>
      </c>
    </row>
    <row r="120" spans="1:6" ht="15" customHeight="1" x14ac:dyDescent="0.2">
      <c r="A120" s="147">
        <v>18</v>
      </c>
      <c r="B120" s="169" t="s">
        <v>249</v>
      </c>
      <c r="C120" s="157">
        <v>69655000</v>
      </c>
      <c r="D120" s="157">
        <v>64328626</v>
      </c>
      <c r="E120" s="157">
        <f t="shared" si="4"/>
        <v>-5326374</v>
      </c>
      <c r="F120" s="161">
        <f t="shared" si="5"/>
        <v>-7.6467934821620842E-2</v>
      </c>
    </row>
    <row r="121" spans="1:6" ht="15.75" customHeight="1" x14ac:dyDescent="0.25">
      <c r="A121" s="147"/>
      <c r="B121" s="165" t="s">
        <v>250</v>
      </c>
      <c r="C121" s="158">
        <f>SUM(C103:C120)</f>
        <v>319081055</v>
      </c>
      <c r="D121" s="158">
        <f>SUM(D103:D120)</f>
        <v>383006305</v>
      </c>
      <c r="E121" s="158">
        <f t="shared" si="4"/>
        <v>63925250</v>
      </c>
      <c r="F121" s="159">
        <f t="shared" si="5"/>
        <v>0.20034172821698862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26258606</v>
      </c>
      <c r="D124" s="157">
        <v>27064867</v>
      </c>
      <c r="E124" s="157">
        <f t="shared" ref="E124:E130" si="6">D124-C124</f>
        <v>806261</v>
      </c>
      <c r="F124" s="161">
        <f t="shared" ref="F124:F130" si="7">IF(C124=0,0,E124/C124)</f>
        <v>3.0704638319338048E-2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13266849</v>
      </c>
      <c r="D126" s="157">
        <v>12112096</v>
      </c>
      <c r="E126" s="157">
        <f t="shared" si="6"/>
        <v>-1154753</v>
      </c>
      <c r="F126" s="161">
        <f t="shared" si="7"/>
        <v>-8.7040487157123744E-2</v>
      </c>
    </row>
    <row r="127" spans="1:6" ht="15" customHeight="1" x14ac:dyDescent="0.2">
      <c r="A127" s="147">
        <v>4</v>
      </c>
      <c r="B127" s="169" t="s">
        <v>255</v>
      </c>
      <c r="C127" s="157">
        <v>5105584</v>
      </c>
      <c r="D127" s="157">
        <v>5784380</v>
      </c>
      <c r="E127" s="157">
        <f t="shared" si="6"/>
        <v>678796</v>
      </c>
      <c r="F127" s="161">
        <f t="shared" si="7"/>
        <v>0.13295168584044451</v>
      </c>
    </row>
    <row r="128" spans="1:6" ht="15" customHeight="1" x14ac:dyDescent="0.2">
      <c r="A128" s="147">
        <v>5</v>
      </c>
      <c r="B128" s="169" t="s">
        <v>256</v>
      </c>
      <c r="C128" s="157">
        <v>4649253</v>
      </c>
      <c r="D128" s="157">
        <v>4718174</v>
      </c>
      <c r="E128" s="157">
        <f t="shared" si="6"/>
        <v>68921</v>
      </c>
      <c r="F128" s="161">
        <f t="shared" si="7"/>
        <v>1.4824101850340259E-2</v>
      </c>
    </row>
    <row r="129" spans="1:6" ht="15" customHeight="1" x14ac:dyDescent="0.2">
      <c r="A129" s="147">
        <v>6</v>
      </c>
      <c r="B129" s="169" t="s">
        <v>257</v>
      </c>
      <c r="C129" s="157">
        <v>25582454</v>
      </c>
      <c r="D129" s="157">
        <v>25964101</v>
      </c>
      <c r="E129" s="157">
        <f t="shared" si="6"/>
        <v>381647</v>
      </c>
      <c r="F129" s="161">
        <f t="shared" si="7"/>
        <v>1.4918310807868549E-2</v>
      </c>
    </row>
    <row r="130" spans="1:6" ht="15.75" customHeight="1" x14ac:dyDescent="0.25">
      <c r="A130" s="147"/>
      <c r="B130" s="165" t="s">
        <v>258</v>
      </c>
      <c r="C130" s="158">
        <f>SUM(C124:C129)</f>
        <v>74862746</v>
      </c>
      <c r="D130" s="158">
        <f>SUM(D124:D129)</f>
        <v>75643618</v>
      </c>
      <c r="E130" s="158">
        <f t="shared" si="6"/>
        <v>780872</v>
      </c>
      <c r="F130" s="159">
        <f t="shared" si="7"/>
        <v>1.0430715432212438E-2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49076827</v>
      </c>
      <c r="D133" s="157">
        <v>54414853</v>
      </c>
      <c r="E133" s="157">
        <f t="shared" ref="E133:E167" si="8">D133-C133</f>
        <v>5338026</v>
      </c>
      <c r="F133" s="161">
        <f t="shared" ref="F133:F167" si="9">IF(C133=0,0,E133/C133)</f>
        <v>0.10876876779340278</v>
      </c>
    </row>
    <row r="134" spans="1:6" ht="15" customHeight="1" x14ac:dyDescent="0.2">
      <c r="A134" s="147">
        <v>2</v>
      </c>
      <c r="B134" s="169" t="s">
        <v>261</v>
      </c>
      <c r="C134" s="157">
        <v>3190315</v>
      </c>
      <c r="D134" s="157">
        <v>3523781</v>
      </c>
      <c r="E134" s="157">
        <f t="shared" si="8"/>
        <v>333466</v>
      </c>
      <c r="F134" s="161">
        <f t="shared" si="9"/>
        <v>0.10452447485593115</v>
      </c>
    </row>
    <row r="135" spans="1:6" ht="15" customHeight="1" x14ac:dyDescent="0.2">
      <c r="A135" s="147">
        <v>3</v>
      </c>
      <c r="B135" s="169" t="s">
        <v>262</v>
      </c>
      <c r="C135" s="157">
        <v>2602363</v>
      </c>
      <c r="D135" s="157">
        <v>2910731</v>
      </c>
      <c r="E135" s="157">
        <f t="shared" si="8"/>
        <v>308368</v>
      </c>
      <c r="F135" s="161">
        <f t="shared" si="9"/>
        <v>0.11849538285012506</v>
      </c>
    </row>
    <row r="136" spans="1:6" ht="15" customHeight="1" x14ac:dyDescent="0.2">
      <c r="A136" s="147">
        <v>4</v>
      </c>
      <c r="B136" s="169" t="s">
        <v>263</v>
      </c>
      <c r="C136" s="157">
        <v>5263698</v>
      </c>
      <c r="D136" s="157">
        <v>5661345</v>
      </c>
      <c r="E136" s="157">
        <f t="shared" si="8"/>
        <v>397647</v>
      </c>
      <c r="F136" s="161">
        <f t="shared" si="9"/>
        <v>7.554517755387942E-2</v>
      </c>
    </row>
    <row r="137" spans="1:6" ht="15" customHeight="1" x14ac:dyDescent="0.2">
      <c r="A137" s="147">
        <v>5</v>
      </c>
      <c r="B137" s="169" t="s">
        <v>264</v>
      </c>
      <c r="C137" s="157">
        <v>9247480</v>
      </c>
      <c r="D137" s="157">
        <v>9531820</v>
      </c>
      <c r="E137" s="157">
        <f t="shared" si="8"/>
        <v>284340</v>
      </c>
      <c r="F137" s="161">
        <f t="shared" si="9"/>
        <v>3.0747836167258541E-2</v>
      </c>
    </row>
    <row r="138" spans="1:6" ht="15" customHeight="1" x14ac:dyDescent="0.2">
      <c r="A138" s="147">
        <v>6</v>
      </c>
      <c r="B138" s="169" t="s">
        <v>265</v>
      </c>
      <c r="C138" s="157">
        <v>2442605</v>
      </c>
      <c r="D138" s="157">
        <v>2684374</v>
      </c>
      <c r="E138" s="157">
        <f t="shared" si="8"/>
        <v>241769</v>
      </c>
      <c r="F138" s="161">
        <f t="shared" si="9"/>
        <v>9.8979982436783673E-2</v>
      </c>
    </row>
    <row r="139" spans="1:6" ht="15" customHeight="1" x14ac:dyDescent="0.2">
      <c r="A139" s="147">
        <v>7</v>
      </c>
      <c r="B139" s="169" t="s">
        <v>266</v>
      </c>
      <c r="C139" s="157">
        <v>4123063</v>
      </c>
      <c r="D139" s="157">
        <v>4003849</v>
      </c>
      <c r="E139" s="157">
        <f t="shared" si="8"/>
        <v>-119214</v>
      </c>
      <c r="F139" s="161">
        <f t="shared" si="9"/>
        <v>-2.8913940922076622E-2</v>
      </c>
    </row>
    <row r="140" spans="1:6" ht="15" customHeight="1" x14ac:dyDescent="0.2">
      <c r="A140" s="147">
        <v>8</v>
      </c>
      <c r="B140" s="169" t="s">
        <v>267</v>
      </c>
      <c r="C140" s="157">
        <v>1718178</v>
      </c>
      <c r="D140" s="157">
        <v>1645482</v>
      </c>
      <c r="E140" s="157">
        <f t="shared" si="8"/>
        <v>-72696</v>
      </c>
      <c r="F140" s="161">
        <f t="shared" si="9"/>
        <v>-4.2309935291919697E-2</v>
      </c>
    </row>
    <row r="141" spans="1:6" ht="15" customHeight="1" x14ac:dyDescent="0.2">
      <c r="A141" s="147">
        <v>9</v>
      </c>
      <c r="B141" s="169" t="s">
        <v>268</v>
      </c>
      <c r="C141" s="157">
        <v>2341241</v>
      </c>
      <c r="D141" s="157">
        <v>2548923</v>
      </c>
      <c r="E141" s="157">
        <f t="shared" si="8"/>
        <v>207682</v>
      </c>
      <c r="F141" s="161">
        <f t="shared" si="9"/>
        <v>8.8705946974275612E-2</v>
      </c>
    </row>
    <row r="142" spans="1:6" ht="15" customHeight="1" x14ac:dyDescent="0.2">
      <c r="A142" s="147">
        <v>10</v>
      </c>
      <c r="B142" s="169" t="s">
        <v>269</v>
      </c>
      <c r="C142" s="157">
        <v>21690614</v>
      </c>
      <c r="D142" s="157">
        <v>20980179</v>
      </c>
      <c r="E142" s="157">
        <f t="shared" si="8"/>
        <v>-710435</v>
      </c>
      <c r="F142" s="161">
        <f t="shared" si="9"/>
        <v>-3.2753106942938544E-2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19699097</v>
      </c>
      <c r="D144" s="157">
        <v>19636629</v>
      </c>
      <c r="E144" s="157">
        <f t="shared" si="8"/>
        <v>-62468</v>
      </c>
      <c r="F144" s="161">
        <f t="shared" si="9"/>
        <v>-3.1711098229527984E-3</v>
      </c>
    </row>
    <row r="145" spans="1:6" ht="15" customHeight="1" x14ac:dyDescent="0.2">
      <c r="A145" s="147">
        <v>13</v>
      </c>
      <c r="B145" s="169" t="s">
        <v>272</v>
      </c>
      <c r="C145" s="157">
        <v>308007</v>
      </c>
      <c r="D145" s="157">
        <v>338285</v>
      </c>
      <c r="E145" s="157">
        <f t="shared" si="8"/>
        <v>30278</v>
      </c>
      <c r="F145" s="161">
        <f t="shared" si="9"/>
        <v>9.8302960646998283E-2</v>
      </c>
    </row>
    <row r="146" spans="1:6" ht="15" customHeight="1" x14ac:dyDescent="0.2">
      <c r="A146" s="147">
        <v>14</v>
      </c>
      <c r="B146" s="169" t="s">
        <v>273</v>
      </c>
      <c r="C146" s="157">
        <v>303053</v>
      </c>
      <c r="D146" s="157">
        <v>521988</v>
      </c>
      <c r="E146" s="157">
        <f t="shared" si="8"/>
        <v>218935</v>
      </c>
      <c r="F146" s="161">
        <f t="shared" si="9"/>
        <v>0.72243138988889732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3295920</v>
      </c>
      <c r="D150" s="157">
        <v>3490833</v>
      </c>
      <c r="E150" s="157">
        <f t="shared" si="8"/>
        <v>194913</v>
      </c>
      <c r="F150" s="161">
        <f t="shared" si="9"/>
        <v>5.9137661108279324E-2</v>
      </c>
    </row>
    <row r="151" spans="1:6" ht="15" customHeight="1" x14ac:dyDescent="0.2">
      <c r="A151" s="147">
        <v>19</v>
      </c>
      <c r="B151" s="169" t="s">
        <v>278</v>
      </c>
      <c r="C151" s="157">
        <v>1167066</v>
      </c>
      <c r="D151" s="157">
        <v>1317444</v>
      </c>
      <c r="E151" s="157">
        <f t="shared" si="8"/>
        <v>150378</v>
      </c>
      <c r="F151" s="161">
        <f t="shared" si="9"/>
        <v>0.12885132460374993</v>
      </c>
    </row>
    <row r="152" spans="1:6" ht="15" customHeight="1" x14ac:dyDescent="0.2">
      <c r="A152" s="147">
        <v>20</v>
      </c>
      <c r="B152" s="169" t="s">
        <v>279</v>
      </c>
      <c r="C152" s="157">
        <v>1628105</v>
      </c>
      <c r="D152" s="157">
        <v>1690816</v>
      </c>
      <c r="E152" s="157">
        <f t="shared" si="8"/>
        <v>62711</v>
      </c>
      <c r="F152" s="161">
        <f t="shared" si="9"/>
        <v>3.8517786015029747E-2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706437</v>
      </c>
      <c r="D154" s="157">
        <v>708672</v>
      </c>
      <c r="E154" s="157">
        <f t="shared" si="8"/>
        <v>2235</v>
      </c>
      <c r="F154" s="161">
        <f t="shared" si="9"/>
        <v>3.1637640723801274E-3</v>
      </c>
    </row>
    <row r="155" spans="1:6" ht="15" customHeight="1" x14ac:dyDescent="0.2">
      <c r="A155" s="147">
        <v>23</v>
      </c>
      <c r="B155" s="169" t="s">
        <v>282</v>
      </c>
      <c r="C155" s="157">
        <v>1523944</v>
      </c>
      <c r="D155" s="157">
        <v>1435233</v>
      </c>
      <c r="E155" s="157">
        <f t="shared" si="8"/>
        <v>-88711</v>
      </c>
      <c r="F155" s="161">
        <f t="shared" si="9"/>
        <v>-5.8211456588956025E-2</v>
      </c>
    </row>
    <row r="156" spans="1:6" ht="15" customHeight="1" x14ac:dyDescent="0.2">
      <c r="A156" s="147">
        <v>24</v>
      </c>
      <c r="B156" s="169" t="s">
        <v>283</v>
      </c>
      <c r="C156" s="157">
        <v>17252641</v>
      </c>
      <c r="D156" s="157">
        <v>18127718</v>
      </c>
      <c r="E156" s="157">
        <f t="shared" si="8"/>
        <v>875077</v>
      </c>
      <c r="F156" s="161">
        <f t="shared" si="9"/>
        <v>5.0721335939233884E-2</v>
      </c>
    </row>
    <row r="157" spans="1:6" ht="15" customHeight="1" x14ac:dyDescent="0.2">
      <c r="A157" s="147">
        <v>25</v>
      </c>
      <c r="B157" s="169" t="s">
        <v>284</v>
      </c>
      <c r="C157" s="157">
        <v>2193483</v>
      </c>
      <c r="D157" s="157">
        <v>2220702</v>
      </c>
      <c r="E157" s="157">
        <f t="shared" si="8"/>
        <v>27219</v>
      </c>
      <c r="F157" s="161">
        <f t="shared" si="9"/>
        <v>1.2409031663340906E-2</v>
      </c>
    </row>
    <row r="158" spans="1:6" ht="15" customHeight="1" x14ac:dyDescent="0.2">
      <c r="A158" s="147">
        <v>26</v>
      </c>
      <c r="B158" s="169" t="s">
        <v>285</v>
      </c>
      <c r="C158" s="157">
        <v>274415</v>
      </c>
      <c r="D158" s="157">
        <v>582875</v>
      </c>
      <c r="E158" s="157">
        <f t="shared" si="8"/>
        <v>308460</v>
      </c>
      <c r="F158" s="161">
        <f t="shared" si="9"/>
        <v>1.1240639177887506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5304244</v>
      </c>
      <c r="D160" s="157">
        <v>5027458</v>
      </c>
      <c r="E160" s="157">
        <f t="shared" si="8"/>
        <v>-276786</v>
      </c>
      <c r="F160" s="161">
        <f t="shared" si="9"/>
        <v>-5.2181988611383637E-2</v>
      </c>
    </row>
    <row r="161" spans="1:6" ht="15" customHeight="1" x14ac:dyDescent="0.2">
      <c r="A161" s="147">
        <v>29</v>
      </c>
      <c r="B161" s="169" t="s">
        <v>288</v>
      </c>
      <c r="C161" s="157">
        <v>325481</v>
      </c>
      <c r="D161" s="157">
        <v>341214</v>
      </c>
      <c r="E161" s="157">
        <f t="shared" si="8"/>
        <v>15733</v>
      </c>
      <c r="F161" s="161">
        <f t="shared" si="9"/>
        <v>4.8337690986570647E-2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7984317</v>
      </c>
      <c r="D163" s="157">
        <v>8680205</v>
      </c>
      <c r="E163" s="157">
        <f t="shared" si="8"/>
        <v>695888</v>
      </c>
      <c r="F163" s="161">
        <f t="shared" si="9"/>
        <v>8.7156860129676716E-2</v>
      </c>
    </row>
    <row r="164" spans="1:6" ht="15" customHeight="1" x14ac:dyDescent="0.2">
      <c r="A164" s="147">
        <v>32</v>
      </c>
      <c r="B164" s="169" t="s">
        <v>291</v>
      </c>
      <c r="C164" s="157">
        <v>3523533</v>
      </c>
      <c r="D164" s="157">
        <v>3932236</v>
      </c>
      <c r="E164" s="157">
        <f t="shared" si="8"/>
        <v>408703</v>
      </c>
      <c r="F164" s="161">
        <f t="shared" si="9"/>
        <v>0.11599238605115944</v>
      </c>
    </row>
    <row r="165" spans="1:6" ht="15" customHeight="1" x14ac:dyDescent="0.2">
      <c r="A165" s="147">
        <v>33</v>
      </c>
      <c r="B165" s="169" t="s">
        <v>292</v>
      </c>
      <c r="C165" s="157">
        <v>1425916</v>
      </c>
      <c r="D165" s="157">
        <v>1445078</v>
      </c>
      <c r="E165" s="157">
        <f t="shared" si="8"/>
        <v>19162</v>
      </c>
      <c r="F165" s="161">
        <f t="shared" si="9"/>
        <v>1.3438379259367313E-2</v>
      </c>
    </row>
    <row r="166" spans="1:6" ht="15" customHeight="1" x14ac:dyDescent="0.2">
      <c r="A166" s="147">
        <v>34</v>
      </c>
      <c r="B166" s="169" t="s">
        <v>293</v>
      </c>
      <c r="C166" s="157">
        <v>6384741</v>
      </c>
      <c r="D166" s="157">
        <v>9624759</v>
      </c>
      <c r="E166" s="157">
        <f t="shared" si="8"/>
        <v>3240018</v>
      </c>
      <c r="F166" s="161">
        <f t="shared" si="9"/>
        <v>0.50746271461912085</v>
      </c>
    </row>
    <row r="167" spans="1:6" ht="15.75" customHeight="1" x14ac:dyDescent="0.25">
      <c r="A167" s="147"/>
      <c r="B167" s="165" t="s">
        <v>294</v>
      </c>
      <c r="C167" s="158">
        <f>SUM(C133:C166)</f>
        <v>174996784</v>
      </c>
      <c r="D167" s="158">
        <f>SUM(D133:D166)</f>
        <v>187027482</v>
      </c>
      <c r="E167" s="158">
        <f t="shared" si="8"/>
        <v>12030698</v>
      </c>
      <c r="F167" s="159">
        <f t="shared" si="9"/>
        <v>6.8748109108107955E-2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57638812</v>
      </c>
      <c r="D170" s="157">
        <v>57031713</v>
      </c>
      <c r="E170" s="157">
        <f t="shared" ref="E170:E183" si="10">D170-C170</f>
        <v>-607099</v>
      </c>
      <c r="F170" s="161">
        <f t="shared" ref="F170:F183" si="11">IF(C170=0,0,E170/C170)</f>
        <v>-1.0532815978233556E-2</v>
      </c>
    </row>
    <row r="171" spans="1:6" ht="15" customHeight="1" x14ac:dyDescent="0.2">
      <c r="A171" s="147">
        <v>2</v>
      </c>
      <c r="B171" s="169" t="s">
        <v>297</v>
      </c>
      <c r="C171" s="157">
        <v>7303390</v>
      </c>
      <c r="D171" s="157">
        <v>6813283</v>
      </c>
      <c r="E171" s="157">
        <f t="shared" si="10"/>
        <v>-490107</v>
      </c>
      <c r="F171" s="161">
        <f t="shared" si="11"/>
        <v>-6.7106781919081412E-2</v>
      </c>
    </row>
    <row r="172" spans="1:6" ht="15" customHeight="1" x14ac:dyDescent="0.2">
      <c r="A172" s="147">
        <v>3</v>
      </c>
      <c r="B172" s="169" t="s">
        <v>298</v>
      </c>
      <c r="C172" s="157">
        <v>4948317</v>
      </c>
      <c r="D172" s="157">
        <v>4443968</v>
      </c>
      <c r="E172" s="157">
        <f t="shared" si="10"/>
        <v>-504349</v>
      </c>
      <c r="F172" s="161">
        <f t="shared" si="11"/>
        <v>-0.10192334080456042</v>
      </c>
    </row>
    <row r="173" spans="1:6" ht="15" customHeight="1" x14ac:dyDescent="0.2">
      <c r="A173" s="147">
        <v>4</v>
      </c>
      <c r="B173" s="169" t="s">
        <v>299</v>
      </c>
      <c r="C173" s="157">
        <v>7263740</v>
      </c>
      <c r="D173" s="157">
        <v>7046829</v>
      </c>
      <c r="E173" s="157">
        <f t="shared" si="10"/>
        <v>-216911</v>
      </c>
      <c r="F173" s="161">
        <f t="shared" si="11"/>
        <v>-2.9862164669990941E-2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4027887</v>
      </c>
      <c r="D175" s="157">
        <v>4251112</v>
      </c>
      <c r="E175" s="157">
        <f t="shared" si="10"/>
        <v>223225</v>
      </c>
      <c r="F175" s="161">
        <f t="shared" si="11"/>
        <v>5.5419876476177209E-2</v>
      </c>
    </row>
    <row r="176" spans="1:6" ht="15" customHeight="1" x14ac:dyDescent="0.2">
      <c r="A176" s="147">
        <v>7</v>
      </c>
      <c r="B176" s="169" t="s">
        <v>302</v>
      </c>
      <c r="C176" s="157">
        <v>443932</v>
      </c>
      <c r="D176" s="157">
        <v>449172</v>
      </c>
      <c r="E176" s="157">
        <f t="shared" si="10"/>
        <v>5240</v>
      </c>
      <c r="F176" s="161">
        <f t="shared" si="11"/>
        <v>1.1803609561824784E-2</v>
      </c>
    </row>
    <row r="177" spans="1:6" ht="15" customHeight="1" x14ac:dyDescent="0.2">
      <c r="A177" s="147">
        <v>8</v>
      </c>
      <c r="B177" s="169" t="s">
        <v>303</v>
      </c>
      <c r="C177" s="157">
        <v>4317732</v>
      </c>
      <c r="D177" s="157">
        <v>3987848</v>
      </c>
      <c r="E177" s="157">
        <f t="shared" si="10"/>
        <v>-329884</v>
      </c>
      <c r="F177" s="161">
        <f t="shared" si="11"/>
        <v>-7.6402148164823575E-2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12562426</v>
      </c>
      <c r="D179" s="157">
        <v>11207477</v>
      </c>
      <c r="E179" s="157">
        <f t="shared" si="10"/>
        <v>-1354949</v>
      </c>
      <c r="F179" s="161">
        <f t="shared" si="11"/>
        <v>-0.10785727215427976</v>
      </c>
    </row>
    <row r="180" spans="1:6" ht="15" customHeight="1" x14ac:dyDescent="0.2">
      <c r="A180" s="147">
        <v>11</v>
      </c>
      <c r="B180" s="169" t="s">
        <v>306</v>
      </c>
      <c r="C180" s="157">
        <v>660832</v>
      </c>
      <c r="D180" s="157">
        <v>2243876</v>
      </c>
      <c r="E180" s="157">
        <f t="shared" si="10"/>
        <v>1583044</v>
      </c>
      <c r="F180" s="161">
        <f t="shared" si="11"/>
        <v>2.395531693380466</v>
      </c>
    </row>
    <row r="181" spans="1:6" ht="15" customHeight="1" x14ac:dyDescent="0.2">
      <c r="A181" s="147">
        <v>12</v>
      </c>
      <c r="B181" s="169" t="s">
        <v>307</v>
      </c>
      <c r="C181" s="157">
        <v>5799200</v>
      </c>
      <c r="D181" s="157">
        <v>8566532</v>
      </c>
      <c r="E181" s="157">
        <f t="shared" si="10"/>
        <v>2767332</v>
      </c>
      <c r="F181" s="161">
        <f t="shared" si="11"/>
        <v>0.4771920264864119</v>
      </c>
    </row>
    <row r="182" spans="1:6" ht="15" customHeight="1" x14ac:dyDescent="0.2">
      <c r="A182" s="147">
        <v>13</v>
      </c>
      <c r="B182" s="169" t="s">
        <v>308</v>
      </c>
      <c r="C182" s="157">
        <v>5388307</v>
      </c>
      <c r="D182" s="157">
        <v>5100949</v>
      </c>
      <c r="E182" s="157">
        <f t="shared" si="10"/>
        <v>-287358</v>
      </c>
      <c r="F182" s="161">
        <f t="shared" si="11"/>
        <v>-5.3329923480603461E-2</v>
      </c>
    </row>
    <row r="183" spans="1:6" ht="15.75" customHeight="1" x14ac:dyDescent="0.25">
      <c r="A183" s="147"/>
      <c r="B183" s="165" t="s">
        <v>309</v>
      </c>
      <c r="C183" s="158">
        <f>SUM(C170:C182)</f>
        <v>110354575</v>
      </c>
      <c r="D183" s="158">
        <f>SUM(D170:D182)</f>
        <v>111142759</v>
      </c>
      <c r="E183" s="158">
        <f t="shared" si="10"/>
        <v>788184</v>
      </c>
      <c r="F183" s="159">
        <f t="shared" si="11"/>
        <v>7.1422865794191137E-3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2317172</v>
      </c>
      <c r="D186" s="157">
        <v>3877634</v>
      </c>
      <c r="E186" s="157">
        <f>D186-C186</f>
        <v>1560462</v>
      </c>
      <c r="F186" s="161">
        <f>IF(C186=0,0,E186/C186)</f>
        <v>0.67343382364364834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681612332</v>
      </c>
      <c r="D188" s="158">
        <f>+D186+D183+D167+D130+D121</f>
        <v>760697798</v>
      </c>
      <c r="E188" s="158">
        <f>D188-C188</f>
        <v>79085466</v>
      </c>
      <c r="F188" s="159">
        <f>IF(C188=0,0,E188/C188)</f>
        <v>0.11602704688154028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7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abSelected="1" zoomScale="75" zoomScaleSheetLayoutView="75" workbookViewId="0">
      <selection activeCell="F54" sqref="F54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18.5703125" style="70" bestFit="1" customWidth="1"/>
    <col min="4" max="5" width="18.5703125" style="222" bestFit="1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648781738</v>
      </c>
      <c r="D11" s="183">
        <v>649231569</v>
      </c>
      <c r="E11" s="76">
        <v>730460340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32428240</v>
      </c>
      <c r="D12" s="185">
        <v>35437869</v>
      </c>
      <c r="E12" s="185">
        <v>40641698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681209978</v>
      </c>
      <c r="D13" s="76">
        <f>+D11+D12</f>
        <v>684669438</v>
      </c>
      <c r="E13" s="76">
        <f>+E11+E12</f>
        <v>771102038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666788583</v>
      </c>
      <c r="D14" s="185">
        <v>681612332</v>
      </c>
      <c r="E14" s="185">
        <v>760697798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14421395</v>
      </c>
      <c r="D15" s="76">
        <f>+D13-D14</f>
        <v>3057106</v>
      </c>
      <c r="E15" s="76">
        <f>+E13-E14</f>
        <v>10404240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1198724</v>
      </c>
      <c r="D16" s="185">
        <v>-20060236</v>
      </c>
      <c r="E16" s="185">
        <v>1924823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15620119</v>
      </c>
      <c r="D17" s="76">
        <f>D15+D16</f>
        <v>-17003130</v>
      </c>
      <c r="E17" s="76">
        <f>E15+E16</f>
        <v>12329063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2.1133076055058864E-2</v>
      </c>
      <c r="D20" s="189">
        <f>IF(+D27=0,0,+D24/+D27)</f>
        <v>4.5998550588831604E-3</v>
      </c>
      <c r="E20" s="189">
        <f>IF(+E27=0,0,+E24/+E27)</f>
        <v>1.3459092464834801E-2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1.7566071424452614E-3</v>
      </c>
      <c r="D21" s="189">
        <f>IF(D27=0,0,+D26/D27)</f>
        <v>-3.0183506246427204E-2</v>
      </c>
      <c r="E21" s="189">
        <f>IF(E27=0,0,+E26/E27)</f>
        <v>2.489982039576242E-3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2.2889683197504125E-2</v>
      </c>
      <c r="D22" s="189">
        <f>IF(D27=0,0,+D28/D27)</f>
        <v>-2.5583651187544045E-2</v>
      </c>
      <c r="E22" s="189">
        <f>IF(E27=0,0,+E28/E27)</f>
        <v>1.5949074504411045E-2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14421395</v>
      </c>
      <c r="D24" s="76">
        <f>+D15</f>
        <v>3057106</v>
      </c>
      <c r="E24" s="76">
        <f>+E15</f>
        <v>10404240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681209978</v>
      </c>
      <c r="D25" s="76">
        <f>+D13</f>
        <v>684669438</v>
      </c>
      <c r="E25" s="76">
        <f>+E13</f>
        <v>771102038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1198724</v>
      </c>
      <c r="D26" s="76">
        <f>+D16</f>
        <v>-20060236</v>
      </c>
      <c r="E26" s="76">
        <f>+E16</f>
        <v>1924823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682408702</v>
      </c>
      <c r="D27" s="76">
        <f>+D25+D26</f>
        <v>664609202</v>
      </c>
      <c r="E27" s="76">
        <f>+E25+E26</f>
        <v>773026861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15620119</v>
      </c>
      <c r="D28" s="76">
        <f>+D17</f>
        <v>-17003130</v>
      </c>
      <c r="E28" s="76">
        <f>+E17</f>
        <v>12329063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100020000</v>
      </c>
      <c r="D31" s="76">
        <v>52342000</v>
      </c>
      <c r="E31" s="76">
        <v>49222000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181694000</v>
      </c>
      <c r="D32" s="76">
        <v>129938000</v>
      </c>
      <c r="E32" s="76">
        <v>133905000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-27262000</v>
      </c>
      <c r="D33" s="76">
        <f>+D32-C32</f>
        <v>-51756000</v>
      </c>
      <c r="E33" s="76">
        <f>+E32-D32</f>
        <v>3967000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0.86950000000000005</v>
      </c>
      <c r="D34" s="193">
        <f>IF(C32=0,0,+D33/C32)</f>
        <v>-0.28485255429458323</v>
      </c>
      <c r="E34" s="193">
        <f>IF(D32=0,0,+E33/D32)</f>
        <v>3.0529945050716496E-2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0.33056275670802759</v>
      </c>
      <c r="D38" s="195">
        <f>IF((D40+D41)=0,0,+D39/(D40+D41))</f>
        <v>0.31915887402859477</v>
      </c>
      <c r="E38" s="195">
        <f>IF((E40+E41)=0,0,+E39/(E40+E41))</f>
        <v>0.33226233346479461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666788583</v>
      </c>
      <c r="D39" s="76">
        <v>681612332</v>
      </c>
      <c r="E39" s="196">
        <v>760697798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1988630574</v>
      </c>
      <c r="D40" s="76">
        <v>2104370392</v>
      </c>
      <c r="E40" s="196">
        <v>2252204496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28501028</v>
      </c>
      <c r="D41" s="76">
        <v>31281747</v>
      </c>
      <c r="E41" s="196">
        <v>37244898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1.4010335989178411</v>
      </c>
      <c r="D43" s="197">
        <f>IF(D38=0,0,IF((D46-D47)=0,0,((+D44-D45)/(D46-D47)/D38)))</f>
        <v>1.5129149011662626</v>
      </c>
      <c r="E43" s="197">
        <f>IF(E38=0,0,IF((E46-E47)=0,0,((+E44-E45)/(E46-E47)/E38)))</f>
        <v>1.4430353807284184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287706838</v>
      </c>
      <c r="D44" s="76">
        <v>309740024</v>
      </c>
      <c r="E44" s="196">
        <v>342525906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735924</v>
      </c>
      <c r="D45" s="76">
        <v>1597366</v>
      </c>
      <c r="E45" s="196">
        <v>7244680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652139718</v>
      </c>
      <c r="D46" s="76">
        <v>667229821</v>
      </c>
      <c r="E46" s="196">
        <v>733058567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32505477</v>
      </c>
      <c r="D47" s="76">
        <v>29068615</v>
      </c>
      <c r="E47" s="76">
        <v>33778505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0.92633176729830191</v>
      </c>
      <c r="D49" s="198">
        <f>IF(D38=0,0,IF(D51=0,0,(D50/D51)/D38))</f>
        <v>0.84913917512515957</v>
      </c>
      <c r="E49" s="198">
        <f>IF(E38=0,0,IF(E51=0,0,(E50/E51)/E38))</f>
        <v>0.80566011894197398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275515865</v>
      </c>
      <c r="D50" s="199">
        <v>262764185</v>
      </c>
      <c r="E50" s="199">
        <v>274396489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899758861</v>
      </c>
      <c r="D51" s="199">
        <v>969572677</v>
      </c>
      <c r="E51" s="199">
        <v>1025051235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0.70922698111515148</v>
      </c>
      <c r="D53" s="198">
        <f>IF(D38=0,0,IF(D55=0,0,(D54/D55)/D38))</f>
        <v>0.66565900879618922</v>
      </c>
      <c r="E53" s="198">
        <f>IF(E38=0,0,IF(E55=0,0,(E54/E55)/E38))</f>
        <v>0.57764491991405065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101488590</v>
      </c>
      <c r="D54" s="199">
        <v>98288600</v>
      </c>
      <c r="E54" s="199">
        <v>93915526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432890493</v>
      </c>
      <c r="D55" s="199">
        <v>462641312</v>
      </c>
      <c r="E55" s="199">
        <v>489322658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8707888.0944237523</v>
      </c>
      <c r="D57" s="88">
        <f>+D60*D38</f>
        <v>8006400.683507761</v>
      </c>
      <c r="E57" s="88">
        <f>+E60*E38</f>
        <v>7366390.1668972159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4494629</v>
      </c>
      <c r="D58" s="199">
        <v>4105108</v>
      </c>
      <c r="E58" s="199">
        <v>7595231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21847988</v>
      </c>
      <c r="D59" s="199">
        <v>20980833</v>
      </c>
      <c r="E59" s="199">
        <v>14575173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26342617</v>
      </c>
      <c r="D60" s="76">
        <v>25085941</v>
      </c>
      <c r="E60" s="201">
        <v>22170404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1.3059443902361707E-2</v>
      </c>
      <c r="D62" s="202">
        <f>IF(D63=0,0,+D57/D63)</f>
        <v>1.1746267354076806E-2</v>
      </c>
      <c r="E62" s="202">
        <f>IF(E63=0,0,+E57/E63)</f>
        <v>9.6837274753057926E-3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666788583</v>
      </c>
      <c r="D63" s="199">
        <v>681612332</v>
      </c>
      <c r="E63" s="199">
        <v>760697798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2.0354692250801216</v>
      </c>
      <c r="D67" s="203">
        <f>IF(D69=0,0,D68/D69)</f>
        <v>1.8488153675318342</v>
      </c>
      <c r="E67" s="203">
        <f>IF(E69=0,0,E68/E69)</f>
        <v>1.9414583976139053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198157000</v>
      </c>
      <c r="D68" s="204">
        <v>178150000</v>
      </c>
      <c r="E68" s="204">
        <v>188768000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97352000</v>
      </c>
      <c r="D69" s="204">
        <v>96359000</v>
      </c>
      <c r="E69" s="204">
        <v>97230000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55.484392988586464</v>
      </c>
      <c r="D71" s="203">
        <f>IF((D77/365)=0,0,+D74/(D77/365))</f>
        <v>48.813398454516339</v>
      </c>
      <c r="E71" s="203">
        <f>IF((E77/365)=0,0,+E74/(E77/365))</f>
        <v>27.956827165841162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70507000</v>
      </c>
      <c r="D72" s="183">
        <v>76694000</v>
      </c>
      <c r="E72" s="183">
        <v>17282000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25411000</v>
      </c>
      <c r="D73" s="206">
        <v>9418000</v>
      </c>
      <c r="E73" s="206">
        <v>37626000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95918000</v>
      </c>
      <c r="D74" s="204">
        <f>+D72+D73</f>
        <v>86112000</v>
      </c>
      <c r="E74" s="204">
        <f>+E72+E73</f>
        <v>54908000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666788583</v>
      </c>
      <c r="D75" s="204">
        <f>+D14</f>
        <v>681612332</v>
      </c>
      <c r="E75" s="204">
        <f>+E14</f>
        <v>760697798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35799072</v>
      </c>
      <c r="D76" s="204">
        <v>37713710</v>
      </c>
      <c r="E76" s="204">
        <v>43827465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630989511</v>
      </c>
      <c r="D77" s="204">
        <f>+D75-D76</f>
        <v>643898622</v>
      </c>
      <c r="E77" s="204">
        <f>+E75-E76</f>
        <v>716870333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31.510828376615002</v>
      </c>
      <c r="D79" s="203">
        <f>IF((D84/365)=0,0,+D83/(D84/365))</f>
        <v>29.659586685933323</v>
      </c>
      <c r="E79" s="203">
        <f>IF((E84/365)=0,0,+E83/(E84/365))</f>
        <v>30.555231787122075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70949000</v>
      </c>
      <c r="D80" s="212">
        <v>65284000</v>
      </c>
      <c r="E80" s="212">
        <v>64589000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5513000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14939000</v>
      </c>
      <c r="D82" s="212">
        <v>12528000</v>
      </c>
      <c r="E82" s="212">
        <v>8953000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56010000</v>
      </c>
      <c r="D83" s="212">
        <f>+D80+D81-D82</f>
        <v>52756000</v>
      </c>
      <c r="E83" s="212">
        <f>+E80+E81-E82</f>
        <v>61149000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648781738</v>
      </c>
      <c r="D84" s="204">
        <f>+D11</f>
        <v>649231569</v>
      </c>
      <c r="E84" s="204">
        <f>+E11</f>
        <v>730460340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56.313899645789832</v>
      </c>
      <c r="D86" s="203">
        <f>IF((D90/365)=0,0,+D87/(D90/365))</f>
        <v>54.622006940713725</v>
      </c>
      <c r="E86" s="203">
        <f>IF((E90/365)=0,0,+E87/(E90/365))</f>
        <v>49.505396396421943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97352000</v>
      </c>
      <c r="D87" s="76">
        <f>+D69</f>
        <v>96359000</v>
      </c>
      <c r="E87" s="76">
        <f>+E69</f>
        <v>97230000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666788583</v>
      </c>
      <c r="D88" s="76">
        <f t="shared" si="0"/>
        <v>681612332</v>
      </c>
      <c r="E88" s="76">
        <f t="shared" si="0"/>
        <v>760697798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35799072</v>
      </c>
      <c r="D89" s="201">
        <f t="shared" si="0"/>
        <v>37713710</v>
      </c>
      <c r="E89" s="201">
        <f t="shared" si="0"/>
        <v>43827465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630989511</v>
      </c>
      <c r="D90" s="76">
        <f>+D88-D89</f>
        <v>643898622</v>
      </c>
      <c r="E90" s="76">
        <f>+E88-E89</f>
        <v>716870333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23.289146156074477</v>
      </c>
      <c r="D94" s="214">
        <f>IF(D96=0,0,(D95/D96)*100)</f>
        <v>17.347433290656085</v>
      </c>
      <c r="E94" s="214">
        <f>IF(E96=0,0,(E95/E96)*100)</f>
        <v>17.898316230987927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181694000</v>
      </c>
      <c r="D95" s="76">
        <f>+D32</f>
        <v>129938000</v>
      </c>
      <c r="E95" s="76">
        <f>+E32</f>
        <v>133905000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780166000</v>
      </c>
      <c r="D96" s="76">
        <v>749033000</v>
      </c>
      <c r="E96" s="76">
        <v>748143000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14.740557237377732</v>
      </c>
      <c r="D98" s="214">
        <f>IF(D104=0,0,(D101/D104)*100)</f>
        <v>6.0821701374103192</v>
      </c>
      <c r="E98" s="214">
        <f>IF(E104=0,0,(E101/E104)*100)</f>
        <v>16.765044393095334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15620119</v>
      </c>
      <c r="D99" s="76">
        <f>+D28</f>
        <v>-17003130</v>
      </c>
      <c r="E99" s="76">
        <f>+E28</f>
        <v>12329063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35799072</v>
      </c>
      <c r="D100" s="201">
        <f>+D76</f>
        <v>37713710</v>
      </c>
      <c r="E100" s="201">
        <f>+E76</f>
        <v>43827465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51419191</v>
      </c>
      <c r="D101" s="76">
        <f>+D99+D100</f>
        <v>20710580</v>
      </c>
      <c r="E101" s="76">
        <f>+E99+E100</f>
        <v>56156528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97352000</v>
      </c>
      <c r="D102" s="204">
        <f>+D69</f>
        <v>96359000</v>
      </c>
      <c r="E102" s="204">
        <f>+E69</f>
        <v>97230000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251476000</v>
      </c>
      <c r="D103" s="216">
        <v>244154000</v>
      </c>
      <c r="E103" s="216">
        <v>237732000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348828000</v>
      </c>
      <c r="D104" s="204">
        <f>+D102+D103</f>
        <v>340513000</v>
      </c>
      <c r="E104" s="204">
        <f>+E102+E103</f>
        <v>334962000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58.05480527275666</v>
      </c>
      <c r="D106" s="214">
        <f>IF(D109=0,0,(D107/D109)*100)</f>
        <v>65.265763502026246</v>
      </c>
      <c r="E106" s="214">
        <f>IF(E109=0,0,(E107/E109)*100)</f>
        <v>63.968872851734346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251476000</v>
      </c>
      <c r="D107" s="204">
        <f>+D103</f>
        <v>244154000</v>
      </c>
      <c r="E107" s="204">
        <f>+E103</f>
        <v>237732000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181694000</v>
      </c>
      <c r="D108" s="204">
        <f>+D32</f>
        <v>129938000</v>
      </c>
      <c r="E108" s="204">
        <f>+E32</f>
        <v>133905000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433170000</v>
      </c>
      <c r="D109" s="204">
        <f>+D107+D108</f>
        <v>374092000</v>
      </c>
      <c r="E109" s="204">
        <f>+E107+E108</f>
        <v>371637000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3.1184027203921225</v>
      </c>
      <c r="D111" s="214">
        <f>IF((+D113+D115)=0,0,((+D112+D113+D114)/(+D113+D115)))</f>
        <v>1.5981753354484387</v>
      </c>
      <c r="E111" s="214">
        <f>IF((+E113+E115)=0,0,((+E112+E113+E114)/(+E113+E115)))</f>
        <v>4.8393974691325115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15620119</v>
      </c>
      <c r="D112" s="76">
        <f>+D17</f>
        <v>-17003130</v>
      </c>
      <c r="E112" s="76">
        <f>+E17</f>
        <v>12329063</v>
      </c>
    </row>
    <row r="113" spans="1:8" ht="24" customHeight="1" x14ac:dyDescent="0.2">
      <c r="A113" s="85">
        <v>17</v>
      </c>
      <c r="B113" s="75" t="s">
        <v>88</v>
      </c>
      <c r="C113" s="218">
        <v>11620321</v>
      </c>
      <c r="D113" s="76">
        <v>11151596</v>
      </c>
      <c r="E113" s="76">
        <v>8464953</v>
      </c>
    </row>
    <row r="114" spans="1:8" ht="24" customHeight="1" x14ac:dyDescent="0.2">
      <c r="A114" s="85">
        <v>18</v>
      </c>
      <c r="B114" s="75" t="s">
        <v>374</v>
      </c>
      <c r="C114" s="218">
        <v>35799072</v>
      </c>
      <c r="D114" s="76">
        <v>37713710</v>
      </c>
      <c r="E114" s="76">
        <v>43827465</v>
      </c>
    </row>
    <row r="115" spans="1:8" ht="24" customHeight="1" x14ac:dyDescent="0.2">
      <c r="A115" s="85">
        <v>19</v>
      </c>
      <c r="B115" s="75" t="s">
        <v>104</v>
      </c>
      <c r="C115" s="218">
        <v>8595000</v>
      </c>
      <c r="D115" s="76">
        <v>8785000</v>
      </c>
      <c r="E115" s="76">
        <v>4888255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10.925786009201579</v>
      </c>
      <c r="D119" s="214">
        <f>IF(+D121=0,0,(+D120)/(+D121))</f>
        <v>11.336938211594669</v>
      </c>
      <c r="E119" s="214">
        <f>IF(+E121=0,0,(+E120)/(+E121))</f>
        <v>0.99786743312669346</v>
      </c>
    </row>
    <row r="120" spans="1:8" ht="24" customHeight="1" x14ac:dyDescent="0.2">
      <c r="A120" s="85">
        <v>21</v>
      </c>
      <c r="B120" s="75" t="s">
        <v>378</v>
      </c>
      <c r="C120" s="218">
        <v>391133000</v>
      </c>
      <c r="D120" s="218">
        <v>427558000</v>
      </c>
      <c r="E120" s="218">
        <v>43734000</v>
      </c>
    </row>
    <row r="121" spans="1:8" ht="24" customHeight="1" x14ac:dyDescent="0.2">
      <c r="A121" s="85">
        <v>22</v>
      </c>
      <c r="B121" s="75" t="s">
        <v>374</v>
      </c>
      <c r="C121" s="218">
        <v>35799072</v>
      </c>
      <c r="D121" s="218">
        <v>37713710</v>
      </c>
      <c r="E121" s="218">
        <v>43827465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151867</v>
      </c>
      <c r="D124" s="218">
        <v>152490</v>
      </c>
      <c r="E124" s="218">
        <v>143708</v>
      </c>
    </row>
    <row r="125" spans="1:8" ht="24" customHeight="1" x14ac:dyDescent="0.2">
      <c r="A125" s="85">
        <v>2</v>
      </c>
      <c r="B125" s="75" t="s">
        <v>381</v>
      </c>
      <c r="C125" s="218">
        <v>31234</v>
      </c>
      <c r="D125" s="218">
        <v>31632</v>
      </c>
      <c r="E125" s="218">
        <v>32534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4.8622334635333289</v>
      </c>
      <c r="D126" s="219">
        <f>IF(D125=0,0,D124/D125)</f>
        <v>4.8207511380880117</v>
      </c>
      <c r="E126" s="219">
        <f>IF(E125=0,0,E124/E125)</f>
        <v>4.417163582713469</v>
      </c>
    </row>
    <row r="127" spans="1:8" ht="24" customHeight="1" x14ac:dyDescent="0.2">
      <c r="A127" s="85">
        <v>4</v>
      </c>
      <c r="B127" s="75" t="s">
        <v>383</v>
      </c>
      <c r="C127" s="218">
        <v>595</v>
      </c>
      <c r="D127" s="218">
        <v>607</v>
      </c>
      <c r="E127" s="218">
        <v>593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607</v>
      </c>
      <c r="E128" s="218">
        <v>593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595</v>
      </c>
      <c r="D129" s="218">
        <v>682</v>
      </c>
      <c r="E129" s="218">
        <v>682</v>
      </c>
    </row>
    <row r="130" spans="1:7" ht="24" customHeight="1" x14ac:dyDescent="0.2">
      <c r="A130" s="85">
        <v>7</v>
      </c>
      <c r="B130" s="75" t="s">
        <v>386</v>
      </c>
      <c r="C130" s="193">
        <v>0.69920000000000004</v>
      </c>
      <c r="D130" s="193">
        <v>0.68820000000000003</v>
      </c>
      <c r="E130" s="193">
        <v>0.66390000000000005</v>
      </c>
    </row>
    <row r="131" spans="1:7" ht="24" customHeight="1" x14ac:dyDescent="0.2">
      <c r="A131" s="85">
        <v>8</v>
      </c>
      <c r="B131" s="75" t="s">
        <v>387</v>
      </c>
      <c r="C131" s="193">
        <v>0.69920000000000004</v>
      </c>
      <c r="D131" s="193">
        <v>0.68820000000000003</v>
      </c>
      <c r="E131" s="193">
        <v>0.66390000000000005</v>
      </c>
    </row>
    <row r="132" spans="1:7" ht="24" customHeight="1" x14ac:dyDescent="0.2">
      <c r="A132" s="85">
        <v>9</v>
      </c>
      <c r="B132" s="75" t="s">
        <v>388</v>
      </c>
      <c r="C132" s="219">
        <v>3802.8</v>
      </c>
      <c r="D132" s="219">
        <v>3789.1</v>
      </c>
      <c r="E132" s="219">
        <v>3718.7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0.31158841119175107</v>
      </c>
      <c r="D135" s="227">
        <f>IF(D149=0,0,D143/D149)</f>
        <v>0.30325517239077371</v>
      </c>
      <c r="E135" s="227">
        <f>IF(E149=0,0,E143/E149)</f>
        <v>0.31048693102333635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0.45245148735201934</v>
      </c>
      <c r="D136" s="227">
        <f>IF(D149=0,0,D144/D149)</f>
        <v>0.46074240575040365</v>
      </c>
      <c r="E136" s="227">
        <f>IF(E149=0,0,E144/E149)</f>
        <v>0.45513239886543588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0.21768271023273528</v>
      </c>
      <c r="D137" s="227">
        <f>IF(D149=0,0,D145/D149)</f>
        <v>0.21984785271584453</v>
      </c>
      <c r="E137" s="227">
        <f>IF(E149=0,0,E145/E149)</f>
        <v>0.21726386696636804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1.6345658879526007E-2</v>
      </c>
      <c r="D139" s="227">
        <f>IF(D149=0,0,D147/D149)</f>
        <v>1.3813449909059545E-2</v>
      </c>
      <c r="E139" s="227">
        <f>IF(E149=0,0,E147/E149)</f>
        <v>1.4997974233686104E-2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1.9317323439682768E-3</v>
      </c>
      <c r="D140" s="227">
        <f>IF(D149=0,0,D148/D149)</f>
        <v>2.3411192339185885E-3</v>
      </c>
      <c r="E140" s="227">
        <f>IF(E149=0,0,E148/E149)</f>
        <v>2.118828911173615E-3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619634241</v>
      </c>
      <c r="D143" s="229">
        <f>+D46-D147</f>
        <v>638161206</v>
      </c>
      <c r="E143" s="229">
        <f>+E46-E147</f>
        <v>699280062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899758861</v>
      </c>
      <c r="D144" s="229">
        <f>+D51</f>
        <v>969572677</v>
      </c>
      <c r="E144" s="229">
        <f>+E51</f>
        <v>1025051235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432890493</v>
      </c>
      <c r="D145" s="229">
        <f>+D55</f>
        <v>462641312</v>
      </c>
      <c r="E145" s="229">
        <f>+E55</f>
        <v>489322658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32505477</v>
      </c>
      <c r="D147" s="229">
        <f>+D47</f>
        <v>29068615</v>
      </c>
      <c r="E147" s="229">
        <f>+E47</f>
        <v>33778505</v>
      </c>
    </row>
    <row r="148" spans="1:7" ht="20.100000000000001" customHeight="1" x14ac:dyDescent="0.2">
      <c r="A148" s="226">
        <v>13</v>
      </c>
      <c r="B148" s="224" t="s">
        <v>402</v>
      </c>
      <c r="C148" s="230">
        <v>3841502</v>
      </c>
      <c r="D148" s="229">
        <v>4926582</v>
      </c>
      <c r="E148" s="229">
        <v>4772036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1988630574</v>
      </c>
      <c r="D149" s="229">
        <f>SUM(D143:D148)</f>
        <v>2104370392</v>
      </c>
      <c r="E149" s="229">
        <f>SUM(E143:E148)</f>
        <v>2252204496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0.43150883507277965</v>
      </c>
      <c r="D152" s="227">
        <f>IF(D166=0,0,D160/D166)</f>
        <v>0.45866561017600016</v>
      </c>
      <c r="E152" s="227">
        <f>IF(E166=0,0,E160/E166)</f>
        <v>0.47103909836410468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0.41428425025059934</v>
      </c>
      <c r="D153" s="227">
        <f>IF(D166=0,0,D161/D166)</f>
        <v>0.39112045059799672</v>
      </c>
      <c r="E153" s="227">
        <f>IF(E166=0,0,E161/E166)</f>
        <v>0.38550167665169527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0.15260509378340326</v>
      </c>
      <c r="D154" s="227">
        <f>IF(D166=0,0,D162/D166)</f>
        <v>0.14630107037093451</v>
      </c>
      <c r="E154" s="227">
        <f>IF(E166=0,0,E162/E166)</f>
        <v>0.13194262385997904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1.1065849967711373E-3</v>
      </c>
      <c r="D156" s="227">
        <f>IF(D166=0,0,D164/D166)</f>
        <v>2.3776547389436639E-3</v>
      </c>
      <c r="E156" s="227">
        <f>IF(E166=0,0,E164/E166)</f>
        <v>1.0178105036923428E-2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4.9523589644659991E-4</v>
      </c>
      <c r="D157" s="227">
        <f>IF(D166=0,0,D165/D166)</f>
        <v>1.5352141161249591E-3</v>
      </c>
      <c r="E157" s="227">
        <f>IF(E166=0,0,E165/E166)</f>
        <v>1.3384960872975782E-3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286970914</v>
      </c>
      <c r="D160" s="229">
        <f>+D44-D164</f>
        <v>308142658</v>
      </c>
      <c r="E160" s="229">
        <f>+E44-E164</f>
        <v>335281226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275515865</v>
      </c>
      <c r="D161" s="229">
        <f>+D50</f>
        <v>262764185</v>
      </c>
      <c r="E161" s="229">
        <f>+E50</f>
        <v>274396489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101488590</v>
      </c>
      <c r="D162" s="229">
        <f>+D54</f>
        <v>98288600</v>
      </c>
      <c r="E162" s="229">
        <f>+E54</f>
        <v>93915526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735924</v>
      </c>
      <c r="D164" s="229">
        <f>+D45</f>
        <v>1597366</v>
      </c>
      <c r="E164" s="229">
        <f>+E45</f>
        <v>7244680</v>
      </c>
    </row>
    <row r="165" spans="1:6" ht="20.100000000000001" customHeight="1" x14ac:dyDescent="0.2">
      <c r="A165" s="226">
        <v>13</v>
      </c>
      <c r="B165" s="224" t="s">
        <v>417</v>
      </c>
      <c r="C165" s="230">
        <v>329352</v>
      </c>
      <c r="D165" s="229">
        <v>1031394</v>
      </c>
      <c r="E165" s="229">
        <v>952729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665040645</v>
      </c>
      <c r="D166" s="229">
        <f>SUM(D160:D165)</f>
        <v>671824203</v>
      </c>
      <c r="E166" s="229">
        <f>SUM(E160:E165)</f>
        <v>711790650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9526</v>
      </c>
      <c r="D169" s="218">
        <v>9314</v>
      </c>
      <c r="E169" s="218">
        <v>9579</v>
      </c>
    </row>
    <row r="170" spans="1:6" ht="20.100000000000001" customHeight="1" x14ac:dyDescent="0.2">
      <c r="A170" s="226">
        <v>2</v>
      </c>
      <c r="B170" s="224" t="s">
        <v>420</v>
      </c>
      <c r="C170" s="218">
        <v>13744</v>
      </c>
      <c r="D170" s="218">
        <v>14409</v>
      </c>
      <c r="E170" s="218">
        <v>14763</v>
      </c>
    </row>
    <row r="171" spans="1:6" ht="20.100000000000001" customHeight="1" x14ac:dyDescent="0.2">
      <c r="A171" s="226">
        <v>3</v>
      </c>
      <c r="B171" s="224" t="s">
        <v>421</v>
      </c>
      <c r="C171" s="218">
        <v>7876</v>
      </c>
      <c r="D171" s="218">
        <v>7833</v>
      </c>
      <c r="E171" s="218">
        <v>8114</v>
      </c>
    </row>
    <row r="172" spans="1:6" ht="20.100000000000001" customHeight="1" x14ac:dyDescent="0.2">
      <c r="A172" s="226">
        <v>4</v>
      </c>
      <c r="B172" s="224" t="s">
        <v>422</v>
      </c>
      <c r="C172" s="218">
        <v>7876</v>
      </c>
      <c r="D172" s="218">
        <v>7833</v>
      </c>
      <c r="E172" s="218">
        <v>8114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88</v>
      </c>
      <c r="D174" s="218">
        <v>76</v>
      </c>
      <c r="E174" s="218">
        <v>78</v>
      </c>
    </row>
    <row r="175" spans="1:6" ht="20.100000000000001" customHeight="1" x14ac:dyDescent="0.2">
      <c r="A175" s="226">
        <v>7</v>
      </c>
      <c r="B175" s="224" t="s">
        <v>425</v>
      </c>
      <c r="C175" s="218">
        <v>319</v>
      </c>
      <c r="D175" s="218">
        <v>266</v>
      </c>
      <c r="E175" s="218">
        <v>306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31234</v>
      </c>
      <c r="D176" s="218">
        <f>+D169+D170+D171+D174</f>
        <v>31632</v>
      </c>
      <c r="E176" s="218">
        <f>+E169+E170+E171+E174</f>
        <v>32534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1.4157</v>
      </c>
      <c r="D179" s="231">
        <v>1.4554</v>
      </c>
      <c r="E179" s="231">
        <v>1.4925999999999999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1.696</v>
      </c>
      <c r="D180" s="231">
        <v>1.6785000000000001</v>
      </c>
      <c r="E180" s="231">
        <v>1.7437</v>
      </c>
    </row>
    <row r="181" spans="1:6" ht="20.100000000000001" customHeight="1" x14ac:dyDescent="0.2">
      <c r="A181" s="226">
        <v>3</v>
      </c>
      <c r="B181" s="224" t="s">
        <v>421</v>
      </c>
      <c r="C181" s="231">
        <v>1.1567000000000001</v>
      </c>
      <c r="D181" s="231">
        <v>1.2070000000000001</v>
      </c>
      <c r="E181" s="231">
        <v>1.2170000000000001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1.1567000000000001</v>
      </c>
      <c r="D182" s="231">
        <v>1.2070000000000001</v>
      </c>
      <c r="E182" s="231">
        <v>1.2170000000000001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1.07</v>
      </c>
      <c r="D184" s="231">
        <v>1.3247</v>
      </c>
      <c r="E184" s="231">
        <v>0.94910000000000005</v>
      </c>
    </row>
    <row r="185" spans="1:6" ht="20.100000000000001" customHeight="1" x14ac:dyDescent="0.2">
      <c r="A185" s="226">
        <v>7</v>
      </c>
      <c r="B185" s="224" t="s">
        <v>425</v>
      </c>
      <c r="C185" s="231">
        <v>1.2447999999999999</v>
      </c>
      <c r="D185" s="231">
        <v>1.2336</v>
      </c>
      <c r="E185" s="231">
        <v>1.2655000000000001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1.4727570000000001</v>
      </c>
      <c r="D186" s="231">
        <v>1.495201</v>
      </c>
      <c r="E186" s="231">
        <v>1.5365040000000001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17605</v>
      </c>
      <c r="D189" s="218">
        <v>18352</v>
      </c>
      <c r="E189" s="218">
        <v>18380</v>
      </c>
    </row>
    <row r="190" spans="1:6" ht="20.100000000000001" customHeight="1" x14ac:dyDescent="0.2">
      <c r="A190" s="226">
        <v>2</v>
      </c>
      <c r="B190" s="224" t="s">
        <v>433</v>
      </c>
      <c r="C190" s="218">
        <v>65315</v>
      </c>
      <c r="D190" s="218">
        <v>65364</v>
      </c>
      <c r="E190" s="218">
        <v>70357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82920</v>
      </c>
      <c r="D191" s="218">
        <f>+D190+D189</f>
        <v>83716</v>
      </c>
      <c r="E191" s="218">
        <f>+E190+E189</f>
        <v>88737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tabSelected="1" zoomScale="75" workbookViewId="0">
      <selection activeCell="F54" sqref="F54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7" style="245" bestFit="1" customWidth="1"/>
    <col min="4" max="4" width="27" style="235" bestFit="1" customWidth="1"/>
    <col min="5" max="5" width="22" style="235" bestFit="1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11472691</v>
      </c>
      <c r="D14" s="258">
        <v>17949150</v>
      </c>
      <c r="E14" s="258">
        <f t="shared" ref="E14:E24" si="0">D14-C14</f>
        <v>6476459</v>
      </c>
      <c r="F14" s="259">
        <f t="shared" ref="F14:F24" si="1">IF(C14=0,0,E14/C14)</f>
        <v>0.56451088938070415</v>
      </c>
    </row>
    <row r="15" spans="1:7" ht="20.25" customHeight="1" x14ac:dyDescent="0.3">
      <c r="A15" s="256">
        <v>2</v>
      </c>
      <c r="B15" s="257" t="s">
        <v>442</v>
      </c>
      <c r="C15" s="258">
        <v>3186770</v>
      </c>
      <c r="D15" s="258">
        <v>5321700</v>
      </c>
      <c r="E15" s="258">
        <f t="shared" si="0"/>
        <v>2134930</v>
      </c>
      <c r="F15" s="259">
        <f t="shared" si="1"/>
        <v>0.6699353891244112</v>
      </c>
    </row>
    <row r="16" spans="1:7" ht="20.25" customHeight="1" x14ac:dyDescent="0.3">
      <c r="A16" s="256">
        <v>3</v>
      </c>
      <c r="B16" s="257" t="s">
        <v>443</v>
      </c>
      <c r="C16" s="258">
        <v>4776595</v>
      </c>
      <c r="D16" s="258">
        <v>17917145</v>
      </c>
      <c r="E16" s="258">
        <f t="shared" si="0"/>
        <v>13140550</v>
      </c>
      <c r="F16" s="259">
        <f t="shared" si="1"/>
        <v>2.7510287139688416</v>
      </c>
    </row>
    <row r="17" spans="1:6" ht="20.25" customHeight="1" x14ac:dyDescent="0.3">
      <c r="A17" s="256">
        <v>4</v>
      </c>
      <c r="B17" s="257" t="s">
        <v>444</v>
      </c>
      <c r="C17" s="258">
        <v>1147347</v>
      </c>
      <c r="D17" s="258">
        <v>4788953</v>
      </c>
      <c r="E17" s="258">
        <f t="shared" si="0"/>
        <v>3641606</v>
      </c>
      <c r="F17" s="259">
        <f t="shared" si="1"/>
        <v>3.1739360455032348</v>
      </c>
    </row>
    <row r="18" spans="1:6" ht="20.25" customHeight="1" x14ac:dyDescent="0.3">
      <c r="A18" s="256">
        <v>5</v>
      </c>
      <c r="B18" s="257" t="s">
        <v>381</v>
      </c>
      <c r="C18" s="260">
        <v>198</v>
      </c>
      <c r="D18" s="260">
        <v>368</v>
      </c>
      <c r="E18" s="260">
        <f t="shared" si="0"/>
        <v>170</v>
      </c>
      <c r="F18" s="259">
        <f t="shared" si="1"/>
        <v>0.85858585858585856</v>
      </c>
    </row>
    <row r="19" spans="1:6" ht="20.25" customHeight="1" x14ac:dyDescent="0.3">
      <c r="A19" s="256">
        <v>6</v>
      </c>
      <c r="B19" s="257" t="s">
        <v>380</v>
      </c>
      <c r="C19" s="260">
        <v>1292</v>
      </c>
      <c r="D19" s="260">
        <v>2032</v>
      </c>
      <c r="E19" s="260">
        <f t="shared" si="0"/>
        <v>740</v>
      </c>
      <c r="F19" s="259">
        <f t="shared" si="1"/>
        <v>0.5727554179566563</v>
      </c>
    </row>
    <row r="20" spans="1:6" ht="20.25" customHeight="1" x14ac:dyDescent="0.3">
      <c r="A20" s="256">
        <v>7</v>
      </c>
      <c r="B20" s="257" t="s">
        <v>445</v>
      </c>
      <c r="C20" s="260">
        <v>1136</v>
      </c>
      <c r="D20" s="260">
        <v>3455</v>
      </c>
      <c r="E20" s="260">
        <f t="shared" si="0"/>
        <v>2319</v>
      </c>
      <c r="F20" s="259">
        <f t="shared" si="1"/>
        <v>2.0413732394366195</v>
      </c>
    </row>
    <row r="21" spans="1:6" ht="20.25" customHeight="1" x14ac:dyDescent="0.3">
      <c r="A21" s="256">
        <v>8</v>
      </c>
      <c r="B21" s="257" t="s">
        <v>446</v>
      </c>
      <c r="C21" s="260">
        <v>292</v>
      </c>
      <c r="D21" s="260">
        <v>1111</v>
      </c>
      <c r="E21" s="260">
        <f t="shared" si="0"/>
        <v>819</v>
      </c>
      <c r="F21" s="259">
        <f t="shared" si="1"/>
        <v>2.8047945205479454</v>
      </c>
    </row>
    <row r="22" spans="1:6" ht="20.25" customHeight="1" x14ac:dyDescent="0.3">
      <c r="A22" s="256">
        <v>9</v>
      </c>
      <c r="B22" s="257" t="s">
        <v>447</v>
      </c>
      <c r="C22" s="260">
        <v>160</v>
      </c>
      <c r="D22" s="260">
        <v>288</v>
      </c>
      <c r="E22" s="260">
        <f t="shared" si="0"/>
        <v>128</v>
      </c>
      <c r="F22" s="259">
        <f t="shared" si="1"/>
        <v>0.8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16249286</v>
      </c>
      <c r="D23" s="263">
        <f>+D14+D16</f>
        <v>35866295</v>
      </c>
      <c r="E23" s="263">
        <f t="shared" si="0"/>
        <v>19617009</v>
      </c>
      <c r="F23" s="264">
        <f t="shared" si="1"/>
        <v>1.2072535987119679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4334117</v>
      </c>
      <c r="D24" s="263">
        <f>+D15+D17</f>
        <v>10110653</v>
      </c>
      <c r="E24" s="263">
        <f t="shared" si="0"/>
        <v>5776536</v>
      </c>
      <c r="F24" s="264">
        <f t="shared" si="1"/>
        <v>1.3328057364395101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54861784</v>
      </c>
      <c r="D40" s="258">
        <v>51079826</v>
      </c>
      <c r="E40" s="258">
        <f t="shared" ref="E40:E50" si="4">D40-C40</f>
        <v>-3781958</v>
      </c>
      <c r="F40" s="259">
        <f t="shared" ref="F40:F50" si="5">IF(C40=0,0,E40/C40)</f>
        <v>-6.8936110426157493E-2</v>
      </c>
    </row>
    <row r="41" spans="1:6" ht="20.25" customHeight="1" x14ac:dyDescent="0.3">
      <c r="A41" s="256">
        <v>2</v>
      </c>
      <c r="B41" s="257" t="s">
        <v>442</v>
      </c>
      <c r="C41" s="258">
        <v>15573146</v>
      </c>
      <c r="D41" s="258">
        <v>16005239</v>
      </c>
      <c r="E41" s="258">
        <f t="shared" si="4"/>
        <v>432093</v>
      </c>
      <c r="F41" s="259">
        <f t="shared" si="5"/>
        <v>2.7746031534026588E-2</v>
      </c>
    </row>
    <row r="42" spans="1:6" ht="20.25" customHeight="1" x14ac:dyDescent="0.3">
      <c r="A42" s="256">
        <v>3</v>
      </c>
      <c r="B42" s="257" t="s">
        <v>443</v>
      </c>
      <c r="C42" s="258">
        <v>24019766</v>
      </c>
      <c r="D42" s="258">
        <v>26587568</v>
      </c>
      <c r="E42" s="258">
        <f t="shared" si="4"/>
        <v>2567802</v>
      </c>
      <c r="F42" s="259">
        <f t="shared" si="5"/>
        <v>0.10690370588955779</v>
      </c>
    </row>
    <row r="43" spans="1:6" ht="20.25" customHeight="1" x14ac:dyDescent="0.3">
      <c r="A43" s="256">
        <v>4</v>
      </c>
      <c r="B43" s="257" t="s">
        <v>444</v>
      </c>
      <c r="C43" s="258">
        <v>4915007</v>
      </c>
      <c r="D43" s="258">
        <v>5485229</v>
      </c>
      <c r="E43" s="258">
        <f t="shared" si="4"/>
        <v>570222</v>
      </c>
      <c r="F43" s="259">
        <f t="shared" si="5"/>
        <v>0.11601651838949568</v>
      </c>
    </row>
    <row r="44" spans="1:6" ht="20.25" customHeight="1" x14ac:dyDescent="0.3">
      <c r="A44" s="256">
        <v>5</v>
      </c>
      <c r="B44" s="257" t="s">
        <v>381</v>
      </c>
      <c r="C44" s="260">
        <v>1038</v>
      </c>
      <c r="D44" s="260">
        <v>1058</v>
      </c>
      <c r="E44" s="260">
        <f t="shared" si="4"/>
        <v>20</v>
      </c>
      <c r="F44" s="259">
        <f t="shared" si="5"/>
        <v>1.9267822736030827E-2</v>
      </c>
    </row>
    <row r="45" spans="1:6" ht="20.25" customHeight="1" x14ac:dyDescent="0.3">
      <c r="A45" s="256">
        <v>6</v>
      </c>
      <c r="B45" s="257" t="s">
        <v>380</v>
      </c>
      <c r="C45" s="260">
        <v>5530</v>
      </c>
      <c r="D45" s="260">
        <v>4694</v>
      </c>
      <c r="E45" s="260">
        <f t="shared" si="4"/>
        <v>-836</v>
      </c>
      <c r="F45" s="259">
        <f t="shared" si="5"/>
        <v>-0.15117540687160941</v>
      </c>
    </row>
    <row r="46" spans="1:6" ht="20.25" customHeight="1" x14ac:dyDescent="0.3">
      <c r="A46" s="256">
        <v>7</v>
      </c>
      <c r="B46" s="257" t="s">
        <v>445</v>
      </c>
      <c r="C46" s="260">
        <v>3501</v>
      </c>
      <c r="D46" s="260">
        <v>3556</v>
      </c>
      <c r="E46" s="260">
        <f t="shared" si="4"/>
        <v>55</v>
      </c>
      <c r="F46" s="259">
        <f t="shared" si="5"/>
        <v>1.570979720079977E-2</v>
      </c>
    </row>
    <row r="47" spans="1:6" ht="20.25" customHeight="1" x14ac:dyDescent="0.3">
      <c r="A47" s="256">
        <v>8</v>
      </c>
      <c r="B47" s="257" t="s">
        <v>446</v>
      </c>
      <c r="C47" s="260">
        <v>618</v>
      </c>
      <c r="D47" s="260">
        <v>630</v>
      </c>
      <c r="E47" s="260">
        <f t="shared" si="4"/>
        <v>12</v>
      </c>
      <c r="F47" s="259">
        <f t="shared" si="5"/>
        <v>1.9417475728155338E-2</v>
      </c>
    </row>
    <row r="48" spans="1:6" ht="20.25" customHeight="1" x14ac:dyDescent="0.3">
      <c r="A48" s="256">
        <v>9</v>
      </c>
      <c r="B48" s="257" t="s">
        <v>447</v>
      </c>
      <c r="C48" s="260">
        <v>637</v>
      </c>
      <c r="D48" s="260">
        <v>604</v>
      </c>
      <c r="E48" s="260">
        <f t="shared" si="4"/>
        <v>-33</v>
      </c>
      <c r="F48" s="259">
        <f t="shared" si="5"/>
        <v>-5.1805337519623233E-2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78881550</v>
      </c>
      <c r="D49" s="263">
        <f>+D40+D42</f>
        <v>77667394</v>
      </c>
      <c r="E49" s="263">
        <f t="shared" si="4"/>
        <v>-1214156</v>
      </c>
      <c r="F49" s="264">
        <f t="shared" si="5"/>
        <v>-1.5392141761920245E-2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20488153</v>
      </c>
      <c r="D50" s="263">
        <f>+D41+D43</f>
        <v>21490468</v>
      </c>
      <c r="E50" s="263">
        <f t="shared" si="4"/>
        <v>1002315</v>
      </c>
      <c r="F50" s="264">
        <f t="shared" si="5"/>
        <v>4.8921686596151447E-2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2531339</v>
      </c>
      <c r="D66" s="258">
        <v>3630625</v>
      </c>
      <c r="E66" s="258">
        <f t="shared" ref="E66:E76" si="8">D66-C66</f>
        <v>1099286</v>
      </c>
      <c r="F66" s="259">
        <f t="shared" ref="F66:F76" si="9">IF(C66=0,0,E66/C66)</f>
        <v>0.43427055799322017</v>
      </c>
    </row>
    <row r="67" spans="1:6" ht="20.25" customHeight="1" x14ac:dyDescent="0.3">
      <c r="A67" s="256">
        <v>2</v>
      </c>
      <c r="B67" s="257" t="s">
        <v>442</v>
      </c>
      <c r="C67" s="258">
        <v>1521374</v>
      </c>
      <c r="D67" s="258">
        <v>1971792</v>
      </c>
      <c r="E67" s="258">
        <f t="shared" si="8"/>
        <v>450418</v>
      </c>
      <c r="F67" s="259">
        <f t="shared" si="9"/>
        <v>0.29606000891299578</v>
      </c>
    </row>
    <row r="68" spans="1:6" ht="20.25" customHeight="1" x14ac:dyDescent="0.3">
      <c r="A68" s="256">
        <v>3</v>
      </c>
      <c r="B68" s="257" t="s">
        <v>443</v>
      </c>
      <c r="C68" s="258">
        <v>800837</v>
      </c>
      <c r="D68" s="258">
        <v>798850</v>
      </c>
      <c r="E68" s="258">
        <f t="shared" si="8"/>
        <v>-1987</v>
      </c>
      <c r="F68" s="259">
        <f t="shared" si="9"/>
        <v>-2.4811540925306899E-3</v>
      </c>
    </row>
    <row r="69" spans="1:6" ht="20.25" customHeight="1" x14ac:dyDescent="0.3">
      <c r="A69" s="256">
        <v>4</v>
      </c>
      <c r="B69" s="257" t="s">
        <v>444</v>
      </c>
      <c r="C69" s="258">
        <v>40260</v>
      </c>
      <c r="D69" s="258">
        <v>151591</v>
      </c>
      <c r="E69" s="258">
        <f t="shared" si="8"/>
        <v>111331</v>
      </c>
      <c r="F69" s="259">
        <f t="shared" si="9"/>
        <v>2.7653005464480875</v>
      </c>
    </row>
    <row r="70" spans="1:6" ht="20.25" customHeight="1" x14ac:dyDescent="0.3">
      <c r="A70" s="256">
        <v>5</v>
      </c>
      <c r="B70" s="257" t="s">
        <v>381</v>
      </c>
      <c r="C70" s="260">
        <v>85</v>
      </c>
      <c r="D70" s="260">
        <v>135</v>
      </c>
      <c r="E70" s="260">
        <f t="shared" si="8"/>
        <v>50</v>
      </c>
      <c r="F70" s="259">
        <f t="shared" si="9"/>
        <v>0.58823529411764708</v>
      </c>
    </row>
    <row r="71" spans="1:6" ht="20.25" customHeight="1" x14ac:dyDescent="0.3">
      <c r="A71" s="256">
        <v>6</v>
      </c>
      <c r="B71" s="257" t="s">
        <v>380</v>
      </c>
      <c r="C71" s="260">
        <v>501</v>
      </c>
      <c r="D71" s="260">
        <v>658</v>
      </c>
      <c r="E71" s="260">
        <f t="shared" si="8"/>
        <v>157</v>
      </c>
      <c r="F71" s="259">
        <f t="shared" si="9"/>
        <v>0.31337325349301398</v>
      </c>
    </row>
    <row r="72" spans="1:6" ht="20.25" customHeight="1" x14ac:dyDescent="0.3">
      <c r="A72" s="256">
        <v>7</v>
      </c>
      <c r="B72" s="257" t="s">
        <v>445</v>
      </c>
      <c r="C72" s="260">
        <v>98</v>
      </c>
      <c r="D72" s="260">
        <v>92</v>
      </c>
      <c r="E72" s="260">
        <f t="shared" si="8"/>
        <v>-6</v>
      </c>
      <c r="F72" s="259">
        <f t="shared" si="9"/>
        <v>-6.1224489795918366E-2</v>
      </c>
    </row>
    <row r="73" spans="1:6" ht="20.25" customHeight="1" x14ac:dyDescent="0.3">
      <c r="A73" s="256">
        <v>8</v>
      </c>
      <c r="B73" s="257" t="s">
        <v>446</v>
      </c>
      <c r="C73" s="260">
        <v>99</v>
      </c>
      <c r="D73" s="260">
        <v>120</v>
      </c>
      <c r="E73" s="260">
        <f t="shared" si="8"/>
        <v>21</v>
      </c>
      <c r="F73" s="259">
        <f t="shared" si="9"/>
        <v>0.21212121212121213</v>
      </c>
    </row>
    <row r="74" spans="1:6" ht="20.25" customHeight="1" x14ac:dyDescent="0.3">
      <c r="A74" s="256">
        <v>9</v>
      </c>
      <c r="B74" s="257" t="s">
        <v>447</v>
      </c>
      <c r="C74" s="260">
        <v>26</v>
      </c>
      <c r="D74" s="260">
        <v>120</v>
      </c>
      <c r="E74" s="260">
        <f t="shared" si="8"/>
        <v>94</v>
      </c>
      <c r="F74" s="259">
        <f t="shared" si="9"/>
        <v>3.6153846153846154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3332176</v>
      </c>
      <c r="D75" s="263">
        <f>+D66+D68</f>
        <v>4429475</v>
      </c>
      <c r="E75" s="263">
        <f t="shared" si="8"/>
        <v>1097299</v>
      </c>
      <c r="F75" s="264">
        <f t="shared" si="9"/>
        <v>0.32930403436073002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1561634</v>
      </c>
      <c r="D76" s="263">
        <f>+D67+D69</f>
        <v>2123383</v>
      </c>
      <c r="E76" s="263">
        <f t="shared" si="8"/>
        <v>561749</v>
      </c>
      <c r="F76" s="264">
        <f t="shared" si="9"/>
        <v>0.35971873050919739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25859513</v>
      </c>
      <c r="D105" s="258">
        <v>19880009</v>
      </c>
      <c r="E105" s="258">
        <f t="shared" ref="E105:E115" si="14">D105-C105</f>
        <v>-5979504</v>
      </c>
      <c r="F105" s="259">
        <f t="shared" ref="F105:F115" si="15">IF(C105=0,0,E105/C105)</f>
        <v>-0.23123034064871986</v>
      </c>
    </row>
    <row r="106" spans="1:6" ht="20.25" customHeight="1" x14ac:dyDescent="0.3">
      <c r="A106" s="256">
        <v>2</v>
      </c>
      <c r="B106" s="257" t="s">
        <v>442</v>
      </c>
      <c r="C106" s="258">
        <v>6660196</v>
      </c>
      <c r="D106" s="258">
        <v>4794346</v>
      </c>
      <c r="E106" s="258">
        <f t="shared" si="14"/>
        <v>-1865850</v>
      </c>
      <c r="F106" s="259">
        <f t="shared" si="15"/>
        <v>-0.28014941302027746</v>
      </c>
    </row>
    <row r="107" spans="1:6" ht="20.25" customHeight="1" x14ac:dyDescent="0.3">
      <c r="A107" s="256">
        <v>3</v>
      </c>
      <c r="B107" s="257" t="s">
        <v>443</v>
      </c>
      <c r="C107" s="258">
        <v>16763762</v>
      </c>
      <c r="D107" s="258">
        <v>15569781</v>
      </c>
      <c r="E107" s="258">
        <f t="shared" si="14"/>
        <v>-1193981</v>
      </c>
      <c r="F107" s="259">
        <f t="shared" si="15"/>
        <v>-7.1223929330421182E-2</v>
      </c>
    </row>
    <row r="108" spans="1:6" ht="20.25" customHeight="1" x14ac:dyDescent="0.3">
      <c r="A108" s="256">
        <v>4</v>
      </c>
      <c r="B108" s="257" t="s">
        <v>444</v>
      </c>
      <c r="C108" s="258">
        <v>2433854</v>
      </c>
      <c r="D108" s="258">
        <v>2482883</v>
      </c>
      <c r="E108" s="258">
        <f t="shared" si="14"/>
        <v>49029</v>
      </c>
      <c r="F108" s="259">
        <f t="shared" si="15"/>
        <v>2.0144593718439973E-2</v>
      </c>
    </row>
    <row r="109" spans="1:6" ht="20.25" customHeight="1" x14ac:dyDescent="0.3">
      <c r="A109" s="256">
        <v>5</v>
      </c>
      <c r="B109" s="257" t="s">
        <v>381</v>
      </c>
      <c r="C109" s="260">
        <v>565</v>
      </c>
      <c r="D109" s="260">
        <v>457</v>
      </c>
      <c r="E109" s="260">
        <f t="shared" si="14"/>
        <v>-108</v>
      </c>
      <c r="F109" s="259">
        <f t="shared" si="15"/>
        <v>-0.1911504424778761</v>
      </c>
    </row>
    <row r="110" spans="1:6" ht="20.25" customHeight="1" x14ac:dyDescent="0.3">
      <c r="A110" s="256">
        <v>6</v>
      </c>
      <c r="B110" s="257" t="s">
        <v>380</v>
      </c>
      <c r="C110" s="260">
        <v>3303</v>
      </c>
      <c r="D110" s="260">
        <v>2264</v>
      </c>
      <c r="E110" s="260">
        <f t="shared" si="14"/>
        <v>-1039</v>
      </c>
      <c r="F110" s="259">
        <f t="shared" si="15"/>
        <v>-0.31456251892219195</v>
      </c>
    </row>
    <row r="111" spans="1:6" ht="20.25" customHeight="1" x14ac:dyDescent="0.3">
      <c r="A111" s="256">
        <v>7</v>
      </c>
      <c r="B111" s="257" t="s">
        <v>445</v>
      </c>
      <c r="C111" s="260">
        <v>4506</v>
      </c>
      <c r="D111" s="260">
        <v>3910</v>
      </c>
      <c r="E111" s="260">
        <f t="shared" si="14"/>
        <v>-596</v>
      </c>
      <c r="F111" s="259">
        <f t="shared" si="15"/>
        <v>-0.13226808699511763</v>
      </c>
    </row>
    <row r="112" spans="1:6" ht="20.25" customHeight="1" x14ac:dyDescent="0.3">
      <c r="A112" s="256">
        <v>8</v>
      </c>
      <c r="B112" s="257" t="s">
        <v>446</v>
      </c>
      <c r="C112" s="260">
        <v>1225</v>
      </c>
      <c r="D112" s="260">
        <v>1224</v>
      </c>
      <c r="E112" s="260">
        <f t="shared" si="14"/>
        <v>-1</v>
      </c>
      <c r="F112" s="259">
        <f t="shared" si="15"/>
        <v>-8.1632653061224493E-4</v>
      </c>
    </row>
    <row r="113" spans="1:6" ht="20.25" customHeight="1" x14ac:dyDescent="0.3">
      <c r="A113" s="256">
        <v>9</v>
      </c>
      <c r="B113" s="257" t="s">
        <v>447</v>
      </c>
      <c r="C113" s="260">
        <v>493</v>
      </c>
      <c r="D113" s="260">
        <v>383</v>
      </c>
      <c r="E113" s="260">
        <f t="shared" si="14"/>
        <v>-110</v>
      </c>
      <c r="F113" s="259">
        <f t="shared" si="15"/>
        <v>-0.2231237322515213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42623275</v>
      </c>
      <c r="D114" s="263">
        <f>+D105+D107</f>
        <v>35449790</v>
      </c>
      <c r="E114" s="263">
        <f t="shared" si="14"/>
        <v>-7173485</v>
      </c>
      <c r="F114" s="264">
        <f t="shared" si="15"/>
        <v>-0.16829971418198156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9094050</v>
      </c>
      <c r="D115" s="263">
        <f>+D106+D108</f>
        <v>7277229</v>
      </c>
      <c r="E115" s="263">
        <f t="shared" si="14"/>
        <v>-1816821</v>
      </c>
      <c r="F115" s="264">
        <f t="shared" si="15"/>
        <v>-0.19978128556583699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29790121</v>
      </c>
      <c r="D118" s="258">
        <v>35042431</v>
      </c>
      <c r="E118" s="258">
        <f t="shared" ref="E118:E128" si="16">D118-C118</f>
        <v>5252310</v>
      </c>
      <c r="F118" s="259">
        <f t="shared" ref="F118:F128" si="17">IF(C118=0,0,E118/C118)</f>
        <v>0.17631046211594778</v>
      </c>
    </row>
    <row r="119" spans="1:6" ht="20.25" customHeight="1" x14ac:dyDescent="0.3">
      <c r="A119" s="256">
        <v>2</v>
      </c>
      <c r="B119" s="257" t="s">
        <v>442</v>
      </c>
      <c r="C119" s="258">
        <v>8580462</v>
      </c>
      <c r="D119" s="258">
        <v>9707139</v>
      </c>
      <c r="E119" s="258">
        <f t="shared" si="16"/>
        <v>1126677</v>
      </c>
      <c r="F119" s="259">
        <f t="shared" si="17"/>
        <v>0.13130726527312864</v>
      </c>
    </row>
    <row r="120" spans="1:6" ht="20.25" customHeight="1" x14ac:dyDescent="0.3">
      <c r="A120" s="256">
        <v>3</v>
      </c>
      <c r="B120" s="257" t="s">
        <v>443</v>
      </c>
      <c r="C120" s="258">
        <v>17215266</v>
      </c>
      <c r="D120" s="258">
        <v>18913249</v>
      </c>
      <c r="E120" s="258">
        <f t="shared" si="16"/>
        <v>1697983</v>
      </c>
      <c r="F120" s="259">
        <f t="shared" si="17"/>
        <v>9.863239987113763E-2</v>
      </c>
    </row>
    <row r="121" spans="1:6" ht="20.25" customHeight="1" x14ac:dyDescent="0.3">
      <c r="A121" s="256">
        <v>4</v>
      </c>
      <c r="B121" s="257" t="s">
        <v>444</v>
      </c>
      <c r="C121" s="258">
        <v>3673069</v>
      </c>
      <c r="D121" s="258">
        <v>3023068</v>
      </c>
      <c r="E121" s="258">
        <f t="shared" si="16"/>
        <v>-650001</v>
      </c>
      <c r="F121" s="259">
        <f t="shared" si="17"/>
        <v>-0.17696400476005214</v>
      </c>
    </row>
    <row r="122" spans="1:6" ht="20.25" customHeight="1" x14ac:dyDescent="0.3">
      <c r="A122" s="256">
        <v>5</v>
      </c>
      <c r="B122" s="257" t="s">
        <v>381</v>
      </c>
      <c r="C122" s="260">
        <v>626</v>
      </c>
      <c r="D122" s="260">
        <v>737</v>
      </c>
      <c r="E122" s="260">
        <f t="shared" si="16"/>
        <v>111</v>
      </c>
      <c r="F122" s="259">
        <f t="shared" si="17"/>
        <v>0.17731629392971246</v>
      </c>
    </row>
    <row r="123" spans="1:6" ht="20.25" customHeight="1" x14ac:dyDescent="0.3">
      <c r="A123" s="256">
        <v>6</v>
      </c>
      <c r="B123" s="257" t="s">
        <v>380</v>
      </c>
      <c r="C123" s="260">
        <v>3366</v>
      </c>
      <c r="D123" s="260">
        <v>3659</v>
      </c>
      <c r="E123" s="260">
        <f t="shared" si="16"/>
        <v>293</v>
      </c>
      <c r="F123" s="259">
        <f t="shared" si="17"/>
        <v>8.7046939988116454E-2</v>
      </c>
    </row>
    <row r="124" spans="1:6" ht="20.25" customHeight="1" x14ac:dyDescent="0.3">
      <c r="A124" s="256">
        <v>7</v>
      </c>
      <c r="B124" s="257" t="s">
        <v>445</v>
      </c>
      <c r="C124" s="260">
        <v>2808</v>
      </c>
      <c r="D124" s="260">
        <v>2967</v>
      </c>
      <c r="E124" s="260">
        <f t="shared" si="16"/>
        <v>159</v>
      </c>
      <c r="F124" s="259">
        <f t="shared" si="17"/>
        <v>5.6623931623931624E-2</v>
      </c>
    </row>
    <row r="125" spans="1:6" ht="20.25" customHeight="1" x14ac:dyDescent="0.3">
      <c r="A125" s="256">
        <v>8</v>
      </c>
      <c r="B125" s="257" t="s">
        <v>446</v>
      </c>
      <c r="C125" s="260">
        <v>676</v>
      </c>
      <c r="D125" s="260">
        <v>713</v>
      </c>
      <c r="E125" s="260">
        <f t="shared" si="16"/>
        <v>37</v>
      </c>
      <c r="F125" s="259">
        <f t="shared" si="17"/>
        <v>5.473372781065089E-2</v>
      </c>
    </row>
    <row r="126" spans="1:6" ht="20.25" customHeight="1" x14ac:dyDescent="0.3">
      <c r="A126" s="256">
        <v>9</v>
      </c>
      <c r="B126" s="257" t="s">
        <v>447</v>
      </c>
      <c r="C126" s="260">
        <v>454</v>
      </c>
      <c r="D126" s="260">
        <v>513</v>
      </c>
      <c r="E126" s="260">
        <f t="shared" si="16"/>
        <v>59</v>
      </c>
      <c r="F126" s="259">
        <f t="shared" si="17"/>
        <v>0.12995594713656389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47005387</v>
      </c>
      <c r="D127" s="263">
        <f>+D118+D120</f>
        <v>53955680</v>
      </c>
      <c r="E127" s="263">
        <f t="shared" si="16"/>
        <v>6950293</v>
      </c>
      <c r="F127" s="264">
        <f t="shared" si="17"/>
        <v>0.14786162700883623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12253531</v>
      </c>
      <c r="D128" s="263">
        <f>+D119+D121</f>
        <v>12730207</v>
      </c>
      <c r="E128" s="263">
        <f t="shared" si="16"/>
        <v>476676</v>
      </c>
      <c r="F128" s="264">
        <f t="shared" si="17"/>
        <v>3.8901113483125804E-2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61839085</v>
      </c>
      <c r="D183" s="258">
        <v>62014351</v>
      </c>
      <c r="E183" s="258">
        <f t="shared" ref="E183:E193" si="26">D183-C183</f>
        <v>175266</v>
      </c>
      <c r="F183" s="259">
        <f t="shared" ref="F183:F193" si="27">IF(C183=0,0,E183/C183)</f>
        <v>2.8342269294573167E-3</v>
      </c>
    </row>
    <row r="184" spans="1:6" ht="20.25" customHeight="1" x14ac:dyDescent="0.3">
      <c r="A184" s="256">
        <v>2</v>
      </c>
      <c r="B184" s="257" t="s">
        <v>442</v>
      </c>
      <c r="C184" s="258">
        <v>17970388</v>
      </c>
      <c r="D184" s="258">
        <v>17408984</v>
      </c>
      <c r="E184" s="258">
        <f t="shared" si="26"/>
        <v>-561404</v>
      </c>
      <c r="F184" s="259">
        <f t="shared" si="27"/>
        <v>-3.1240505213354326E-2</v>
      </c>
    </row>
    <row r="185" spans="1:6" ht="20.25" customHeight="1" x14ac:dyDescent="0.3">
      <c r="A185" s="256">
        <v>3</v>
      </c>
      <c r="B185" s="257" t="s">
        <v>443</v>
      </c>
      <c r="C185" s="258">
        <v>33403446</v>
      </c>
      <c r="D185" s="258">
        <v>40216726</v>
      </c>
      <c r="E185" s="258">
        <f t="shared" si="26"/>
        <v>6813280</v>
      </c>
      <c r="F185" s="259">
        <f t="shared" si="27"/>
        <v>0.20396937489623077</v>
      </c>
    </row>
    <row r="186" spans="1:6" ht="20.25" customHeight="1" x14ac:dyDescent="0.3">
      <c r="A186" s="256">
        <v>4</v>
      </c>
      <c r="B186" s="257" t="s">
        <v>444</v>
      </c>
      <c r="C186" s="258">
        <v>5859919</v>
      </c>
      <c r="D186" s="258">
        <v>7443552</v>
      </c>
      <c r="E186" s="258">
        <f t="shared" si="26"/>
        <v>1583633</v>
      </c>
      <c r="F186" s="259">
        <f t="shared" si="27"/>
        <v>0.2702482747628423</v>
      </c>
    </row>
    <row r="187" spans="1:6" ht="20.25" customHeight="1" x14ac:dyDescent="0.3">
      <c r="A187" s="256">
        <v>5</v>
      </c>
      <c r="B187" s="257" t="s">
        <v>381</v>
      </c>
      <c r="C187" s="260">
        <v>1237</v>
      </c>
      <c r="D187" s="260">
        <v>1312</v>
      </c>
      <c r="E187" s="260">
        <f t="shared" si="26"/>
        <v>75</v>
      </c>
      <c r="F187" s="259">
        <f t="shared" si="27"/>
        <v>6.0630557801131774E-2</v>
      </c>
    </row>
    <row r="188" spans="1:6" ht="20.25" customHeight="1" x14ac:dyDescent="0.3">
      <c r="A188" s="256">
        <v>6</v>
      </c>
      <c r="B188" s="257" t="s">
        <v>380</v>
      </c>
      <c r="C188" s="260">
        <v>6957</v>
      </c>
      <c r="D188" s="260">
        <v>6463</v>
      </c>
      <c r="E188" s="260">
        <f t="shared" si="26"/>
        <v>-494</v>
      </c>
      <c r="F188" s="259">
        <f t="shared" si="27"/>
        <v>-7.1007618226246946E-2</v>
      </c>
    </row>
    <row r="189" spans="1:6" ht="20.25" customHeight="1" x14ac:dyDescent="0.3">
      <c r="A189" s="256">
        <v>7</v>
      </c>
      <c r="B189" s="257" t="s">
        <v>445</v>
      </c>
      <c r="C189" s="260">
        <v>6092</v>
      </c>
      <c r="D189" s="260">
        <v>6792</v>
      </c>
      <c r="E189" s="260">
        <f t="shared" si="26"/>
        <v>700</v>
      </c>
      <c r="F189" s="259">
        <f t="shared" si="27"/>
        <v>0.1149047931713723</v>
      </c>
    </row>
    <row r="190" spans="1:6" ht="20.25" customHeight="1" x14ac:dyDescent="0.3">
      <c r="A190" s="256">
        <v>8</v>
      </c>
      <c r="B190" s="257" t="s">
        <v>446</v>
      </c>
      <c r="C190" s="260">
        <v>1519</v>
      </c>
      <c r="D190" s="260">
        <v>1833</v>
      </c>
      <c r="E190" s="260">
        <f t="shared" si="26"/>
        <v>314</v>
      </c>
      <c r="F190" s="259">
        <f t="shared" si="27"/>
        <v>0.20671494404213298</v>
      </c>
    </row>
    <row r="191" spans="1:6" ht="20.25" customHeight="1" x14ac:dyDescent="0.3">
      <c r="A191" s="256">
        <v>9</v>
      </c>
      <c r="B191" s="257" t="s">
        <v>447</v>
      </c>
      <c r="C191" s="260">
        <v>928</v>
      </c>
      <c r="D191" s="260">
        <v>979</v>
      </c>
      <c r="E191" s="260">
        <f t="shared" si="26"/>
        <v>51</v>
      </c>
      <c r="F191" s="259">
        <f t="shared" si="27"/>
        <v>5.4956896551724137E-2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95242531</v>
      </c>
      <c r="D192" s="263">
        <f>+D183+D185</f>
        <v>102231077</v>
      </c>
      <c r="E192" s="263">
        <f t="shared" si="26"/>
        <v>6988546</v>
      </c>
      <c r="F192" s="264">
        <f t="shared" si="27"/>
        <v>7.337631546141922E-2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23830307</v>
      </c>
      <c r="D193" s="263">
        <f>+D184+D186</f>
        <v>24852536</v>
      </c>
      <c r="E193" s="263">
        <f t="shared" si="26"/>
        <v>1022229</v>
      </c>
      <c r="F193" s="264">
        <f t="shared" si="27"/>
        <v>4.2896174186929273E-2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186354533</v>
      </c>
      <c r="D198" s="263">
        <f t="shared" si="28"/>
        <v>189596392</v>
      </c>
      <c r="E198" s="263">
        <f t="shared" ref="E198:E208" si="29">D198-C198</f>
        <v>3241859</v>
      </c>
      <c r="F198" s="273">
        <f t="shared" ref="F198:F208" si="30">IF(C198=0,0,E198/C198)</f>
        <v>1.7396190732854349E-2</v>
      </c>
    </row>
    <row r="199" spans="1:9" ht="20.25" customHeight="1" x14ac:dyDescent="0.3">
      <c r="A199" s="271"/>
      <c r="B199" s="272" t="s">
        <v>466</v>
      </c>
      <c r="C199" s="263">
        <f t="shared" si="28"/>
        <v>53492336</v>
      </c>
      <c r="D199" s="263">
        <f t="shared" si="28"/>
        <v>55209200</v>
      </c>
      <c r="E199" s="263">
        <f t="shared" si="29"/>
        <v>1716864</v>
      </c>
      <c r="F199" s="273">
        <f t="shared" si="30"/>
        <v>3.2095513645169653E-2</v>
      </c>
    </row>
    <row r="200" spans="1:9" ht="20.25" customHeight="1" x14ac:dyDescent="0.3">
      <c r="A200" s="271"/>
      <c r="B200" s="272" t="s">
        <v>467</v>
      </c>
      <c r="C200" s="263">
        <f t="shared" si="28"/>
        <v>96979672</v>
      </c>
      <c r="D200" s="263">
        <f t="shared" si="28"/>
        <v>120003319</v>
      </c>
      <c r="E200" s="263">
        <f t="shared" si="29"/>
        <v>23023647</v>
      </c>
      <c r="F200" s="273">
        <f t="shared" si="30"/>
        <v>0.23740693822928169</v>
      </c>
    </row>
    <row r="201" spans="1:9" ht="20.25" customHeight="1" x14ac:dyDescent="0.3">
      <c r="A201" s="271"/>
      <c r="B201" s="272" t="s">
        <v>468</v>
      </c>
      <c r="C201" s="263">
        <f t="shared" si="28"/>
        <v>18069456</v>
      </c>
      <c r="D201" s="263">
        <f t="shared" si="28"/>
        <v>23375276</v>
      </c>
      <c r="E201" s="263">
        <f t="shared" si="29"/>
        <v>5305820</v>
      </c>
      <c r="F201" s="273">
        <f t="shared" si="30"/>
        <v>0.29363473919746119</v>
      </c>
    </row>
    <row r="202" spans="1:9" ht="20.25" customHeight="1" x14ac:dyDescent="0.3">
      <c r="A202" s="271"/>
      <c r="B202" s="272" t="s">
        <v>138</v>
      </c>
      <c r="C202" s="274">
        <f t="shared" si="28"/>
        <v>3749</v>
      </c>
      <c r="D202" s="274">
        <f t="shared" si="28"/>
        <v>4067</v>
      </c>
      <c r="E202" s="274">
        <f t="shared" si="29"/>
        <v>318</v>
      </c>
      <c r="F202" s="273">
        <f t="shared" si="30"/>
        <v>8.482261936516404E-2</v>
      </c>
    </row>
    <row r="203" spans="1:9" ht="20.25" customHeight="1" x14ac:dyDescent="0.3">
      <c r="A203" s="271"/>
      <c r="B203" s="272" t="s">
        <v>140</v>
      </c>
      <c r="C203" s="274">
        <f t="shared" si="28"/>
        <v>20949</v>
      </c>
      <c r="D203" s="274">
        <f t="shared" si="28"/>
        <v>19770</v>
      </c>
      <c r="E203" s="274">
        <f t="shared" si="29"/>
        <v>-1179</v>
      </c>
      <c r="F203" s="273">
        <f t="shared" si="30"/>
        <v>-5.6279536016038953E-2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18141</v>
      </c>
      <c r="D204" s="274">
        <f t="shared" si="28"/>
        <v>20772</v>
      </c>
      <c r="E204" s="274">
        <f t="shared" si="29"/>
        <v>2631</v>
      </c>
      <c r="F204" s="273">
        <f t="shared" si="30"/>
        <v>0.14503059368281793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4429</v>
      </c>
      <c r="D205" s="274">
        <f t="shared" si="28"/>
        <v>5631</v>
      </c>
      <c r="E205" s="274">
        <f t="shared" si="29"/>
        <v>1202</v>
      </c>
      <c r="F205" s="273">
        <f t="shared" si="30"/>
        <v>0.27139309099119441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2698</v>
      </c>
      <c r="D206" s="274">
        <f t="shared" si="28"/>
        <v>2887</v>
      </c>
      <c r="E206" s="274">
        <f t="shared" si="29"/>
        <v>189</v>
      </c>
      <c r="F206" s="273">
        <f t="shared" si="30"/>
        <v>7.0051890289103039E-2</v>
      </c>
    </row>
    <row r="207" spans="1:9" ht="20.25" customHeight="1" x14ac:dyDescent="0.3">
      <c r="A207" s="271"/>
      <c r="B207" s="262" t="s">
        <v>471</v>
      </c>
      <c r="C207" s="263">
        <f>+C198+C200</f>
        <v>283334205</v>
      </c>
      <c r="D207" s="263">
        <f>+D198+D200</f>
        <v>309599711</v>
      </c>
      <c r="E207" s="263">
        <f t="shared" si="29"/>
        <v>26265506</v>
      </c>
      <c r="F207" s="273">
        <f t="shared" si="30"/>
        <v>9.2701500688912586E-2</v>
      </c>
    </row>
    <row r="208" spans="1:9" ht="20.25" customHeight="1" x14ac:dyDescent="0.3">
      <c r="A208" s="271"/>
      <c r="B208" s="262" t="s">
        <v>472</v>
      </c>
      <c r="C208" s="263">
        <f>+C199+C201</f>
        <v>71561792</v>
      </c>
      <c r="D208" s="263">
        <f>+D199+D201</f>
        <v>78584476</v>
      </c>
      <c r="E208" s="263">
        <f t="shared" si="29"/>
        <v>7022684</v>
      </c>
      <c r="F208" s="273">
        <f t="shared" si="30"/>
        <v>9.8134546435058534E-2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="70" workbookViewId="0">
      <selection activeCell="F54" sqref="F54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31" style="245" bestFit="1" customWidth="1"/>
    <col min="4" max="4" width="31" style="235" bestFit="1" customWidth="1"/>
    <col min="5" max="5" width="21.42578125" style="235" bestFit="1" customWidth="1"/>
    <col min="6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F54" sqref="F54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3" width="16.7109375" style="288" bestFit="1" customWidth="1"/>
    <col min="4" max="4" width="18.42578125" style="288" bestFit="1" customWidth="1"/>
    <col min="5" max="5" width="17.42578125" style="327" bestFit="1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102071000</v>
      </c>
      <c r="D13" s="22">
        <v>72316000</v>
      </c>
      <c r="E13" s="22">
        <f t="shared" ref="E13:E22" si="0">D13-C13</f>
        <v>-29755000</v>
      </c>
      <c r="F13" s="306">
        <f t="shared" ref="F13:F22" si="1">IF(C13=0,0,E13/C13)</f>
        <v>-0.29151277052247943</v>
      </c>
    </row>
    <row r="14" spans="1:8" ht="24" customHeight="1" x14ac:dyDescent="0.2">
      <c r="A14" s="304">
        <v>2</v>
      </c>
      <c r="B14" s="305" t="s">
        <v>17</v>
      </c>
      <c r="C14" s="22">
        <v>33496000</v>
      </c>
      <c r="D14" s="22">
        <v>49401000</v>
      </c>
      <c r="E14" s="22">
        <f t="shared" si="0"/>
        <v>15905000</v>
      </c>
      <c r="F14" s="306">
        <f t="shared" si="1"/>
        <v>0.47483281585860998</v>
      </c>
    </row>
    <row r="15" spans="1:8" ht="35.1" customHeight="1" x14ac:dyDescent="0.2">
      <c r="A15" s="304">
        <v>3</v>
      </c>
      <c r="B15" s="305" t="s">
        <v>18</v>
      </c>
      <c r="C15" s="22">
        <v>77445000</v>
      </c>
      <c r="D15" s="22">
        <v>124168000</v>
      </c>
      <c r="E15" s="22">
        <f t="shared" si="0"/>
        <v>46723000</v>
      </c>
      <c r="F15" s="306">
        <f t="shared" si="1"/>
        <v>0.60330557169604238</v>
      </c>
    </row>
    <row r="16" spans="1:8" ht="35.1" customHeight="1" x14ac:dyDescent="0.2">
      <c r="A16" s="304">
        <v>4</v>
      </c>
      <c r="B16" s="305" t="s">
        <v>19</v>
      </c>
      <c r="C16" s="22">
        <v>1521000</v>
      </c>
      <c r="D16" s="22">
        <v>5754000</v>
      </c>
      <c r="E16" s="22">
        <f t="shared" si="0"/>
        <v>4233000</v>
      </c>
      <c r="F16" s="306">
        <f t="shared" si="1"/>
        <v>2.7830374753451674</v>
      </c>
    </row>
    <row r="17" spans="1:11" ht="24" customHeight="1" x14ac:dyDescent="0.2">
      <c r="A17" s="304">
        <v>5</v>
      </c>
      <c r="B17" s="305" t="s">
        <v>20</v>
      </c>
      <c r="C17" s="22">
        <v>3400000</v>
      </c>
      <c r="D17" s="22">
        <v>3147000</v>
      </c>
      <c r="E17" s="22">
        <f t="shared" si="0"/>
        <v>-253000</v>
      </c>
      <c r="F17" s="306">
        <f t="shared" si="1"/>
        <v>-7.4411764705882358E-2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5513000</v>
      </c>
      <c r="E18" s="22">
        <f t="shared" si="0"/>
        <v>5513000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9701000</v>
      </c>
      <c r="D19" s="22">
        <v>14316000</v>
      </c>
      <c r="E19" s="22">
        <f t="shared" si="0"/>
        <v>4615000</v>
      </c>
      <c r="F19" s="306">
        <f t="shared" si="1"/>
        <v>0.47572415214926295</v>
      </c>
    </row>
    <row r="20" spans="1:11" ht="24" customHeight="1" x14ac:dyDescent="0.2">
      <c r="A20" s="304">
        <v>8</v>
      </c>
      <c r="B20" s="305" t="s">
        <v>23</v>
      </c>
      <c r="C20" s="22">
        <v>7851000</v>
      </c>
      <c r="D20" s="22">
        <v>8569000</v>
      </c>
      <c r="E20" s="22">
        <f t="shared" si="0"/>
        <v>718000</v>
      </c>
      <c r="F20" s="306">
        <f t="shared" si="1"/>
        <v>9.1453318048656224E-2</v>
      </c>
    </row>
    <row r="21" spans="1:11" ht="24" customHeight="1" x14ac:dyDescent="0.2">
      <c r="A21" s="304">
        <v>9</v>
      </c>
      <c r="B21" s="305" t="s">
        <v>24</v>
      </c>
      <c r="C21" s="22">
        <v>6745000</v>
      </c>
      <c r="D21" s="22">
        <v>13155000</v>
      </c>
      <c r="E21" s="22">
        <f t="shared" si="0"/>
        <v>6410000</v>
      </c>
      <c r="F21" s="306">
        <f t="shared" si="1"/>
        <v>0.95033358042994809</v>
      </c>
    </row>
    <row r="22" spans="1:11" ht="24" customHeight="1" x14ac:dyDescent="0.25">
      <c r="A22" s="307"/>
      <c r="B22" s="308" t="s">
        <v>25</v>
      </c>
      <c r="C22" s="309">
        <f>SUM(C13:C21)</f>
        <v>242230000</v>
      </c>
      <c r="D22" s="309">
        <f>SUM(D13:D21)</f>
        <v>296339000</v>
      </c>
      <c r="E22" s="309">
        <f t="shared" si="0"/>
        <v>54109000</v>
      </c>
      <c r="F22" s="310">
        <f t="shared" si="1"/>
        <v>0.22337860710894605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48893000</v>
      </c>
      <c r="D25" s="22">
        <v>0</v>
      </c>
      <c r="E25" s="22">
        <f>D25-C25</f>
        <v>-48893000</v>
      </c>
      <c r="F25" s="306">
        <f>IF(C25=0,0,E25/C25)</f>
        <v>-1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64100000</v>
      </c>
      <c r="D26" s="22">
        <v>139813000</v>
      </c>
      <c r="E26" s="22">
        <f>D26-C26</f>
        <v>75713000</v>
      </c>
      <c r="F26" s="306">
        <f>IF(C26=0,0,E26/C26)</f>
        <v>1.181170046801872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4755000</v>
      </c>
      <c r="D28" s="22">
        <v>24717000</v>
      </c>
      <c r="E28" s="22">
        <f>D28-C28</f>
        <v>19962000</v>
      </c>
      <c r="F28" s="306">
        <f>IF(C28=0,0,E28/C28)</f>
        <v>4.1981072555205046</v>
      </c>
    </row>
    <row r="29" spans="1:11" ht="35.1" customHeight="1" x14ac:dyDescent="0.25">
      <c r="A29" s="307"/>
      <c r="B29" s="308" t="s">
        <v>32</v>
      </c>
      <c r="C29" s="309">
        <f>SUM(C25:C28)</f>
        <v>117748000</v>
      </c>
      <c r="D29" s="309">
        <f>SUM(D25:D28)</f>
        <v>164530000</v>
      </c>
      <c r="E29" s="309">
        <f>D29-C29</f>
        <v>46782000</v>
      </c>
      <c r="F29" s="310">
        <f>IF(C29=0,0,E29/C29)</f>
        <v>0.39730611135645616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25097000</v>
      </c>
      <c r="D32" s="22">
        <v>52748000</v>
      </c>
      <c r="E32" s="22">
        <f>D32-C32</f>
        <v>27651000</v>
      </c>
      <c r="F32" s="306">
        <f>IF(C32=0,0,E32/C32)</f>
        <v>1.1017651512132924</v>
      </c>
    </row>
    <row r="33" spans="1:8" ht="24" customHeight="1" x14ac:dyDescent="0.2">
      <c r="A33" s="304">
        <v>7</v>
      </c>
      <c r="B33" s="305" t="s">
        <v>35</v>
      </c>
      <c r="C33" s="22">
        <v>15864000</v>
      </c>
      <c r="D33" s="22">
        <v>18518000</v>
      </c>
      <c r="E33" s="22">
        <f>D33-C33</f>
        <v>2654000</v>
      </c>
      <c r="F33" s="306">
        <f>IF(C33=0,0,E33/C33)</f>
        <v>0.1672970247100353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912915000</v>
      </c>
      <c r="D36" s="22">
        <v>551097000</v>
      </c>
      <c r="E36" s="22">
        <f>D36-C36</f>
        <v>-361818000</v>
      </c>
      <c r="F36" s="306">
        <f>IF(C36=0,0,E36/C36)</f>
        <v>-0.39633262680534331</v>
      </c>
    </row>
    <row r="37" spans="1:8" ht="24" customHeight="1" x14ac:dyDescent="0.2">
      <c r="A37" s="304">
        <v>2</v>
      </c>
      <c r="B37" s="305" t="s">
        <v>39</v>
      </c>
      <c r="C37" s="22">
        <v>454078000</v>
      </c>
      <c r="D37" s="22">
        <v>49168000</v>
      </c>
      <c r="E37" s="22">
        <f>D37-C37</f>
        <v>-404910000</v>
      </c>
      <c r="F37" s="22">
        <f>IF(C37=0,0,E37/C37)</f>
        <v>-0.89171904386471046</v>
      </c>
    </row>
    <row r="38" spans="1:8" ht="24" customHeight="1" x14ac:dyDescent="0.25">
      <c r="A38" s="307"/>
      <c r="B38" s="308" t="s">
        <v>40</v>
      </c>
      <c r="C38" s="309">
        <f>C36-C37</f>
        <v>458837000</v>
      </c>
      <c r="D38" s="309">
        <f>D36-D37</f>
        <v>501929000</v>
      </c>
      <c r="E38" s="309">
        <f>D38-C38</f>
        <v>43092000</v>
      </c>
      <c r="F38" s="310">
        <f>IF(C38=0,0,E38/C38)</f>
        <v>9.3915704269707981E-2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8411000</v>
      </c>
      <c r="D40" s="22">
        <v>23674000</v>
      </c>
      <c r="E40" s="22">
        <f>D40-C40</f>
        <v>15263000</v>
      </c>
      <c r="F40" s="306">
        <f>IF(C40=0,0,E40/C40)</f>
        <v>1.8146474854357388</v>
      </c>
    </row>
    <row r="41" spans="1:8" ht="24" customHeight="1" x14ac:dyDescent="0.25">
      <c r="A41" s="307"/>
      <c r="B41" s="308" t="s">
        <v>42</v>
      </c>
      <c r="C41" s="309">
        <f>+C38+C40</f>
        <v>467248000</v>
      </c>
      <c r="D41" s="309">
        <f>+D38+D40</f>
        <v>525603000</v>
      </c>
      <c r="E41" s="309">
        <f>D41-C41</f>
        <v>58355000</v>
      </c>
      <c r="F41" s="310">
        <f>IF(C41=0,0,E41/C41)</f>
        <v>0.12489085025511078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868187000</v>
      </c>
      <c r="D43" s="309">
        <f>D22+D29+D31+D32+D33+D41</f>
        <v>1057738000</v>
      </c>
      <c r="E43" s="309">
        <f>D43-C43</f>
        <v>189551000</v>
      </c>
      <c r="F43" s="310">
        <f>IF(C43=0,0,E43/C43)</f>
        <v>0.21832969164477239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41686000</v>
      </c>
      <c r="D49" s="22">
        <v>68313000</v>
      </c>
      <c r="E49" s="22">
        <f t="shared" ref="E49:E56" si="2">D49-C49</f>
        <v>26627000</v>
      </c>
      <c r="F49" s="306">
        <f t="shared" ref="F49:F56" si="3">IF(C49=0,0,E49/C49)</f>
        <v>0.63875161924866863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51151000</v>
      </c>
      <c r="D50" s="22">
        <v>75613000</v>
      </c>
      <c r="E50" s="22">
        <f t="shared" si="2"/>
        <v>24462000</v>
      </c>
      <c r="F50" s="306">
        <f t="shared" si="3"/>
        <v>0.47823111962620479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13630000</v>
      </c>
      <c r="D51" s="22">
        <v>15903000</v>
      </c>
      <c r="E51" s="22">
        <f t="shared" si="2"/>
        <v>2273000</v>
      </c>
      <c r="F51" s="306">
        <f t="shared" si="3"/>
        <v>0.16676449009537783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7298000</v>
      </c>
      <c r="D53" s="22">
        <v>7821000</v>
      </c>
      <c r="E53" s="22">
        <f t="shared" si="2"/>
        <v>523000</v>
      </c>
      <c r="F53" s="306">
        <f t="shared" si="3"/>
        <v>7.1663469443683195E-2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8658000</v>
      </c>
      <c r="D55" s="22">
        <v>11999000</v>
      </c>
      <c r="E55" s="22">
        <f t="shared" si="2"/>
        <v>3341000</v>
      </c>
      <c r="F55" s="306">
        <f t="shared" si="3"/>
        <v>0.3858858858858859</v>
      </c>
    </row>
    <row r="56" spans="1:6" ht="24" customHeight="1" x14ac:dyDescent="0.25">
      <c r="A56" s="307"/>
      <c r="B56" s="308" t="s">
        <v>54</v>
      </c>
      <c r="C56" s="309">
        <f>SUM(C49:C55)</f>
        <v>122423000</v>
      </c>
      <c r="D56" s="309">
        <f>SUM(D49:D55)</f>
        <v>179649000</v>
      </c>
      <c r="E56" s="309">
        <f t="shared" si="2"/>
        <v>57226000</v>
      </c>
      <c r="F56" s="310">
        <f t="shared" si="3"/>
        <v>0.46744484288083121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244154000</v>
      </c>
      <c r="D59" s="22">
        <v>256156000</v>
      </c>
      <c r="E59" s="22">
        <f>D59-C59</f>
        <v>12002000</v>
      </c>
      <c r="F59" s="306">
        <f>IF(C59=0,0,E59/C59)</f>
        <v>4.9157498955577215E-2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244154000</v>
      </c>
      <c r="D61" s="309">
        <f>SUM(D59:D60)</f>
        <v>256156000</v>
      </c>
      <c r="E61" s="309">
        <f>D61-C61</f>
        <v>12002000</v>
      </c>
      <c r="F61" s="310">
        <f>IF(C61=0,0,E61/C61)</f>
        <v>4.9157498955577215E-2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320956000</v>
      </c>
      <c r="D63" s="22">
        <v>314044000</v>
      </c>
      <c r="E63" s="22">
        <f>D63-C63</f>
        <v>-6912000</v>
      </c>
      <c r="F63" s="306">
        <f>IF(C63=0,0,E63/C63)</f>
        <v>-2.1535662209150163E-2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79162000</v>
      </c>
      <c r="E64" s="22">
        <f>D64-C64</f>
        <v>79162000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565110000</v>
      </c>
      <c r="D65" s="309">
        <f>SUM(D61:D64)</f>
        <v>649362000</v>
      </c>
      <c r="E65" s="309">
        <f>D65-C65</f>
        <v>84252000</v>
      </c>
      <c r="F65" s="310">
        <f>IF(C65=0,0,E65/C65)</f>
        <v>0.14908955778520996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101295000</v>
      </c>
      <c r="D70" s="22">
        <v>123226000</v>
      </c>
      <c r="E70" s="22">
        <f>D70-C70</f>
        <v>21931000</v>
      </c>
      <c r="F70" s="306">
        <f>IF(C70=0,0,E70/C70)</f>
        <v>0.21650624413840763</v>
      </c>
    </row>
    <row r="71" spans="1:6" ht="24" customHeight="1" x14ac:dyDescent="0.2">
      <c r="A71" s="304">
        <v>2</v>
      </c>
      <c r="B71" s="305" t="s">
        <v>65</v>
      </c>
      <c r="C71" s="22">
        <v>26180000</v>
      </c>
      <c r="D71" s="22">
        <v>33642000</v>
      </c>
      <c r="E71" s="22">
        <f>D71-C71</f>
        <v>7462000</v>
      </c>
      <c r="F71" s="306">
        <f>IF(C71=0,0,E71/C71)</f>
        <v>0.28502673796791445</v>
      </c>
    </row>
    <row r="72" spans="1:6" ht="24" customHeight="1" x14ac:dyDescent="0.2">
      <c r="A72" s="304">
        <v>3</v>
      </c>
      <c r="B72" s="305" t="s">
        <v>66</v>
      </c>
      <c r="C72" s="22">
        <v>53179000</v>
      </c>
      <c r="D72" s="22">
        <v>71859000</v>
      </c>
      <c r="E72" s="22">
        <f>D72-C72</f>
        <v>18680000</v>
      </c>
      <c r="F72" s="306">
        <f>IF(C72=0,0,E72/C72)</f>
        <v>0.35126647736888622</v>
      </c>
    </row>
    <row r="73" spans="1:6" ht="24" customHeight="1" x14ac:dyDescent="0.25">
      <c r="A73" s="304"/>
      <c r="B73" s="308" t="s">
        <v>67</v>
      </c>
      <c r="C73" s="309">
        <f>SUM(C70:C72)</f>
        <v>180654000</v>
      </c>
      <c r="D73" s="309">
        <f>SUM(D70:D72)</f>
        <v>228727000</v>
      </c>
      <c r="E73" s="309">
        <f>D73-C73</f>
        <v>48073000</v>
      </c>
      <c r="F73" s="310">
        <f>IF(C73=0,0,E73/C73)</f>
        <v>0.26610537270140711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868187000</v>
      </c>
      <c r="D75" s="309">
        <f>D56+D65+D67+D73</f>
        <v>1057738000</v>
      </c>
      <c r="E75" s="309">
        <f>D75-C75</f>
        <v>189551000</v>
      </c>
      <c r="F75" s="310">
        <f>IF(C75=0,0,E75/C75)</f>
        <v>0.21832969164477239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="75" zoomScaleSheetLayoutView="75" workbookViewId="0">
      <selection activeCell="F54" sqref="F54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5703125" style="56" bestFit="1" customWidth="1"/>
    <col min="5" max="5" width="16.7109375" style="225" bestFit="1" customWidth="1"/>
    <col min="6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2433798000</v>
      </c>
      <c r="D11" s="76">
        <v>2903594000</v>
      </c>
      <c r="E11" s="76">
        <f t="shared" ref="E11:E20" si="0">D11-C11</f>
        <v>469796000</v>
      </c>
      <c r="F11" s="77">
        <f t="shared" ref="F11:F20" si="1">IF(C11=0,0,E11/C11)</f>
        <v>0.19302998852000042</v>
      </c>
    </row>
    <row r="12" spans="1:7" ht="23.1" customHeight="1" x14ac:dyDescent="0.2">
      <c r="A12" s="74">
        <v>2</v>
      </c>
      <c r="B12" s="75" t="s">
        <v>72</v>
      </c>
      <c r="C12" s="76">
        <v>1621115000</v>
      </c>
      <c r="D12" s="76">
        <v>1902814000</v>
      </c>
      <c r="E12" s="76">
        <f t="shared" si="0"/>
        <v>281699000</v>
      </c>
      <c r="F12" s="77">
        <f t="shared" si="1"/>
        <v>0.17376867156247397</v>
      </c>
    </row>
    <row r="13" spans="1:7" ht="23.1" customHeight="1" x14ac:dyDescent="0.2">
      <c r="A13" s="74">
        <v>3</v>
      </c>
      <c r="B13" s="75" t="s">
        <v>73</v>
      </c>
      <c r="C13" s="76">
        <v>14331000</v>
      </c>
      <c r="D13" s="76">
        <v>16893000</v>
      </c>
      <c r="E13" s="76">
        <f t="shared" si="0"/>
        <v>2562000</v>
      </c>
      <c r="F13" s="77">
        <f t="shared" si="1"/>
        <v>0.17877328867490055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798352000</v>
      </c>
      <c r="D15" s="79">
        <f>D11-D12-D13-D14</f>
        <v>983887000</v>
      </c>
      <c r="E15" s="79">
        <f t="shared" si="0"/>
        <v>185535000</v>
      </c>
      <c r="F15" s="80">
        <f t="shared" si="1"/>
        <v>0.23239748882698358</v>
      </c>
    </row>
    <row r="16" spans="1:7" ht="23.1" customHeight="1" x14ac:dyDescent="0.2">
      <c r="A16" s="74">
        <v>5</v>
      </c>
      <c r="B16" s="75" t="s">
        <v>76</v>
      </c>
      <c r="C16" s="76">
        <v>25600000</v>
      </c>
      <c r="D16" s="76">
        <v>21382000</v>
      </c>
      <c r="E16" s="76">
        <f t="shared" si="0"/>
        <v>-4218000</v>
      </c>
      <c r="F16" s="77">
        <f t="shared" si="1"/>
        <v>-0.164765625</v>
      </c>
      <c r="G16" s="65"/>
    </row>
    <row r="17" spans="1:7" ht="31.5" customHeight="1" x14ac:dyDescent="0.25">
      <c r="A17" s="71"/>
      <c r="B17" s="81" t="s">
        <v>77</v>
      </c>
      <c r="C17" s="79">
        <f>C15-C16</f>
        <v>772752000</v>
      </c>
      <c r="D17" s="79">
        <f>D15-D16</f>
        <v>962505000</v>
      </c>
      <c r="E17" s="79">
        <f t="shared" si="0"/>
        <v>189753000</v>
      </c>
      <c r="F17" s="80">
        <f t="shared" si="1"/>
        <v>0.24555484812721287</v>
      </c>
    </row>
    <row r="18" spans="1:7" ht="23.1" customHeight="1" x14ac:dyDescent="0.2">
      <c r="A18" s="74">
        <v>6</v>
      </c>
      <c r="B18" s="75" t="s">
        <v>78</v>
      </c>
      <c r="C18" s="76">
        <v>38303000</v>
      </c>
      <c r="D18" s="76">
        <v>48990000</v>
      </c>
      <c r="E18" s="76">
        <f t="shared" si="0"/>
        <v>10687000</v>
      </c>
      <c r="F18" s="77">
        <f t="shared" si="1"/>
        <v>0.27901208782601883</v>
      </c>
      <c r="G18" s="65"/>
    </row>
    <row r="19" spans="1:7" ht="33" customHeight="1" x14ac:dyDescent="0.2">
      <c r="A19" s="74">
        <v>7</v>
      </c>
      <c r="B19" s="82" t="s">
        <v>79</v>
      </c>
      <c r="C19" s="76">
        <v>10911000</v>
      </c>
      <c r="D19" s="76">
        <v>7991000</v>
      </c>
      <c r="E19" s="76">
        <f t="shared" si="0"/>
        <v>-2920000</v>
      </c>
      <c r="F19" s="77">
        <f t="shared" si="1"/>
        <v>-0.26761983319585742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821966000</v>
      </c>
      <c r="D20" s="79">
        <f>SUM(D17:D19)</f>
        <v>1019486000</v>
      </c>
      <c r="E20" s="79">
        <f t="shared" si="0"/>
        <v>197520000</v>
      </c>
      <c r="F20" s="80">
        <f t="shared" si="1"/>
        <v>0.24030191029799286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378595000</v>
      </c>
      <c r="D23" s="76">
        <v>447852000</v>
      </c>
      <c r="E23" s="76">
        <f t="shared" ref="E23:E32" si="2">D23-C23</f>
        <v>69257000</v>
      </c>
      <c r="F23" s="77">
        <f t="shared" ref="F23:F32" si="3">IF(C23=0,0,E23/C23)</f>
        <v>0.18293162878537753</v>
      </c>
    </row>
    <row r="24" spans="1:7" ht="23.1" customHeight="1" x14ac:dyDescent="0.2">
      <c r="A24" s="74">
        <v>2</v>
      </c>
      <c r="B24" s="75" t="s">
        <v>83</v>
      </c>
      <c r="C24" s="76">
        <v>86980000</v>
      </c>
      <c r="D24" s="76">
        <v>94930000</v>
      </c>
      <c r="E24" s="76">
        <f t="shared" si="2"/>
        <v>7950000</v>
      </c>
      <c r="F24" s="77">
        <f t="shared" si="3"/>
        <v>9.1400321913083463E-2</v>
      </c>
    </row>
    <row r="25" spans="1:7" ht="23.1" customHeight="1" x14ac:dyDescent="0.2">
      <c r="A25" s="74">
        <v>3</v>
      </c>
      <c r="B25" s="75" t="s">
        <v>84</v>
      </c>
      <c r="C25" s="76">
        <v>24836000</v>
      </c>
      <c r="D25" s="76">
        <v>33406000</v>
      </c>
      <c r="E25" s="76">
        <f t="shared" si="2"/>
        <v>8570000</v>
      </c>
      <c r="F25" s="77">
        <f t="shared" si="3"/>
        <v>0.34506361732968271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119805000</v>
      </c>
      <c r="D26" s="76">
        <v>162109000</v>
      </c>
      <c r="E26" s="76">
        <f t="shared" si="2"/>
        <v>42304000</v>
      </c>
      <c r="F26" s="77">
        <f t="shared" si="3"/>
        <v>0.35310713242352154</v>
      </c>
    </row>
    <row r="27" spans="1:7" ht="23.1" customHeight="1" x14ac:dyDescent="0.2">
      <c r="A27" s="74">
        <v>5</v>
      </c>
      <c r="B27" s="75" t="s">
        <v>86</v>
      </c>
      <c r="C27" s="76">
        <v>39696000</v>
      </c>
      <c r="D27" s="76">
        <v>50735000</v>
      </c>
      <c r="E27" s="76">
        <f t="shared" si="2"/>
        <v>11039000</v>
      </c>
      <c r="F27" s="77">
        <f t="shared" si="3"/>
        <v>0.27808847239016526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11152000</v>
      </c>
      <c r="D29" s="76">
        <v>9056000</v>
      </c>
      <c r="E29" s="76">
        <f t="shared" si="2"/>
        <v>-2096000</v>
      </c>
      <c r="F29" s="77">
        <f t="shared" si="3"/>
        <v>-0.18794835007173602</v>
      </c>
    </row>
    <row r="30" spans="1:7" ht="23.1" customHeight="1" x14ac:dyDescent="0.2">
      <c r="A30" s="74">
        <v>8</v>
      </c>
      <c r="B30" s="75" t="s">
        <v>89</v>
      </c>
      <c r="C30" s="76">
        <v>6887000</v>
      </c>
      <c r="D30" s="76">
        <v>12300000</v>
      </c>
      <c r="E30" s="76">
        <f t="shared" si="2"/>
        <v>5413000</v>
      </c>
      <c r="F30" s="77">
        <f t="shared" si="3"/>
        <v>0.78597357339915785</v>
      </c>
    </row>
    <row r="31" spans="1:7" ht="23.1" customHeight="1" x14ac:dyDescent="0.2">
      <c r="A31" s="74">
        <v>9</v>
      </c>
      <c r="B31" s="75" t="s">
        <v>90</v>
      </c>
      <c r="C31" s="76">
        <v>148043000</v>
      </c>
      <c r="D31" s="76">
        <v>212471000</v>
      </c>
      <c r="E31" s="76">
        <f t="shared" si="2"/>
        <v>64428000</v>
      </c>
      <c r="F31" s="77">
        <f t="shared" si="3"/>
        <v>0.43519788169653412</v>
      </c>
    </row>
    <row r="32" spans="1:7" ht="23.1" customHeight="1" x14ac:dyDescent="0.25">
      <c r="A32" s="71"/>
      <c r="B32" s="78" t="s">
        <v>91</v>
      </c>
      <c r="C32" s="79">
        <f>SUM(C23:C31)</f>
        <v>815994000</v>
      </c>
      <c r="D32" s="79">
        <f>SUM(D23:D31)</f>
        <v>1022859000</v>
      </c>
      <c r="E32" s="79">
        <f t="shared" si="2"/>
        <v>206865000</v>
      </c>
      <c r="F32" s="80">
        <f t="shared" si="3"/>
        <v>0.25351289347715794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5972000</v>
      </c>
      <c r="D34" s="79">
        <f>+D20-D32</f>
        <v>-3373000</v>
      </c>
      <c r="E34" s="79">
        <f>D34-C34</f>
        <v>-9345000</v>
      </c>
      <c r="F34" s="80">
        <f>IF(C34=0,0,E34/C34)</f>
        <v>-1.5648024112525116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-2530000</v>
      </c>
      <c r="D37" s="76">
        <v>5917000</v>
      </c>
      <c r="E37" s="76">
        <f>D37-C37</f>
        <v>8447000</v>
      </c>
      <c r="F37" s="77">
        <f>IF(C37=0,0,E37/C37)</f>
        <v>-3.3387351778656127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-17533000</v>
      </c>
      <c r="D39" s="76">
        <v>54901000</v>
      </c>
      <c r="E39" s="76">
        <f>D39-C39</f>
        <v>72434000</v>
      </c>
      <c r="F39" s="77">
        <f>IF(C39=0,0,E39/C39)</f>
        <v>-4.1312952717732276</v>
      </c>
    </row>
    <row r="40" spans="1:6" ht="23.1" customHeight="1" x14ac:dyDescent="0.25">
      <c r="A40" s="83"/>
      <c r="B40" s="78" t="s">
        <v>97</v>
      </c>
      <c r="C40" s="79">
        <f>SUM(C37:C39)</f>
        <v>-20063000</v>
      </c>
      <c r="D40" s="79">
        <f>SUM(D37:D39)</f>
        <v>60818000</v>
      </c>
      <c r="E40" s="79">
        <f>D40-C40</f>
        <v>80881000</v>
      </c>
      <c r="F40" s="80">
        <f>IF(C40=0,0,E40/C40)</f>
        <v>-4.0313512435827148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-14091000</v>
      </c>
      <c r="D42" s="79">
        <f>D34+D40</f>
        <v>57445000</v>
      </c>
      <c r="E42" s="79">
        <f>D42-C42</f>
        <v>71536000</v>
      </c>
      <c r="F42" s="80">
        <f>IF(C42=0,0,E42/C42)</f>
        <v>-5.0767156340926833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-14091000</v>
      </c>
      <c r="D49" s="79">
        <f>D42+D47</f>
        <v>57445000</v>
      </c>
      <c r="E49" s="79">
        <f>D49-C49</f>
        <v>71536000</v>
      </c>
      <c r="F49" s="80">
        <f>IF(C49=0,0,E49/C49)</f>
        <v>-5.0767156340926833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2017-09-19T19:36:41Z</cp:lastPrinted>
  <dcterms:created xsi:type="dcterms:W3CDTF">2017-09-14T16:24:01Z</dcterms:created>
  <dcterms:modified xsi:type="dcterms:W3CDTF">2017-09-19T19:37:34Z</dcterms:modified>
</cp:coreProperties>
</file>