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 activeTab="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E91" i="22"/>
  <c r="D91" i="22"/>
  <c r="C91" i="22"/>
  <c r="C93" i="22" s="1"/>
  <c r="E87" i="22"/>
  <c r="E88" i="22" s="1"/>
  <c r="D87" i="22"/>
  <c r="C87" i="22"/>
  <c r="C88" i="22" s="1"/>
  <c r="E86" i="22"/>
  <c r="D86" i="22"/>
  <c r="C86" i="22"/>
  <c r="E83" i="22"/>
  <c r="E102" i="22" s="1"/>
  <c r="E101" i="22"/>
  <c r="E103" i="22" s="1"/>
  <c r="D83" i="22"/>
  <c r="C83" i="22"/>
  <c r="E76" i="22"/>
  <c r="D76" i="22"/>
  <c r="C76" i="22"/>
  <c r="E75" i="22"/>
  <c r="E77" i="22"/>
  <c r="E109" i="22" s="1"/>
  <c r="D75" i="22"/>
  <c r="D77" i="22" s="1"/>
  <c r="D109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 s="1"/>
  <c r="D21" i="21"/>
  <c r="C21" i="21"/>
  <c r="D19" i="21"/>
  <c r="E19" i="21" s="1"/>
  <c r="F19" i="21" s="1"/>
  <c r="C19" i="21"/>
  <c r="E17" i="21"/>
  <c r="F17" i="21" s="1"/>
  <c r="E15" i="21"/>
  <c r="F15" i="21" s="1"/>
  <c r="D45" i="20"/>
  <c r="C45" i="20"/>
  <c r="D44" i="20"/>
  <c r="C44" i="20"/>
  <c r="E44" i="20" s="1"/>
  <c r="D43" i="20"/>
  <c r="D46" i="20"/>
  <c r="C43" i="20"/>
  <c r="D36" i="20"/>
  <c r="D40" i="20" s="1"/>
  <c r="C36" i="20"/>
  <c r="C40" i="20" s="1"/>
  <c r="E35" i="20"/>
  <c r="F35" i="20" s="1"/>
  <c r="E34" i="20"/>
  <c r="F34" i="20" s="1"/>
  <c r="E33" i="20"/>
  <c r="F33" i="20" s="1"/>
  <c r="E36" i="20"/>
  <c r="F30" i="20"/>
  <c r="E30" i="20"/>
  <c r="F29" i="20"/>
  <c r="E29" i="20"/>
  <c r="E28" i="20"/>
  <c r="F28" i="20" s="1"/>
  <c r="E27" i="20"/>
  <c r="F27" i="20" s="1"/>
  <c r="D25" i="20"/>
  <c r="D39" i="20" s="1"/>
  <c r="C25" i="20"/>
  <c r="C39" i="20" s="1"/>
  <c r="E24" i="20"/>
  <c r="F24" i="20" s="1"/>
  <c r="E23" i="20"/>
  <c r="F23" i="20" s="1"/>
  <c r="F22" i="20"/>
  <c r="E22" i="20"/>
  <c r="D19" i="20"/>
  <c r="D20" i="20" s="1"/>
  <c r="C19" i="20"/>
  <c r="E18" i="20"/>
  <c r="F18" i="20" s="1"/>
  <c r="D16" i="20"/>
  <c r="E16" i="20" s="1"/>
  <c r="C16" i="20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4" i="19"/>
  <c r="C63" i="19"/>
  <c r="C59" i="19"/>
  <c r="C60" i="19" s="1"/>
  <c r="C48" i="19"/>
  <c r="C49" i="19" s="1"/>
  <c r="C36" i="19"/>
  <c r="C32" i="19"/>
  <c r="C21" i="19"/>
  <c r="E328" i="18"/>
  <c r="E325" i="18"/>
  <c r="D324" i="18"/>
  <c r="D326" i="18"/>
  <c r="D330" i="18" s="1"/>
  <c r="E330" i="18" s="1"/>
  <c r="C324" i="18"/>
  <c r="C326" i="18" s="1"/>
  <c r="C330" i="18" s="1"/>
  <c r="E318" i="18"/>
  <c r="E315" i="18"/>
  <c r="D314" i="18"/>
  <c r="D316" i="18" s="1"/>
  <c r="D320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E292" i="18" s="1"/>
  <c r="C292" i="18"/>
  <c r="D291" i="18"/>
  <c r="C291" i="18"/>
  <c r="D290" i="18"/>
  <c r="C290" i="18"/>
  <c r="D288" i="18"/>
  <c r="C288" i="18"/>
  <c r="D287" i="18"/>
  <c r="E287" i="18" s="1"/>
  <c r="C287" i="18"/>
  <c r="D282" i="18"/>
  <c r="E282" i="18" s="1"/>
  <c r="C282" i="18"/>
  <c r="D281" i="18"/>
  <c r="C281" i="18"/>
  <c r="D280" i="18"/>
  <c r="C280" i="18"/>
  <c r="E280" i="18" s="1"/>
  <c r="D279" i="18"/>
  <c r="C279" i="18"/>
  <c r="D278" i="18"/>
  <c r="C278" i="18"/>
  <c r="E278" i="18"/>
  <c r="D277" i="18"/>
  <c r="E277" i="18" s="1"/>
  <c r="C277" i="18"/>
  <c r="D276" i="18"/>
  <c r="C276" i="18"/>
  <c r="E270" i="18"/>
  <c r="D265" i="18"/>
  <c r="D302" i="18" s="1"/>
  <c r="C265" i="18"/>
  <c r="D262" i="18"/>
  <c r="C262" i="18"/>
  <c r="D251" i="18"/>
  <c r="C251" i="18"/>
  <c r="D233" i="18"/>
  <c r="D253" i="18" s="1"/>
  <c r="C233" i="18"/>
  <c r="D232" i="18"/>
  <c r="C232" i="18"/>
  <c r="D231" i="18"/>
  <c r="C231" i="18"/>
  <c r="C252" i="18" s="1"/>
  <c r="D230" i="18"/>
  <c r="E230" i="18"/>
  <c r="C230" i="18"/>
  <c r="D228" i="18"/>
  <c r="C228" i="18"/>
  <c r="D227" i="18"/>
  <c r="C227" i="18"/>
  <c r="D221" i="18"/>
  <c r="C221" i="18"/>
  <c r="C245" i="18" s="1"/>
  <c r="D220" i="18"/>
  <c r="D244" i="18" s="1"/>
  <c r="C220" i="18"/>
  <c r="D219" i="18"/>
  <c r="C219" i="18"/>
  <c r="C243" i="18" s="1"/>
  <c r="D218" i="18"/>
  <c r="D242" i="18"/>
  <c r="C218" i="18"/>
  <c r="D216" i="18"/>
  <c r="C216" i="18"/>
  <c r="C240" i="18" s="1"/>
  <c r="D215" i="18"/>
  <c r="C215" i="18"/>
  <c r="C239" i="18" s="1"/>
  <c r="E209" i="18"/>
  <c r="E208" i="18"/>
  <c r="E207" i="18"/>
  <c r="E206" i="18"/>
  <c r="D205" i="18"/>
  <c r="C205" i="18"/>
  <c r="C229" i="18" s="1"/>
  <c r="E204" i="18"/>
  <c r="E203" i="18"/>
  <c r="E197" i="18"/>
  <c r="E196" i="18"/>
  <c r="D195" i="18"/>
  <c r="C195" i="18"/>
  <c r="E194" i="18"/>
  <c r="E193" i="18"/>
  <c r="E192" i="18"/>
  <c r="E191" i="18"/>
  <c r="E190" i="18"/>
  <c r="D188" i="18"/>
  <c r="D189" i="18" s="1"/>
  <c r="D261" i="18"/>
  <c r="E261" i="18" s="1"/>
  <c r="C188" i="18"/>
  <c r="C189" i="18" s="1"/>
  <c r="E186" i="18"/>
  <c r="E185" i="18"/>
  <c r="D179" i="18"/>
  <c r="E179" i="18"/>
  <c r="C179" i="18"/>
  <c r="D178" i="18"/>
  <c r="C178" i="18"/>
  <c r="E178" i="18" s="1"/>
  <c r="D177" i="18"/>
  <c r="E177" i="18"/>
  <c r="C177" i="18"/>
  <c r="D176" i="18"/>
  <c r="C176" i="18"/>
  <c r="D174" i="18"/>
  <c r="C174" i="18"/>
  <c r="E174" i="18" s="1"/>
  <c r="D173" i="18"/>
  <c r="E173" i="18" s="1"/>
  <c r="C173" i="18"/>
  <c r="D167" i="18"/>
  <c r="E167" i="18" s="1"/>
  <c r="C167" i="18"/>
  <c r="D166" i="18"/>
  <c r="C166" i="18"/>
  <c r="D165" i="18"/>
  <c r="C165" i="18"/>
  <c r="D164" i="18"/>
  <c r="E164" i="18" s="1"/>
  <c r="C164" i="18"/>
  <c r="D162" i="18"/>
  <c r="C162" i="18"/>
  <c r="D161" i="18"/>
  <c r="C161" i="18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D144" i="18" s="1"/>
  <c r="C139" i="18"/>
  <c r="E138" i="18"/>
  <c r="E137" i="18"/>
  <c r="D75" i="18"/>
  <c r="E75" i="18" s="1"/>
  <c r="C75" i="18"/>
  <c r="D74" i="18"/>
  <c r="C74" i="18"/>
  <c r="D73" i="18"/>
  <c r="C73" i="18"/>
  <c r="D72" i="18"/>
  <c r="C72" i="18"/>
  <c r="D71" i="18"/>
  <c r="D70" i="18"/>
  <c r="C70" i="18"/>
  <c r="D69" i="18"/>
  <c r="C69" i="18"/>
  <c r="E69" i="18" s="1"/>
  <c r="D65" i="18"/>
  <c r="D66" i="18" s="1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D40" i="18"/>
  <c r="E40" i="18" s="1"/>
  <c r="C40" i="18"/>
  <c r="D39" i="18"/>
  <c r="C39" i="18"/>
  <c r="D38" i="18"/>
  <c r="C38" i="18"/>
  <c r="D37" i="18"/>
  <c r="C37" i="18"/>
  <c r="D36" i="18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83" i="18" s="1"/>
  <c r="C21" i="18"/>
  <c r="C22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C311" i="17"/>
  <c r="F308" i="17"/>
  <c r="E308" i="17"/>
  <c r="D307" i="17"/>
  <c r="E307" i="17" s="1"/>
  <c r="F307" i="17" s="1"/>
  <c r="C307" i="17"/>
  <c r="D299" i="17"/>
  <c r="C299" i="17"/>
  <c r="D298" i="17"/>
  <c r="C298" i="17"/>
  <c r="F298" i="17" s="1"/>
  <c r="D297" i="17"/>
  <c r="C297" i="17"/>
  <c r="D296" i="17"/>
  <c r="E296" i="17" s="1"/>
  <c r="F296" i="17" s="1"/>
  <c r="C296" i="17"/>
  <c r="D295" i="17"/>
  <c r="E295" i="17" s="1"/>
  <c r="F295" i="17" s="1"/>
  <c r="C295" i="17"/>
  <c r="D294" i="17"/>
  <c r="C294" i="17"/>
  <c r="D250" i="17"/>
  <c r="C250" i="17"/>
  <c r="C306" i="17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E238" i="17" s="1"/>
  <c r="F238" i="17" s="1"/>
  <c r="C238" i="17"/>
  <c r="D237" i="17"/>
  <c r="C237" i="17"/>
  <c r="E234" i="17"/>
  <c r="F234" i="17" s="1"/>
  <c r="E233" i="17"/>
  <c r="F233" i="17" s="1"/>
  <c r="D230" i="17"/>
  <c r="C230" i="17"/>
  <c r="E230" i="17" s="1"/>
  <c r="D229" i="17"/>
  <c r="E229" i="17"/>
  <c r="F229" i="17" s="1"/>
  <c r="C229" i="17"/>
  <c r="E228" i="17"/>
  <c r="F228" i="17" s="1"/>
  <c r="D226" i="17"/>
  <c r="D227" i="17"/>
  <c r="C226" i="17"/>
  <c r="E226" i="17" s="1"/>
  <c r="C227" i="17"/>
  <c r="E227" i="17" s="1"/>
  <c r="E225" i="17"/>
  <c r="F225" i="17" s="1"/>
  <c r="E224" i="17"/>
  <c r="F224" i="17" s="1"/>
  <c r="D223" i="17"/>
  <c r="C223" i="17"/>
  <c r="F222" i="17"/>
  <c r="E222" i="17"/>
  <c r="E221" i="17"/>
  <c r="F221" i="17" s="1"/>
  <c r="D204" i="17"/>
  <c r="D269" i="17" s="1"/>
  <c r="C204" i="17"/>
  <c r="D203" i="17"/>
  <c r="C203" i="17"/>
  <c r="C283" i="17" s="1"/>
  <c r="D198" i="17"/>
  <c r="C198" i="17"/>
  <c r="D191" i="17"/>
  <c r="D264" i="17" s="1"/>
  <c r="C191" i="17"/>
  <c r="D189" i="17"/>
  <c r="C189" i="17"/>
  <c r="C278" i="17"/>
  <c r="D188" i="17"/>
  <c r="C188" i="17"/>
  <c r="F180" i="17"/>
  <c r="D180" i="17"/>
  <c r="E180" i="17" s="1"/>
  <c r="C180" i="17"/>
  <c r="F179" i="17"/>
  <c r="D179" i="17"/>
  <c r="C179" i="17"/>
  <c r="C181" i="17" s="1"/>
  <c r="F181" i="17" s="1"/>
  <c r="D171" i="17"/>
  <c r="C171" i="17"/>
  <c r="D170" i="17"/>
  <c r="C170" i="17"/>
  <c r="F170" i="17" s="1"/>
  <c r="F169" i="17"/>
  <c r="E169" i="17"/>
  <c r="F168" i="17"/>
  <c r="E168" i="17"/>
  <c r="D165" i="17"/>
  <c r="C165" i="17"/>
  <c r="F165" i="17" s="1"/>
  <c r="F164" i="17"/>
  <c r="D164" i="17"/>
  <c r="C164" i="17"/>
  <c r="F163" i="17"/>
  <c r="E163" i="17"/>
  <c r="D158" i="17"/>
  <c r="D159" i="17"/>
  <c r="C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E145" i="17"/>
  <c r="C145" i="17"/>
  <c r="D144" i="17"/>
  <c r="C144" i="17"/>
  <c r="C146" i="17" s="1"/>
  <c r="D136" i="17"/>
  <c r="D137" i="17" s="1"/>
  <c r="C136" i="17"/>
  <c r="D135" i="17"/>
  <c r="C135" i="17"/>
  <c r="E134" i="17"/>
  <c r="F134" i="17" s="1"/>
  <c r="E133" i="17"/>
  <c r="F133" i="17" s="1"/>
  <c r="D130" i="17"/>
  <c r="C130" i="17"/>
  <c r="D129" i="17"/>
  <c r="E129" i="17" s="1"/>
  <c r="F129" i="17"/>
  <c r="C129" i="17"/>
  <c r="F128" i="17"/>
  <c r="E128" i="17"/>
  <c r="D123" i="17"/>
  <c r="C123" i="17"/>
  <c r="C193" i="17" s="1"/>
  <c r="E122" i="17"/>
  <c r="F122" i="17" s="1"/>
  <c r="E121" i="17"/>
  <c r="F121" i="17" s="1"/>
  <c r="D120" i="17"/>
  <c r="E120" i="17"/>
  <c r="C120" i="17"/>
  <c r="E119" i="17"/>
  <c r="F119" i="17" s="1"/>
  <c r="E118" i="17"/>
  <c r="F118" i="17" s="1"/>
  <c r="D110" i="17"/>
  <c r="E110" i="17"/>
  <c r="C110" i="17"/>
  <c r="D109" i="17"/>
  <c r="C109" i="17"/>
  <c r="C111" i="17" s="1"/>
  <c r="D101" i="17"/>
  <c r="D102" i="17"/>
  <c r="C101" i="17"/>
  <c r="C102" i="17" s="1"/>
  <c r="C103" i="17" s="1"/>
  <c r="D100" i="17"/>
  <c r="E100" i="17" s="1"/>
  <c r="F100" i="17" s="1"/>
  <c r="C100" i="17"/>
  <c r="E99" i="17"/>
  <c r="F99" i="17" s="1"/>
  <c r="E98" i="17"/>
  <c r="F98" i="17" s="1"/>
  <c r="D95" i="17"/>
  <c r="E95" i="17" s="1"/>
  <c r="F95" i="17" s="1"/>
  <c r="C95" i="17"/>
  <c r="D94" i="17"/>
  <c r="E94" i="17" s="1"/>
  <c r="C94" i="17"/>
  <c r="E93" i="17"/>
  <c r="F93" i="17" s="1"/>
  <c r="D88" i="17"/>
  <c r="D89" i="17" s="1"/>
  <c r="C88" i="17"/>
  <c r="C89" i="17"/>
  <c r="E89" i="17" s="1"/>
  <c r="E87" i="17"/>
  <c r="F87" i="17" s="1"/>
  <c r="F86" i="17"/>
  <c r="E86" i="17"/>
  <c r="D85" i="17"/>
  <c r="C85" i="17"/>
  <c r="E84" i="17"/>
  <c r="F84" i="17" s="1"/>
  <c r="E83" i="17"/>
  <c r="F83" i="17" s="1"/>
  <c r="D76" i="17"/>
  <c r="C76" i="17"/>
  <c r="C77" i="17"/>
  <c r="E74" i="17"/>
  <c r="F74" i="17" s="1"/>
  <c r="E73" i="17"/>
  <c r="F73" i="17" s="1"/>
  <c r="D67" i="17"/>
  <c r="C67" i="17"/>
  <c r="D66" i="17"/>
  <c r="C66" i="17"/>
  <c r="C68" i="17" s="1"/>
  <c r="D59" i="17"/>
  <c r="D60" i="17" s="1"/>
  <c r="C59" i="17"/>
  <c r="D58" i="17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C47" i="17"/>
  <c r="C48" i="17" s="1"/>
  <c r="E46" i="17"/>
  <c r="F46" i="17" s="1"/>
  <c r="E45" i="17"/>
  <c r="F45" i="17" s="1"/>
  <c r="D44" i="17"/>
  <c r="C44" i="17"/>
  <c r="E43" i="17"/>
  <c r="F43" i="17" s="1"/>
  <c r="E42" i="17"/>
  <c r="F42" i="17"/>
  <c r="D36" i="17"/>
  <c r="E36" i="17" s="1"/>
  <c r="F36" i="17" s="1"/>
  <c r="C36" i="17"/>
  <c r="D35" i="17"/>
  <c r="C35" i="17"/>
  <c r="D30" i="17"/>
  <c r="D31" i="17" s="1"/>
  <c r="D32" i="17" s="1"/>
  <c r="C30" i="17"/>
  <c r="D29" i="17"/>
  <c r="C29" i="17"/>
  <c r="E28" i="17"/>
  <c r="F28" i="17" s="1"/>
  <c r="E27" i="17"/>
  <c r="F27" i="17"/>
  <c r="D24" i="17"/>
  <c r="C24" i="17"/>
  <c r="D23" i="17"/>
  <c r="C23" i="17"/>
  <c r="E23" i="17"/>
  <c r="F23" i="17" s="1"/>
  <c r="E22" i="17"/>
  <c r="F22" i="17" s="1"/>
  <c r="D20" i="17"/>
  <c r="C20" i="17"/>
  <c r="C21" i="17" s="1"/>
  <c r="E19" i="17"/>
  <c r="F19" i="17" s="1"/>
  <c r="E18" i="17"/>
  <c r="F18" i="17" s="1"/>
  <c r="D17" i="17"/>
  <c r="E17" i="17"/>
  <c r="F17" i="17" s="1"/>
  <c r="C17" i="17"/>
  <c r="F16" i="17"/>
  <c r="E16" i="17"/>
  <c r="E15" i="17"/>
  <c r="F15" i="17" s="1"/>
  <c r="D21" i="16"/>
  <c r="E21" i="16" s="1"/>
  <c r="F21" i="16"/>
  <c r="C21" i="16"/>
  <c r="E20" i="16"/>
  <c r="F20" i="16" s="1"/>
  <c r="D17" i="16"/>
  <c r="C17" i="16"/>
  <c r="E16" i="16"/>
  <c r="F16" i="16" s="1"/>
  <c r="D13" i="16"/>
  <c r="C13" i="16"/>
  <c r="E12" i="16"/>
  <c r="F12" i="16" s="1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/>
  <c r="E98" i="15"/>
  <c r="F98" i="15" s="1"/>
  <c r="F97" i="15"/>
  <c r="E97" i="15"/>
  <c r="E96" i="15"/>
  <c r="F96" i="15"/>
  <c r="E95" i="15"/>
  <c r="F95" i="15" s="1"/>
  <c r="D92" i="15"/>
  <c r="C92" i="15"/>
  <c r="F91" i="15"/>
  <c r="E91" i="15"/>
  <c r="E90" i="15"/>
  <c r="F90" i="15" s="1"/>
  <c r="F89" i="15"/>
  <c r="E89" i="15"/>
  <c r="F88" i="15"/>
  <c r="E88" i="15"/>
  <c r="F87" i="15"/>
  <c r="E87" i="15"/>
  <c r="F86" i="15"/>
  <c r="E86" i="15"/>
  <c r="F85" i="15"/>
  <c r="E85" i="15"/>
  <c r="E84" i="15"/>
  <c r="F84" i="15" s="1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/>
  <c r="E73" i="15"/>
  <c r="F73" i="15" s="1"/>
  <c r="D70" i="15"/>
  <c r="C70" i="15"/>
  <c r="E69" i="15"/>
  <c r="F69" i="15" s="1"/>
  <c r="E68" i="15"/>
  <c r="F68" i="15" s="1"/>
  <c r="D65" i="15"/>
  <c r="E65" i="15" s="1"/>
  <c r="F65" i="15" s="1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D55" i="15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C45" i="15"/>
  <c r="F45" i="15"/>
  <c r="F44" i="15"/>
  <c r="E44" i="15"/>
  <c r="F43" i="15"/>
  <c r="E43" i="15"/>
  <c r="D37" i="15"/>
  <c r="C37" i="15"/>
  <c r="F37" i="15" s="1"/>
  <c r="F36" i="15"/>
  <c r="E36" i="15"/>
  <c r="F35" i="15"/>
  <c r="E35" i="15"/>
  <c r="F34" i="15"/>
  <c r="E34" i="15"/>
  <c r="F33" i="15"/>
  <c r="E33" i="15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/>
  <c r="D16" i="15"/>
  <c r="C16" i="15"/>
  <c r="E16" i="15" s="1"/>
  <c r="F15" i="15"/>
  <c r="E15" i="15"/>
  <c r="E14" i="15"/>
  <c r="F14" i="15" s="1"/>
  <c r="E13" i="15"/>
  <c r="F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/>
  <c r="E17" i="14"/>
  <c r="E31" i="14" s="1"/>
  <c r="E33" i="14"/>
  <c r="E36" i="14" s="1"/>
  <c r="E38" i="14" s="1"/>
  <c r="E40" i="14" s="1"/>
  <c r="D17" i="14"/>
  <c r="D31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C78" i="13"/>
  <c r="C80" i="13" s="1"/>
  <c r="C77" i="13"/>
  <c r="E73" i="13"/>
  <c r="E75" i="13"/>
  <c r="D73" i="13"/>
  <c r="D75" i="13"/>
  <c r="C73" i="13"/>
  <c r="C75" i="13" s="1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E58" i="13"/>
  <c r="D58" i="13"/>
  <c r="C58" i="13"/>
  <c r="E55" i="13"/>
  <c r="D55" i="13"/>
  <c r="D50" i="13" s="1"/>
  <c r="C55" i="13"/>
  <c r="E54" i="13"/>
  <c r="D54" i="13"/>
  <c r="C54" i="13"/>
  <c r="E50" i="13"/>
  <c r="E46" i="13"/>
  <c r="E59" i="13"/>
  <c r="E61" i="13" s="1"/>
  <c r="E57" i="13" s="1"/>
  <c r="D46" i="13"/>
  <c r="D59" i="13"/>
  <c r="D61" i="13" s="1"/>
  <c r="C46" i="13"/>
  <c r="C59" i="13"/>
  <c r="C61" i="13"/>
  <c r="E45" i="13"/>
  <c r="D45" i="13"/>
  <c r="C45" i="13"/>
  <c r="C42" i="13" s="1"/>
  <c r="E38" i="13"/>
  <c r="D38" i="13"/>
  <c r="C38" i="13"/>
  <c r="E33" i="13"/>
  <c r="E34" i="13" s="1"/>
  <c r="D33" i="13"/>
  <c r="D34" i="13" s="1"/>
  <c r="E26" i="13"/>
  <c r="D26" i="13"/>
  <c r="C26" i="13"/>
  <c r="E13" i="13"/>
  <c r="D13" i="13"/>
  <c r="D25" i="13" s="1"/>
  <c r="D27" i="13" s="1"/>
  <c r="C13" i="13"/>
  <c r="C25" i="13" s="1"/>
  <c r="D47" i="12"/>
  <c r="C47" i="12"/>
  <c r="F47" i="12"/>
  <c r="F46" i="12"/>
  <c r="E46" i="12"/>
  <c r="F45" i="12"/>
  <c r="E45" i="12"/>
  <c r="D40" i="12"/>
  <c r="C40" i="12"/>
  <c r="E39" i="12"/>
  <c r="F39" i="12" s="1"/>
  <c r="F38" i="12"/>
  <c r="E38" i="12"/>
  <c r="F37" i="12"/>
  <c r="E37" i="12"/>
  <c r="D32" i="12"/>
  <c r="C32" i="12"/>
  <c r="E31" i="12"/>
  <c r="F31" i="12" s="1"/>
  <c r="E30" i="12"/>
  <c r="F30" i="12" s="1"/>
  <c r="F29" i="12"/>
  <c r="E29" i="12"/>
  <c r="F28" i="12"/>
  <c r="E28" i="12"/>
  <c r="E27" i="12"/>
  <c r="F27" i="12" s="1"/>
  <c r="F26" i="12"/>
  <c r="E26" i="12"/>
  <c r="E25" i="12"/>
  <c r="F25" i="12" s="1"/>
  <c r="F24" i="12"/>
  <c r="E24" i="12"/>
  <c r="E23" i="12"/>
  <c r="F23" i="12" s="1"/>
  <c r="E19" i="12"/>
  <c r="F19" i="12" s="1"/>
  <c r="E18" i="12"/>
  <c r="F18" i="12" s="1"/>
  <c r="F16" i="12"/>
  <c r="E16" i="12"/>
  <c r="D15" i="12"/>
  <c r="D17" i="12"/>
  <c r="E17" i="12" s="1"/>
  <c r="C15" i="12"/>
  <c r="C17" i="12"/>
  <c r="C20" i="12" s="1"/>
  <c r="F14" i="12"/>
  <c r="E14" i="12"/>
  <c r="F13" i="12"/>
  <c r="E13" i="12"/>
  <c r="E12" i="12"/>
  <c r="F12" i="12" s="1"/>
  <c r="E11" i="12"/>
  <c r="F11" i="12" s="1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E60" i="11"/>
  <c r="F60" i="11" s="1"/>
  <c r="E59" i="11"/>
  <c r="F59" i="11" s="1"/>
  <c r="D56" i="11"/>
  <c r="E56" i="11"/>
  <c r="F56" i="11" s="1"/>
  <c r="C56" i="11"/>
  <c r="E55" i="11"/>
  <c r="F55" i="11" s="1"/>
  <c r="E54" i="11"/>
  <c r="F54" i="11" s="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C38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F21" i="11"/>
  <c r="E21" i="11"/>
  <c r="E20" i="11"/>
  <c r="F20" i="11" s="1"/>
  <c r="F19" i="11"/>
  <c r="E19" i="11"/>
  <c r="E18" i="11"/>
  <c r="F18" i="11" s="1"/>
  <c r="F17" i="11"/>
  <c r="E17" i="11"/>
  <c r="E16" i="11"/>
  <c r="F16" i="11" s="1"/>
  <c r="E15" i="11"/>
  <c r="F15" i="11" s="1"/>
  <c r="F14" i="11"/>
  <c r="E14" i="11"/>
  <c r="E13" i="11"/>
  <c r="F13" i="11" s="1"/>
  <c r="D120" i="10"/>
  <c r="C120" i="10"/>
  <c r="F120" i="10" s="1"/>
  <c r="D119" i="10"/>
  <c r="C119" i="10"/>
  <c r="F119" i="10" s="1"/>
  <c r="D118" i="10"/>
  <c r="C118" i="10"/>
  <c r="D117" i="10"/>
  <c r="C117" i="10"/>
  <c r="F117" i="10" s="1"/>
  <c r="D116" i="10"/>
  <c r="C116" i="10"/>
  <c r="D115" i="10"/>
  <c r="C115" i="10"/>
  <c r="F115" i="10" s="1"/>
  <c r="D114" i="10"/>
  <c r="E114" i="10" s="1"/>
  <c r="C114" i="10"/>
  <c r="F114" i="10" s="1"/>
  <c r="D113" i="10"/>
  <c r="E113" i="10" s="1"/>
  <c r="C113" i="10"/>
  <c r="F113" i="10" s="1"/>
  <c r="D112" i="10"/>
  <c r="C112" i="10"/>
  <c r="F108" i="10"/>
  <c r="D108" i="10"/>
  <c r="C108" i="10"/>
  <c r="E108" i="10" s="1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/>
  <c r="C206" i="9"/>
  <c r="D205" i="9"/>
  <c r="C205" i="9"/>
  <c r="D204" i="9"/>
  <c r="C204" i="9"/>
  <c r="D203" i="9"/>
  <c r="C203" i="9"/>
  <c r="D202" i="9"/>
  <c r="E202" i="9" s="1"/>
  <c r="F202" i="9" s="1"/>
  <c r="C202" i="9"/>
  <c r="D201" i="9"/>
  <c r="C201" i="9"/>
  <c r="D200" i="9"/>
  <c r="C200" i="9"/>
  <c r="E200" i="9" s="1"/>
  <c r="D199" i="9"/>
  <c r="D208" i="9" s="1"/>
  <c r="C199" i="9"/>
  <c r="D198" i="9"/>
  <c r="D207" i="9"/>
  <c r="C198" i="9"/>
  <c r="F193" i="9"/>
  <c r="D193" i="9"/>
  <c r="E193" i="9" s="1"/>
  <c r="C193" i="9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F140" i="9" s="1"/>
  <c r="C140" i="9"/>
  <c r="F139" i="9"/>
  <c r="E139" i="9"/>
  <c r="E138" i="9"/>
  <c r="F138" i="9" s="1"/>
  <c r="E137" i="9"/>
  <c r="F137" i="9" s="1"/>
  <c r="E136" i="9"/>
  <c r="F136" i="9" s="1"/>
  <c r="F135" i="9"/>
  <c r="E135" i="9"/>
  <c r="E134" i="9"/>
  <c r="F134" i="9" s="1"/>
  <c r="E133" i="9"/>
  <c r="F133" i="9" s="1"/>
  <c r="E132" i="9"/>
  <c r="F132" i="9" s="1"/>
  <c r="E131" i="9"/>
  <c r="F131" i="9" s="1"/>
  <c r="D128" i="9"/>
  <c r="C128" i="9"/>
  <c r="E128" i="9" s="1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F121" i="9"/>
  <c r="E121" i="9"/>
  <c r="E120" i="9"/>
  <c r="F120" i="9" s="1"/>
  <c r="E119" i="9"/>
  <c r="F119" i="9" s="1"/>
  <c r="E118" i="9"/>
  <c r="F118" i="9" s="1"/>
  <c r="D115" i="9"/>
  <c r="E115" i="9" s="1"/>
  <c r="F115" i="9" s="1"/>
  <c r="C115" i="9"/>
  <c r="D114" i="9"/>
  <c r="E114" i="9" s="1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F106" i="9"/>
  <c r="E106" i="9"/>
  <c r="E105" i="9"/>
  <c r="F105" i="9" s="1"/>
  <c r="D102" i="9"/>
  <c r="C102" i="9"/>
  <c r="D101" i="9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F89" i="9"/>
  <c r="D89" i="9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C75" i="9"/>
  <c r="E74" i="9"/>
  <c r="F74" i="9" s="1"/>
  <c r="E73" i="9"/>
  <c r="F73" i="9" s="1"/>
  <c r="F72" i="9"/>
  <c r="E72" i="9"/>
  <c r="F71" i="9"/>
  <c r="E71" i="9"/>
  <c r="E70" i="9"/>
  <c r="F70" i="9" s="1"/>
  <c r="E69" i="9"/>
  <c r="F69" i="9" s="1"/>
  <c r="F68" i="9"/>
  <c r="E68" i="9"/>
  <c r="E67" i="9"/>
  <c r="F67" i="9" s="1"/>
  <c r="E66" i="9"/>
  <c r="F66" i="9" s="1"/>
  <c r="F63" i="9"/>
  <c r="D63" i="9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E40" i="9"/>
  <c r="F40" i="9" s="1"/>
  <c r="D37" i="9"/>
  <c r="E37" i="9" s="1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E166" i="8" s="1"/>
  <c r="E156" i="8" s="1"/>
  <c r="D164" i="8"/>
  <c r="D160" i="8"/>
  <c r="C164" i="8"/>
  <c r="C160" i="8" s="1"/>
  <c r="E162" i="8"/>
  <c r="D162" i="8"/>
  <c r="C162" i="8"/>
  <c r="E161" i="8"/>
  <c r="D161" i="8"/>
  <c r="C161" i="8"/>
  <c r="E147" i="8"/>
  <c r="E143" i="8" s="1"/>
  <c r="E149" i="8" s="1"/>
  <c r="E139" i="8" s="1"/>
  <c r="D147" i="8"/>
  <c r="D143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D107" i="8"/>
  <c r="D109" i="8" s="1"/>
  <c r="C107" i="8"/>
  <c r="E102" i="8"/>
  <c r="E104" i="8" s="1"/>
  <c r="D102" i="8"/>
  <c r="D104" i="8"/>
  <c r="C102" i="8"/>
  <c r="C104" i="8" s="1"/>
  <c r="E100" i="8"/>
  <c r="D100" i="8"/>
  <c r="C100" i="8"/>
  <c r="E95" i="8"/>
  <c r="E94" i="8" s="1"/>
  <c r="D95" i="8"/>
  <c r="D94" i="8" s="1"/>
  <c r="C95" i="8"/>
  <c r="C94" i="8"/>
  <c r="C90" i="8"/>
  <c r="C86" i="8" s="1"/>
  <c r="E89" i="8"/>
  <c r="D89" i="8"/>
  <c r="C89" i="8"/>
  <c r="C88" i="8"/>
  <c r="E87" i="8"/>
  <c r="D87" i="8"/>
  <c r="C87" i="8"/>
  <c r="E84" i="8"/>
  <c r="E79" i="8" s="1"/>
  <c r="D84" i="8"/>
  <c r="D79" i="8" s="1"/>
  <c r="C84" i="8"/>
  <c r="E83" i="8"/>
  <c r="D83" i="8"/>
  <c r="C83" i="8"/>
  <c r="E77" i="8"/>
  <c r="C77" i="8"/>
  <c r="E75" i="8"/>
  <c r="E88" i="8" s="1"/>
  <c r="E90" i="8" s="1"/>
  <c r="D75" i="8"/>
  <c r="D88" i="8" s="1"/>
  <c r="D90" i="8" s="1"/>
  <c r="D86" i="8" s="1"/>
  <c r="C75" i="8"/>
  <c r="E74" i="8"/>
  <c r="D74" i="8"/>
  <c r="C74" i="8"/>
  <c r="E67" i="8"/>
  <c r="D67" i="8"/>
  <c r="C67" i="8"/>
  <c r="E38" i="8"/>
  <c r="D38" i="8"/>
  <c r="D57" i="8"/>
  <c r="D62" i="8" s="1"/>
  <c r="C38" i="8"/>
  <c r="C57" i="8" s="1"/>
  <c r="C62" i="8" s="1"/>
  <c r="E33" i="8"/>
  <c r="E34" i="8" s="1"/>
  <c r="D33" i="8"/>
  <c r="D34" i="8" s="1"/>
  <c r="E27" i="8"/>
  <c r="E26" i="8"/>
  <c r="D26" i="8"/>
  <c r="C26" i="8"/>
  <c r="E13" i="8"/>
  <c r="E25" i="8" s="1"/>
  <c r="D13" i="8"/>
  <c r="C13" i="8"/>
  <c r="C15" i="8" s="1"/>
  <c r="C24" i="8" s="1"/>
  <c r="F186" i="7"/>
  <c r="E186" i="7"/>
  <c r="D183" i="7"/>
  <c r="C183" i="7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E171" i="7"/>
  <c r="F171" i="7" s="1"/>
  <c r="E170" i="7"/>
  <c r="F170" i="7" s="1"/>
  <c r="D167" i="7"/>
  <c r="C167" i="7"/>
  <c r="E166" i="7"/>
  <c r="F166" i="7"/>
  <c r="F165" i="7"/>
  <c r="E165" i="7"/>
  <c r="E164" i="7"/>
  <c r="F164" i="7"/>
  <c r="F163" i="7"/>
  <c r="E163" i="7"/>
  <c r="F162" i="7"/>
  <c r="E162" i="7"/>
  <c r="F161" i="7"/>
  <c r="E161" i="7"/>
  <c r="E160" i="7"/>
  <c r="F160" i="7"/>
  <c r="F159" i="7"/>
  <c r="E159" i="7"/>
  <c r="F158" i="7"/>
  <c r="E158" i="7"/>
  <c r="E157" i="7"/>
  <c r="F157" i="7" s="1"/>
  <c r="E156" i="7"/>
  <c r="F156" i="7" s="1"/>
  <c r="E155" i="7"/>
  <c r="F155" i="7" s="1"/>
  <c r="F154" i="7"/>
  <c r="E154" i="7"/>
  <c r="F153" i="7"/>
  <c r="E153" i="7"/>
  <c r="F152" i="7"/>
  <c r="E152" i="7"/>
  <c r="F151" i="7"/>
  <c r="E151" i="7"/>
  <c r="F150" i="7"/>
  <c r="E150" i="7"/>
  <c r="F149" i="7"/>
  <c r="E149" i="7"/>
  <c r="E148" i="7"/>
  <c r="F148" i="7" s="1"/>
  <c r="F147" i="7"/>
  <c r="E147" i="7"/>
  <c r="E146" i="7"/>
  <c r="F146" i="7" s="1"/>
  <c r="E145" i="7"/>
  <c r="F145" i="7" s="1"/>
  <c r="E144" i="7"/>
  <c r="F144" i="7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/>
  <c r="E135" i="7"/>
  <c r="F135" i="7"/>
  <c r="E134" i="7"/>
  <c r="F134" i="7" s="1"/>
  <c r="E133" i="7"/>
  <c r="F133" i="7" s="1"/>
  <c r="D130" i="7"/>
  <c r="E130" i="7" s="1"/>
  <c r="F130" i="7" s="1"/>
  <c r="C130" i="7"/>
  <c r="F129" i="7"/>
  <c r="E129" i="7"/>
  <c r="E128" i="7"/>
  <c r="F128" i="7"/>
  <c r="E127" i="7"/>
  <c r="F127" i="7" s="1"/>
  <c r="E126" i="7"/>
  <c r="F126" i="7"/>
  <c r="E125" i="7"/>
  <c r="F125" i="7"/>
  <c r="E124" i="7"/>
  <c r="F124" i="7"/>
  <c r="D121" i="7"/>
  <c r="C121" i="7"/>
  <c r="E120" i="7"/>
  <c r="F120" i="7"/>
  <c r="E119" i="7"/>
  <c r="F119" i="7"/>
  <c r="E118" i="7"/>
  <c r="F118" i="7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/>
  <c r="E111" i="7"/>
  <c r="F111" i="7"/>
  <c r="E110" i="7"/>
  <c r="F110" i="7"/>
  <c r="E109" i="7"/>
  <c r="F109" i="7" s="1"/>
  <c r="E108" i="7"/>
  <c r="F108" i="7" s="1"/>
  <c r="E107" i="7"/>
  <c r="F107" i="7"/>
  <c r="E106" i="7"/>
  <c r="F106" i="7" s="1"/>
  <c r="E105" i="7"/>
  <c r="F105" i="7" s="1"/>
  <c r="E104" i="7"/>
  <c r="F104" i="7"/>
  <c r="E103" i="7"/>
  <c r="F103" i="7" s="1"/>
  <c r="E93" i="7"/>
  <c r="F93" i="7"/>
  <c r="D90" i="7"/>
  <c r="C90" i="7"/>
  <c r="E89" i="7"/>
  <c r="F89" i="7"/>
  <c r="E88" i="7"/>
  <c r="F88" i="7" s="1"/>
  <c r="E87" i="7"/>
  <c r="F87" i="7"/>
  <c r="E86" i="7"/>
  <c r="F86" i="7" s="1"/>
  <c r="F85" i="7"/>
  <c r="E85" i="7"/>
  <c r="E84" i="7"/>
  <c r="F84" i="7"/>
  <c r="E83" i="7"/>
  <c r="F83" i="7"/>
  <c r="E82" i="7"/>
  <c r="F82" i="7" s="1"/>
  <c r="E81" i="7"/>
  <c r="F81" i="7"/>
  <c r="E80" i="7"/>
  <c r="F80" i="7"/>
  <c r="F79" i="7"/>
  <c r="E79" i="7"/>
  <c r="E78" i="7"/>
  <c r="F78" i="7" s="1"/>
  <c r="F77" i="7"/>
  <c r="E77" i="7"/>
  <c r="E76" i="7"/>
  <c r="F76" i="7" s="1"/>
  <c r="E75" i="7"/>
  <c r="F75" i="7" s="1"/>
  <c r="E74" i="7"/>
  <c r="F74" i="7" s="1"/>
  <c r="E73" i="7"/>
  <c r="F73" i="7" s="1"/>
  <c r="F72" i="7"/>
  <c r="E72" i="7"/>
  <c r="E71" i="7"/>
  <c r="F71" i="7"/>
  <c r="E70" i="7"/>
  <c r="F70" i="7" s="1"/>
  <c r="E69" i="7"/>
  <c r="F69" i="7"/>
  <c r="E68" i="7"/>
  <c r="F68" i="7" s="1"/>
  <c r="E67" i="7"/>
  <c r="F67" i="7" s="1"/>
  <c r="E66" i="7"/>
  <c r="F66" i="7" s="1"/>
  <c r="E65" i="7"/>
  <c r="F65" i="7"/>
  <c r="E64" i="7"/>
  <c r="F64" i="7"/>
  <c r="E63" i="7"/>
  <c r="F63" i="7"/>
  <c r="E62" i="7"/>
  <c r="F62" i="7" s="1"/>
  <c r="D59" i="7"/>
  <c r="C59" i="7"/>
  <c r="E58" i="7"/>
  <c r="F58" i="7" s="1"/>
  <c r="E57" i="7"/>
  <c r="F57" i="7" s="1"/>
  <c r="E56" i="7"/>
  <c r="F56" i="7" s="1"/>
  <c r="E55" i="7"/>
  <c r="F55" i="7"/>
  <c r="E54" i="7"/>
  <c r="F54" i="7" s="1"/>
  <c r="F53" i="7"/>
  <c r="E53" i="7"/>
  <c r="E50" i="7"/>
  <c r="F50" i="7" s="1"/>
  <c r="E47" i="7"/>
  <c r="F47" i="7" s="1"/>
  <c r="F44" i="7"/>
  <c r="E44" i="7"/>
  <c r="D41" i="7"/>
  <c r="C41" i="7"/>
  <c r="C95" i="7" s="1"/>
  <c r="E40" i="7"/>
  <c r="F40" i="7" s="1"/>
  <c r="E39" i="7"/>
  <c r="F39" i="7" s="1"/>
  <c r="E38" i="7"/>
  <c r="F38" i="7" s="1"/>
  <c r="D35" i="7"/>
  <c r="C35" i="7"/>
  <c r="E34" i="7"/>
  <c r="F34" i="7" s="1"/>
  <c r="E33" i="7"/>
  <c r="F33" i="7" s="1"/>
  <c r="D30" i="7"/>
  <c r="E30" i="7" s="1"/>
  <c r="F30" i="7" s="1"/>
  <c r="C30" i="7"/>
  <c r="F29" i="7"/>
  <c r="E29" i="7"/>
  <c r="E28" i="7"/>
  <c r="F28" i="7" s="1"/>
  <c r="F27" i="7"/>
  <c r="E27" i="7"/>
  <c r="D24" i="7"/>
  <c r="C24" i="7"/>
  <c r="E23" i="7"/>
  <c r="F23" i="7" s="1"/>
  <c r="E22" i="7"/>
  <c r="F22" i="7" s="1"/>
  <c r="E21" i="7"/>
  <c r="F21" i="7" s="1"/>
  <c r="D18" i="7"/>
  <c r="C18" i="7"/>
  <c r="E17" i="7"/>
  <c r="F17" i="7" s="1"/>
  <c r="E16" i="7"/>
  <c r="F16" i="7" s="1"/>
  <c r="E15" i="7"/>
  <c r="F15" i="7" s="1"/>
  <c r="D179" i="6"/>
  <c r="C179" i="6"/>
  <c r="E179" i="6" s="1"/>
  <c r="F179" i="6" s="1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E157" i="6"/>
  <c r="F157" i="6" s="1"/>
  <c r="E156" i="6"/>
  <c r="F156" i="6" s="1"/>
  <c r="F155" i="6"/>
  <c r="E155" i="6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F145" i="6"/>
  <c r="E145" i="6"/>
  <c r="E144" i="6"/>
  <c r="F144" i="6" s="1"/>
  <c r="E143" i="6"/>
  <c r="F143" i="6" s="1"/>
  <c r="F142" i="6"/>
  <c r="E142" i="6"/>
  <c r="D137" i="6"/>
  <c r="E137" i="6" s="1"/>
  <c r="C137" i="6"/>
  <c r="F136" i="6"/>
  <c r="E136" i="6"/>
  <c r="F135" i="6"/>
  <c r="E135" i="6"/>
  <c r="F134" i="6"/>
  <c r="E134" i="6"/>
  <c r="E133" i="6"/>
  <c r="F133" i="6" s="1"/>
  <c r="E132" i="6"/>
  <c r="F132" i="6" s="1"/>
  <c r="F131" i="6"/>
  <c r="E131" i="6"/>
  <c r="E130" i="6"/>
  <c r="F130" i="6" s="1"/>
  <c r="F129" i="6"/>
  <c r="E129" i="6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F94" i="6" s="1"/>
  <c r="F93" i="6"/>
  <c r="D93" i="6"/>
  <c r="E93" i="6" s="1"/>
  <c r="C93" i="6"/>
  <c r="D92" i="6"/>
  <c r="E92" i="6" s="1"/>
  <c r="F92" i="6" s="1"/>
  <c r="C92" i="6"/>
  <c r="D91" i="6"/>
  <c r="C91" i="6"/>
  <c r="E91" i="6" s="1"/>
  <c r="F91" i="6" s="1"/>
  <c r="D90" i="6"/>
  <c r="C90" i="6"/>
  <c r="D89" i="6"/>
  <c r="C89" i="6"/>
  <c r="D88" i="6"/>
  <c r="C88" i="6"/>
  <c r="D87" i="6"/>
  <c r="C87" i="6"/>
  <c r="F87" i="6" s="1"/>
  <c r="D86" i="6"/>
  <c r="C86" i="6"/>
  <c r="D85" i="6"/>
  <c r="C85" i="6"/>
  <c r="D84" i="6"/>
  <c r="C84" i="6"/>
  <c r="D81" i="6"/>
  <c r="C81" i="6"/>
  <c r="F80" i="6"/>
  <c r="E80" i="6"/>
  <c r="F79" i="6"/>
  <c r="E79" i="6"/>
  <c r="E78" i="6"/>
  <c r="F78" i="6" s="1"/>
  <c r="F77" i="6"/>
  <c r="E77" i="6"/>
  <c r="F76" i="6"/>
  <c r="E76" i="6"/>
  <c r="E75" i="6"/>
  <c r="F75" i="6" s="1"/>
  <c r="E74" i="6"/>
  <c r="F74" i="6" s="1"/>
  <c r="F73" i="6"/>
  <c r="E73" i="6"/>
  <c r="F72" i="6"/>
  <c r="E72" i="6"/>
  <c r="F71" i="6"/>
  <c r="E71" i="6"/>
  <c r="E70" i="6"/>
  <c r="F70" i="6" s="1"/>
  <c r="D68" i="6"/>
  <c r="C68" i="6"/>
  <c r="F67" i="6"/>
  <c r="E67" i="6"/>
  <c r="F66" i="6"/>
  <c r="E66" i="6"/>
  <c r="E65" i="6"/>
  <c r="F65" i="6" s="1"/>
  <c r="E64" i="6"/>
  <c r="F64" i="6" s="1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C51" i="6"/>
  <c r="F50" i="6"/>
  <c r="D50" i="6"/>
  <c r="E50" i="6"/>
  <c r="C50" i="6"/>
  <c r="D49" i="6"/>
  <c r="C49" i="6"/>
  <c r="D48" i="6"/>
  <c r="E48" i="6" s="1"/>
  <c r="F48" i="6" s="1"/>
  <c r="C48" i="6"/>
  <c r="D47" i="6"/>
  <c r="C47" i="6"/>
  <c r="D46" i="6"/>
  <c r="C46" i="6"/>
  <c r="D45" i="6"/>
  <c r="C45" i="6"/>
  <c r="F44" i="6"/>
  <c r="D44" i="6"/>
  <c r="E44" i="6"/>
  <c r="C44" i="6"/>
  <c r="D43" i="6"/>
  <c r="E43" i="6" s="1"/>
  <c r="F43" i="6"/>
  <c r="C43" i="6"/>
  <c r="D42" i="6"/>
  <c r="C42" i="6"/>
  <c r="D41" i="6"/>
  <c r="C41" i="6"/>
  <c r="D38" i="6"/>
  <c r="C38" i="6"/>
  <c r="F37" i="6"/>
  <c r="E37" i="6"/>
  <c r="F36" i="6"/>
  <c r="E36" i="6"/>
  <c r="E35" i="6"/>
  <c r="F35" i="6" s="1"/>
  <c r="E34" i="6"/>
  <c r="F34" i="6" s="1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F48" i="5"/>
  <c r="D48" i="5"/>
  <c r="C48" i="5"/>
  <c r="F47" i="5"/>
  <c r="E47" i="5"/>
  <c r="F46" i="5"/>
  <c r="E46" i="5"/>
  <c r="D41" i="5"/>
  <c r="E41" i="5" s="1"/>
  <c r="C41" i="5"/>
  <c r="E40" i="5"/>
  <c r="F40" i="5" s="1"/>
  <c r="F39" i="5"/>
  <c r="E39" i="5"/>
  <c r="F38" i="5"/>
  <c r="E38" i="5"/>
  <c r="D33" i="5"/>
  <c r="E33" i="5" s="1"/>
  <c r="C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F26" i="5"/>
  <c r="E26" i="5"/>
  <c r="E25" i="5"/>
  <c r="F25" i="5" s="1"/>
  <c r="E24" i="5"/>
  <c r="F24" i="5" s="1"/>
  <c r="E20" i="5"/>
  <c r="F20" i="5" s="1"/>
  <c r="E19" i="5"/>
  <c r="F19" i="5" s="1"/>
  <c r="E17" i="5"/>
  <c r="F17" i="5" s="1"/>
  <c r="D16" i="5"/>
  <c r="C16" i="5"/>
  <c r="F15" i="5"/>
  <c r="E15" i="5"/>
  <c r="E14" i="5"/>
  <c r="F14" i="5" s="1"/>
  <c r="E13" i="5"/>
  <c r="F13" i="5" s="1"/>
  <c r="F12" i="5"/>
  <c r="E12" i="5"/>
  <c r="D73" i="4"/>
  <c r="C73" i="4"/>
  <c r="E72" i="4"/>
  <c r="F72" i="4" s="1"/>
  <c r="F71" i="4"/>
  <c r="E71" i="4"/>
  <c r="E70" i="4"/>
  <c r="F70" i="4" s="1"/>
  <c r="F67" i="4"/>
  <c r="E67" i="4"/>
  <c r="E64" i="4"/>
  <c r="F64" i="4" s="1"/>
  <c r="E63" i="4"/>
  <c r="F63" i="4" s="1"/>
  <c r="D61" i="4"/>
  <c r="D65" i="4"/>
  <c r="C61" i="4"/>
  <c r="C65" i="4"/>
  <c r="E60" i="4"/>
  <c r="F60" i="4" s="1"/>
  <c r="F59" i="4"/>
  <c r="E59" i="4"/>
  <c r="D56" i="4"/>
  <c r="C56" i="4"/>
  <c r="E55" i="4"/>
  <c r="F55" i="4" s="1"/>
  <c r="E54" i="4"/>
  <c r="F54" i="4" s="1"/>
  <c r="E53" i="4"/>
  <c r="F53" i="4" s="1"/>
  <c r="E52" i="4"/>
  <c r="F52" i="4"/>
  <c r="E51" i="4"/>
  <c r="F51" i="4" s="1"/>
  <c r="E50" i="4"/>
  <c r="F50" i="4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/>
  <c r="E41" i="4" s="1"/>
  <c r="C38" i="4"/>
  <c r="C41" i="4" s="1"/>
  <c r="F37" i="4"/>
  <c r="E37" i="4"/>
  <c r="E36" i="4"/>
  <c r="F36" i="4" s="1"/>
  <c r="F33" i="4"/>
  <c r="E33" i="4"/>
  <c r="F32" i="4"/>
  <c r="E32" i="4"/>
  <c r="E31" i="4"/>
  <c r="F31" i="4" s="1"/>
  <c r="D29" i="4"/>
  <c r="E29" i="4" s="1"/>
  <c r="F29" i="4"/>
  <c r="C29" i="4"/>
  <c r="E28" i="4"/>
  <c r="F28" i="4" s="1"/>
  <c r="F27" i="4"/>
  <c r="E27" i="4"/>
  <c r="F26" i="4"/>
  <c r="E26" i="4"/>
  <c r="E25" i="4"/>
  <c r="F25" i="4" s="1"/>
  <c r="D22" i="4"/>
  <c r="C22" i="4"/>
  <c r="E22" i="4" s="1"/>
  <c r="F22" i="4" s="1"/>
  <c r="F21" i="4"/>
  <c r="E21" i="4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F14" i="4"/>
  <c r="E14" i="4"/>
  <c r="E13" i="4"/>
  <c r="F13" i="4" s="1"/>
  <c r="E108" i="22"/>
  <c r="D22" i="22"/>
  <c r="D33" i="22"/>
  <c r="C34" i="22"/>
  <c r="D23" i="22"/>
  <c r="D40" i="22" s="1"/>
  <c r="E19" i="20"/>
  <c r="E43" i="20"/>
  <c r="C22" i="19"/>
  <c r="E21" i="18"/>
  <c r="D22" i="18"/>
  <c r="E37" i="18"/>
  <c r="E52" i="17"/>
  <c r="F52" i="17" s="1"/>
  <c r="E53" i="17"/>
  <c r="F53" i="17" s="1"/>
  <c r="E58" i="17"/>
  <c r="F58" i="17" s="1"/>
  <c r="C71" i="18"/>
  <c r="E70" i="18"/>
  <c r="C144" i="18"/>
  <c r="D163" i="18"/>
  <c r="C175" i="18"/>
  <c r="C261" i="18"/>
  <c r="E188" i="18"/>
  <c r="D260" i="18"/>
  <c r="E139" i="18"/>
  <c r="C210" i="18"/>
  <c r="E205" i="18"/>
  <c r="C242" i="18"/>
  <c r="C217" i="18"/>
  <c r="E326" i="18"/>
  <c r="E314" i="18"/>
  <c r="E233" i="18"/>
  <c r="E301" i="18"/>
  <c r="E324" i="18"/>
  <c r="F89" i="17"/>
  <c r="D21" i="17"/>
  <c r="D277" i="17"/>
  <c r="D261" i="17"/>
  <c r="D214" i="17"/>
  <c r="D280" i="17"/>
  <c r="D283" i="17"/>
  <c r="E283" i="17" s="1"/>
  <c r="F283" i="17" s="1"/>
  <c r="E59" i="17"/>
  <c r="D172" i="17"/>
  <c r="D173" i="17" s="1"/>
  <c r="D262" i="17"/>
  <c r="E262" i="17" s="1"/>
  <c r="F262" i="17" s="1"/>
  <c r="D190" i="17"/>
  <c r="D290" i="17"/>
  <c r="D285" i="17"/>
  <c r="D205" i="17"/>
  <c r="F226" i="17"/>
  <c r="C262" i="17"/>
  <c r="C267" i="17"/>
  <c r="E294" i="17"/>
  <c r="F294" i="17" s="1"/>
  <c r="E298" i="17"/>
  <c r="E297" i="17"/>
  <c r="F297" i="17" s="1"/>
  <c r="E299" i="17"/>
  <c r="F299" i="17"/>
  <c r="E23" i="15"/>
  <c r="E37" i="15"/>
  <c r="E55" i="15"/>
  <c r="E70" i="15"/>
  <c r="E75" i="15"/>
  <c r="F75" i="15" s="1"/>
  <c r="F36" i="14"/>
  <c r="F38" i="14" s="1"/>
  <c r="F40" i="14" s="1"/>
  <c r="F31" i="14"/>
  <c r="D21" i="13"/>
  <c r="D15" i="13"/>
  <c r="D48" i="13"/>
  <c r="D42" i="13" s="1"/>
  <c r="C15" i="13"/>
  <c r="C48" i="13"/>
  <c r="E48" i="13"/>
  <c r="F17" i="12"/>
  <c r="D20" i="12"/>
  <c r="E15" i="12"/>
  <c r="F15" i="12"/>
  <c r="D41" i="11"/>
  <c r="D65" i="11"/>
  <c r="D75" i="11" s="1"/>
  <c r="E198" i="9"/>
  <c r="F198" i="9" s="1"/>
  <c r="E199" i="9"/>
  <c r="E135" i="8"/>
  <c r="D25" i="8"/>
  <c r="D27" i="8"/>
  <c r="D15" i="8"/>
  <c r="C17" i="8"/>
  <c r="C53" i="8"/>
  <c r="C43" i="8"/>
  <c r="E53" i="8"/>
  <c r="C49" i="8"/>
  <c r="D77" i="8"/>
  <c r="D71" i="8" s="1"/>
  <c r="D106" i="8"/>
  <c r="E153" i="8"/>
  <c r="D49" i="8"/>
  <c r="E41" i="6"/>
  <c r="D18" i="5"/>
  <c r="D21" i="5" s="1"/>
  <c r="D35" i="5" s="1"/>
  <c r="E38" i="4"/>
  <c r="F38" i="4"/>
  <c r="C145" i="18"/>
  <c r="C284" i="18"/>
  <c r="D284" i="17"/>
  <c r="D263" i="17"/>
  <c r="D175" i="17"/>
  <c r="D176" i="17" s="1"/>
  <c r="D272" i="17"/>
  <c r="D254" i="17"/>
  <c r="C24" i="13"/>
  <c r="C17" i="13"/>
  <c r="C28" i="13" s="1"/>
  <c r="C70" i="13" s="1"/>
  <c r="D24" i="13"/>
  <c r="D20" i="13" s="1"/>
  <c r="D17" i="13"/>
  <c r="D28" i="13" s="1"/>
  <c r="D21" i="8"/>
  <c r="D24" i="8"/>
  <c r="D20" i="8"/>
  <c r="D17" i="8"/>
  <c r="C72" i="13"/>
  <c r="C69" i="13" s="1"/>
  <c r="D161" i="17" l="1"/>
  <c r="D162" i="17" s="1"/>
  <c r="D183" i="17" s="1"/>
  <c r="D91" i="17"/>
  <c r="D92" i="17" s="1"/>
  <c r="D110" i="22"/>
  <c r="D45" i="22"/>
  <c r="F25" i="6"/>
  <c r="C65" i="11"/>
  <c r="C75" i="11" s="1"/>
  <c r="E75" i="11" s="1"/>
  <c r="E61" i="11"/>
  <c r="F61" i="11" s="1"/>
  <c r="C277" i="17"/>
  <c r="E188" i="17"/>
  <c r="F188" i="17" s="1"/>
  <c r="C190" i="17"/>
  <c r="C261" i="17"/>
  <c r="C214" i="17"/>
  <c r="E214" i="17" s="1"/>
  <c r="F214" i="17" s="1"/>
  <c r="C254" i="17"/>
  <c r="E254" i="17" s="1"/>
  <c r="F254" i="17" s="1"/>
  <c r="E21" i="17"/>
  <c r="F21" i="17" s="1"/>
  <c r="C260" i="18"/>
  <c r="E260" i="18" s="1"/>
  <c r="E195" i="18"/>
  <c r="D245" i="18"/>
  <c r="E245" i="18" s="1"/>
  <c r="E221" i="18"/>
  <c r="D36" i="22"/>
  <c r="C112" i="8"/>
  <c r="C111" i="8" s="1"/>
  <c r="C28" i="8"/>
  <c r="E190" i="17"/>
  <c r="F190" i="17" s="1"/>
  <c r="E144" i="17"/>
  <c r="F144" i="17" s="1"/>
  <c r="E242" i="18"/>
  <c r="D34" i="12"/>
  <c r="E20" i="12"/>
  <c r="E32" i="12"/>
  <c r="F32" i="12" s="1"/>
  <c r="C34" i="12"/>
  <c r="C199" i="17"/>
  <c r="C290" i="17"/>
  <c r="E290" i="17" s="1"/>
  <c r="F290" i="17" s="1"/>
  <c r="C37" i="19"/>
  <c r="C38" i="19" s="1"/>
  <c r="C127" i="19" s="1"/>
  <c r="C129" i="19" s="1"/>
  <c r="C133" i="19" s="1"/>
  <c r="C33" i="19"/>
  <c r="C90" i="17"/>
  <c r="C125" i="17"/>
  <c r="C49" i="17"/>
  <c r="C50" i="17" s="1"/>
  <c r="C274" i="17"/>
  <c r="D54" i="22"/>
  <c r="D46" i="22"/>
  <c r="D30" i="22"/>
  <c r="E154" i="8"/>
  <c r="E157" i="8"/>
  <c r="E152" i="8"/>
  <c r="E155" i="8"/>
  <c r="C91" i="17"/>
  <c r="C206" i="17"/>
  <c r="E124" i="6"/>
  <c r="F124" i="6" s="1"/>
  <c r="C25" i="8"/>
  <c r="C27" i="8" s="1"/>
  <c r="C21" i="8" s="1"/>
  <c r="E90" i="6"/>
  <c r="F90" i="6" s="1"/>
  <c r="E119" i="10"/>
  <c r="E30" i="15"/>
  <c r="E66" i="17"/>
  <c r="F66" i="17" s="1"/>
  <c r="F88" i="17"/>
  <c r="E281" i="18"/>
  <c r="E137" i="8"/>
  <c r="E81" i="6"/>
  <c r="F81" i="6" s="1"/>
  <c r="E87" i="6"/>
  <c r="E141" i="9"/>
  <c r="F141" i="9"/>
  <c r="E36" i="10"/>
  <c r="C121" i="10"/>
  <c r="F121" i="10" s="1"/>
  <c r="F112" i="10"/>
  <c r="E116" i="10"/>
  <c r="F116" i="10"/>
  <c r="E45" i="15"/>
  <c r="E107" i="15"/>
  <c r="F107" i="15" s="1"/>
  <c r="D306" i="17"/>
  <c r="E306" i="17" s="1"/>
  <c r="E250" i="17"/>
  <c r="F250" i="17" s="1"/>
  <c r="E92" i="15"/>
  <c r="F92" i="15" s="1"/>
  <c r="E20" i="17"/>
  <c r="F20" i="17" s="1"/>
  <c r="C124" i="17"/>
  <c r="E94" i="6"/>
  <c r="E41" i="7"/>
  <c r="F41" i="7" s="1"/>
  <c r="F199" i="9"/>
  <c r="C208" i="9"/>
  <c r="E112" i="10"/>
  <c r="C57" i="13"/>
  <c r="F70" i="15"/>
  <c r="E170" i="17"/>
  <c r="F311" i="17"/>
  <c r="E311" i="17"/>
  <c r="E71" i="18"/>
  <c r="E165" i="18"/>
  <c r="D102" i="22"/>
  <c r="D101" i="22"/>
  <c r="D103" i="22" s="1"/>
  <c r="D286" i="17"/>
  <c r="F41" i="6"/>
  <c r="E140" i="8"/>
  <c r="E138" i="8"/>
  <c r="D122" i="10"/>
  <c r="E130" i="17"/>
  <c r="F130" i="17" s="1"/>
  <c r="E72" i="18"/>
  <c r="E136" i="8"/>
  <c r="E141" i="8" s="1"/>
  <c r="E101" i="17"/>
  <c r="F101" i="17" s="1"/>
  <c r="E25" i="6"/>
  <c r="E47" i="6"/>
  <c r="E85" i="6"/>
  <c r="F85" i="6" s="1"/>
  <c r="E89" i="6"/>
  <c r="F89" i="6" s="1"/>
  <c r="E35" i="7"/>
  <c r="F35" i="7" s="1"/>
  <c r="C71" i="8"/>
  <c r="D166" i="8"/>
  <c r="D156" i="8" s="1"/>
  <c r="E180" i="9"/>
  <c r="F200" i="9"/>
  <c r="C126" i="17"/>
  <c r="C127" i="17" s="1"/>
  <c r="D61" i="17"/>
  <c r="D62" i="17" s="1"/>
  <c r="D63" i="17" s="1"/>
  <c r="D239" i="17"/>
  <c r="E60" i="18"/>
  <c r="C289" i="18"/>
  <c r="E289" i="18" s="1"/>
  <c r="C65" i="18"/>
  <c r="E65" i="18" s="1"/>
  <c r="E88" i="17"/>
  <c r="E15" i="8"/>
  <c r="C166" i="8"/>
  <c r="E62" i="9"/>
  <c r="E153" i="9"/>
  <c r="F20" i="12"/>
  <c r="E41" i="18"/>
  <c r="D229" i="18"/>
  <c r="E229" i="18" s="1"/>
  <c r="D210" i="18"/>
  <c r="D175" i="18"/>
  <c r="E175" i="18" s="1"/>
  <c r="D222" i="18"/>
  <c r="D240" i="18"/>
  <c r="E240" i="18" s="1"/>
  <c r="E216" i="18"/>
  <c r="E251" i="18"/>
  <c r="F19" i="20"/>
  <c r="C20" i="20"/>
  <c r="C79" i="8"/>
  <c r="E47" i="10"/>
  <c r="E47" i="12"/>
  <c r="E109" i="17"/>
  <c r="F109" i="17" s="1"/>
  <c r="D111" i="17"/>
  <c r="E111" i="17" s="1"/>
  <c r="F111" i="17" s="1"/>
  <c r="F135" i="17"/>
  <c r="E55" i="18"/>
  <c r="C76" i="18"/>
  <c r="C77" i="18" s="1"/>
  <c r="C112" i="18" s="1"/>
  <c r="E227" i="18"/>
  <c r="C302" i="18"/>
  <c r="E265" i="18"/>
  <c r="E42" i="13"/>
  <c r="D33" i="14"/>
  <c r="D36" i="14" s="1"/>
  <c r="D38" i="14" s="1"/>
  <c r="D40" i="14" s="1"/>
  <c r="C241" i="18"/>
  <c r="C22" i="22"/>
  <c r="E88" i="6"/>
  <c r="F88" i="6" s="1"/>
  <c r="E153" i="6"/>
  <c r="F153" i="6" s="1"/>
  <c r="E167" i="7"/>
  <c r="F167" i="7" s="1"/>
  <c r="E109" i="8"/>
  <c r="E106" i="8" s="1"/>
  <c r="E63" i="9"/>
  <c r="E89" i="9"/>
  <c r="F102" i="9"/>
  <c r="E40" i="12"/>
  <c r="C27" i="13"/>
  <c r="E54" i="18"/>
  <c r="C253" i="18"/>
  <c r="E253" i="18" s="1"/>
  <c r="E232" i="18"/>
  <c r="E25" i="20"/>
  <c r="F25" i="20" s="1"/>
  <c r="D93" i="22"/>
  <c r="D57" i="13"/>
  <c r="D80" i="13"/>
  <c r="D77" i="13" s="1"/>
  <c r="F23" i="15"/>
  <c r="E44" i="17"/>
  <c r="F44" i="17"/>
  <c r="D278" i="17"/>
  <c r="D279" i="17" s="1"/>
  <c r="D215" i="17"/>
  <c r="D255" i="17" s="1"/>
  <c r="F36" i="20"/>
  <c r="E93" i="22"/>
  <c r="E189" i="17"/>
  <c r="F189" i="17" s="1"/>
  <c r="C283" i="18"/>
  <c r="E283" i="18" s="1"/>
  <c r="E59" i="7"/>
  <c r="F59" i="7" s="1"/>
  <c r="E71" i="8"/>
  <c r="D149" i="8"/>
  <c r="E48" i="10"/>
  <c r="E80" i="13"/>
  <c r="E77" i="13" s="1"/>
  <c r="E24" i="17"/>
  <c r="F24" i="17" s="1"/>
  <c r="C37" i="17"/>
  <c r="C60" i="17"/>
  <c r="F59" i="17"/>
  <c r="E164" i="17"/>
  <c r="E189" i="18"/>
  <c r="D239" i="18"/>
  <c r="E239" i="18" s="1"/>
  <c r="E215" i="18"/>
  <c r="E279" i="18"/>
  <c r="C65" i="19"/>
  <c r="C114" i="19" s="1"/>
  <c r="C116" i="19" s="1"/>
  <c r="C119" i="19" s="1"/>
  <c r="C123" i="19" s="1"/>
  <c r="E45" i="20"/>
  <c r="F45" i="20" s="1"/>
  <c r="E46" i="6"/>
  <c r="F46" i="6" s="1"/>
  <c r="E86" i="6"/>
  <c r="F86" i="6" s="1"/>
  <c r="E36" i="9"/>
  <c r="E102" i="9"/>
  <c r="F114" i="9"/>
  <c r="C207" i="9"/>
  <c r="E207" i="9" s="1"/>
  <c r="E83" i="10"/>
  <c r="E96" i="10"/>
  <c r="E100" i="15"/>
  <c r="D68" i="17"/>
  <c r="E68" i="17" s="1"/>
  <c r="F68" i="17" s="1"/>
  <c r="F120" i="17"/>
  <c r="E155" i="17"/>
  <c r="E165" i="17"/>
  <c r="E161" i="18"/>
  <c r="E290" i="18"/>
  <c r="D88" i="22"/>
  <c r="E48" i="5"/>
  <c r="C95" i="6"/>
  <c r="E24" i="7"/>
  <c r="E23" i="9"/>
  <c r="E49" i="9"/>
  <c r="F49" i="9" s="1"/>
  <c r="E88" i="9"/>
  <c r="E127" i="9"/>
  <c r="F127" i="9" s="1"/>
  <c r="E201" i="9"/>
  <c r="E204" i="9"/>
  <c r="F204" i="9" s="1"/>
  <c r="E35" i="10"/>
  <c r="E60" i="15"/>
  <c r="E13" i="16"/>
  <c r="F13" i="16" s="1"/>
  <c r="E135" i="17"/>
  <c r="E74" i="18"/>
  <c r="E176" i="18"/>
  <c r="E218" i="18"/>
  <c r="E291" i="18"/>
  <c r="D43" i="5"/>
  <c r="E136" i="17"/>
  <c r="F136" i="17" s="1"/>
  <c r="C137" i="17"/>
  <c r="C285" i="17"/>
  <c r="C286" i="17" s="1"/>
  <c r="C205" i="17"/>
  <c r="C255" i="17"/>
  <c r="C269" i="17"/>
  <c r="C215" i="17"/>
  <c r="E204" i="17"/>
  <c r="D188" i="7"/>
  <c r="E121" i="7"/>
  <c r="F121" i="7" s="1"/>
  <c r="D323" i="17"/>
  <c r="C282" i="17"/>
  <c r="C194" i="17"/>
  <c r="C266" i="17"/>
  <c r="E73" i="4"/>
  <c r="F73" i="4" s="1"/>
  <c r="D75" i="4"/>
  <c r="C18" i="5"/>
  <c r="E18" i="5" s="1"/>
  <c r="E16" i="5"/>
  <c r="F16" i="5" s="1"/>
  <c r="F38" i="6"/>
  <c r="E38" i="6"/>
  <c r="E65" i="4"/>
  <c r="F65" i="4" s="1"/>
  <c r="D216" i="17"/>
  <c r="F56" i="4"/>
  <c r="C75" i="4"/>
  <c r="E56" i="4"/>
  <c r="E61" i="4"/>
  <c r="F61" i="4" s="1"/>
  <c r="D95" i="7"/>
  <c r="E95" i="7" s="1"/>
  <c r="F95" i="7" s="1"/>
  <c r="E39" i="20"/>
  <c r="D41" i="20"/>
  <c r="E22" i="18"/>
  <c r="D284" i="18"/>
  <c r="E284" i="18" s="1"/>
  <c r="E220" i="18"/>
  <c r="C222" i="18"/>
  <c r="C244" i="18"/>
  <c r="E244" i="18" s="1"/>
  <c r="C22" i="8"/>
  <c r="C99" i="8"/>
  <c r="C101" i="8" s="1"/>
  <c r="C98" i="8" s="1"/>
  <c r="D43" i="11"/>
  <c r="E43" i="11" s="1"/>
  <c r="E316" i="18"/>
  <c r="F204" i="17"/>
  <c r="E320" i="18"/>
  <c r="F107" i="10"/>
  <c r="E107" i="10"/>
  <c r="E237" i="17"/>
  <c r="F237" i="17" s="1"/>
  <c r="C239" i="17"/>
  <c r="E36" i="18"/>
  <c r="D22" i="13"/>
  <c r="D70" i="13"/>
  <c r="D72" i="13" s="1"/>
  <c r="D69" i="13" s="1"/>
  <c r="F95" i="10"/>
  <c r="E95" i="10"/>
  <c r="E38" i="11"/>
  <c r="F38" i="11" s="1"/>
  <c r="C41" i="11"/>
  <c r="F43" i="20"/>
  <c r="E46" i="20"/>
  <c r="E24" i="10"/>
  <c r="E179" i="17"/>
  <c r="D181" i="17"/>
  <c r="E181" i="17" s="1"/>
  <c r="D33" i="18"/>
  <c r="D294" i="18"/>
  <c r="E32" i="18"/>
  <c r="E39" i="18"/>
  <c r="C163" i="18"/>
  <c r="E163" i="18" s="1"/>
  <c r="C156" i="18"/>
  <c r="E151" i="18"/>
  <c r="E166" i="18"/>
  <c r="E261" i="17"/>
  <c r="F261" i="17" s="1"/>
  <c r="C294" i="18"/>
  <c r="C66" i="18"/>
  <c r="E42" i="6"/>
  <c r="F42" i="6" s="1"/>
  <c r="D52" i="6"/>
  <c r="C52" i="6"/>
  <c r="F51" i="6"/>
  <c r="E51" i="6"/>
  <c r="C31" i="14"/>
  <c r="H31" i="14" s="1"/>
  <c r="C33" i="14"/>
  <c r="D103" i="17"/>
  <c r="E102" i="17"/>
  <c r="F102" i="17" s="1"/>
  <c r="D138" i="17"/>
  <c r="E137" i="17"/>
  <c r="C200" i="17"/>
  <c r="C280" i="17"/>
  <c r="E191" i="17"/>
  <c r="F191" i="17"/>
  <c r="D28" i="8"/>
  <c r="D99" i="8" s="1"/>
  <c r="D101" i="8" s="1"/>
  <c r="D98" i="8" s="1"/>
  <c r="D112" i="8"/>
  <c r="D111" i="8" s="1"/>
  <c r="D207" i="17"/>
  <c r="E90" i="7"/>
  <c r="F207" i="9"/>
  <c r="D104" i="17"/>
  <c r="C211" i="18"/>
  <c r="C234" i="18"/>
  <c r="C180" i="18"/>
  <c r="C115" i="18"/>
  <c r="C125" i="18"/>
  <c r="C110" i="18"/>
  <c r="C113" i="18"/>
  <c r="C109" i="18"/>
  <c r="E45" i="6"/>
  <c r="F45" i="6" s="1"/>
  <c r="F24" i="9"/>
  <c r="D77" i="17"/>
  <c r="E77" i="17" s="1"/>
  <c r="E76" i="17"/>
  <c r="F76" i="17" s="1"/>
  <c r="E255" i="17"/>
  <c r="H17" i="14"/>
  <c r="C264" i="17"/>
  <c r="E49" i="6"/>
  <c r="F49" i="6" s="1"/>
  <c r="E25" i="13"/>
  <c r="E27" i="13" s="1"/>
  <c r="E15" i="13"/>
  <c r="D37" i="17"/>
  <c r="E35" i="17"/>
  <c r="F35" i="17" s="1"/>
  <c r="D124" i="17"/>
  <c r="E123" i="17"/>
  <c r="F123" i="17" s="1"/>
  <c r="D192" i="17"/>
  <c r="E231" i="18"/>
  <c r="D29" i="22"/>
  <c r="D39" i="22"/>
  <c r="D43" i="4"/>
  <c r="C188" i="7"/>
  <c r="E183" i="7"/>
  <c r="F183" i="7" s="1"/>
  <c r="E49" i="8"/>
  <c r="E57" i="8"/>
  <c r="E62" i="8" s="1"/>
  <c r="C149" i="8"/>
  <c r="F59" i="10"/>
  <c r="E59" i="10"/>
  <c r="G33" i="14"/>
  <c r="G31" i="14"/>
  <c r="I17" i="14"/>
  <c r="E198" i="17"/>
  <c r="F198" i="17" s="1"/>
  <c r="D199" i="17"/>
  <c r="E199" i="17" s="1"/>
  <c r="F199" i="17" s="1"/>
  <c r="D200" i="17"/>
  <c r="E223" i="17"/>
  <c r="F223" i="17" s="1"/>
  <c r="D243" i="18"/>
  <c r="E243" i="18" s="1"/>
  <c r="E219" i="18"/>
  <c r="C20" i="13"/>
  <c r="D287" i="17"/>
  <c r="D53" i="22"/>
  <c r="E43" i="8"/>
  <c r="F227" i="17"/>
  <c r="D274" i="17"/>
  <c r="E67" i="17"/>
  <c r="F67" i="17" s="1"/>
  <c r="F90" i="7"/>
  <c r="C31" i="17"/>
  <c r="E30" i="17"/>
  <c r="F30" i="17" s="1"/>
  <c r="E38" i="18"/>
  <c r="D43" i="18"/>
  <c r="D44" i="18" s="1"/>
  <c r="E276" i="18"/>
  <c r="D174" i="17"/>
  <c r="F100" i="15"/>
  <c r="F41" i="4"/>
  <c r="F179" i="9"/>
  <c r="E179" i="9"/>
  <c r="F16" i="15"/>
  <c r="F230" i="17"/>
  <c r="F44" i="20"/>
  <c r="E23" i="22"/>
  <c r="E34" i="22"/>
  <c r="E22" i="22"/>
  <c r="D108" i="22"/>
  <c r="D111" i="22"/>
  <c r="D95" i="6"/>
  <c r="E95" i="6" s="1"/>
  <c r="F95" i="6" s="1"/>
  <c r="E84" i="6"/>
  <c r="F84" i="6" s="1"/>
  <c r="C155" i="8"/>
  <c r="C152" i="8"/>
  <c r="F128" i="9"/>
  <c r="C41" i="20"/>
  <c r="C77" i="22"/>
  <c r="C101" i="22"/>
  <c r="C102" i="22"/>
  <c r="D35" i="22"/>
  <c r="C43" i="4"/>
  <c r="F41" i="5"/>
  <c r="F47" i="6"/>
  <c r="E21" i="8"/>
  <c r="D53" i="8"/>
  <c r="D43" i="8"/>
  <c r="E86" i="8"/>
  <c r="E166" i="9"/>
  <c r="E117" i="10"/>
  <c r="E120" i="10"/>
  <c r="C43" i="11"/>
  <c r="E22" i="11"/>
  <c r="F22" i="11"/>
  <c r="F94" i="17"/>
  <c r="F171" i="17"/>
  <c r="E171" i="17"/>
  <c r="C172" i="17"/>
  <c r="E40" i="20"/>
  <c r="F40" i="20" s="1"/>
  <c r="E18" i="7"/>
  <c r="F18" i="7" s="1"/>
  <c r="D48" i="17"/>
  <c r="E47" i="17"/>
  <c r="F47" i="17" s="1"/>
  <c r="F145" i="17"/>
  <c r="C43" i="18"/>
  <c r="C259" i="18" s="1"/>
  <c r="C263" i="18" s="1"/>
  <c r="F40" i="12"/>
  <c r="D206" i="17"/>
  <c r="D267" i="17"/>
  <c r="E203" i="17"/>
  <c r="F203" i="17" s="1"/>
  <c r="D168" i="18"/>
  <c r="D180" i="18"/>
  <c r="E144" i="18"/>
  <c r="D145" i="18"/>
  <c r="E162" i="18"/>
  <c r="E228" i="18"/>
  <c r="E262" i="18"/>
  <c r="E21" i="21"/>
  <c r="F21" i="21" s="1"/>
  <c r="F158" i="17"/>
  <c r="C159" i="17"/>
  <c r="C192" i="17"/>
  <c r="E158" i="17"/>
  <c r="F16" i="20"/>
  <c r="E68" i="6"/>
  <c r="F68" i="6" s="1"/>
  <c r="F137" i="6"/>
  <c r="E166" i="6"/>
  <c r="F166" i="6" s="1"/>
  <c r="F154" i="9"/>
  <c r="E154" i="9"/>
  <c r="F201" i="9"/>
  <c r="C122" i="10"/>
  <c r="F122" i="10" s="1"/>
  <c r="E115" i="10"/>
  <c r="F118" i="10"/>
  <c r="E118" i="10"/>
  <c r="F110" i="17"/>
  <c r="E288" i="18"/>
  <c r="F33" i="5"/>
  <c r="E75" i="9"/>
  <c r="F75" i="9" s="1"/>
  <c r="D217" i="18"/>
  <c r="E111" i="6"/>
  <c r="F111" i="6" s="1"/>
  <c r="F24" i="7"/>
  <c r="F23" i="9"/>
  <c r="E101" i="9"/>
  <c r="F101" i="9"/>
  <c r="E60" i="10"/>
  <c r="E72" i="10"/>
  <c r="F85" i="17"/>
  <c r="E73" i="18"/>
  <c r="C23" i="22"/>
  <c r="E50" i="9"/>
  <c r="F50" i="9" s="1"/>
  <c r="E205" i="9"/>
  <c r="F205" i="9" s="1"/>
  <c r="D121" i="10"/>
  <c r="E29" i="11"/>
  <c r="F29" i="11" s="1"/>
  <c r="E17" i="16"/>
  <c r="F17" i="16" s="1"/>
  <c r="E29" i="17"/>
  <c r="F29" i="17" s="1"/>
  <c r="E85" i="17"/>
  <c r="D303" i="18"/>
  <c r="E203" i="9"/>
  <c r="F203" i="9" s="1"/>
  <c r="E84" i="10"/>
  <c r="C50" i="13"/>
  <c r="D146" i="17"/>
  <c r="E146" i="17" s="1"/>
  <c r="F146" i="17" s="1"/>
  <c r="D76" i="18"/>
  <c r="E76" i="18" s="1"/>
  <c r="C46" i="20"/>
  <c r="C61" i="17" l="1"/>
  <c r="D154" i="8"/>
  <c r="D38" i="22"/>
  <c r="D113" i="22"/>
  <c r="E34" i="12"/>
  <c r="F34" i="12" s="1"/>
  <c r="D42" i="12"/>
  <c r="E121" i="10"/>
  <c r="I31" i="14"/>
  <c r="C216" i="17"/>
  <c r="D157" i="8"/>
  <c r="D153" i="8"/>
  <c r="D223" i="18"/>
  <c r="D247" i="18" s="1"/>
  <c r="D246" i="18"/>
  <c r="C156" i="8"/>
  <c r="C154" i="8"/>
  <c r="C157" i="8"/>
  <c r="C153" i="8"/>
  <c r="C158" i="8" s="1"/>
  <c r="E60" i="17"/>
  <c r="F60" i="17" s="1"/>
  <c r="F208" i="9"/>
  <c r="E91" i="17"/>
  <c r="F91" i="17"/>
  <c r="C92" i="17"/>
  <c r="E92" i="17" s="1"/>
  <c r="F92" i="17" s="1"/>
  <c r="C271" i="17"/>
  <c r="C268" i="17"/>
  <c r="C263" i="17"/>
  <c r="C304" i="17"/>
  <c r="D56" i="22"/>
  <c r="C44" i="18"/>
  <c r="C258" i="18" s="1"/>
  <c r="D152" i="8"/>
  <c r="E188" i="7"/>
  <c r="E302" i="18"/>
  <c r="C303" i="18"/>
  <c r="C306" i="18" s="1"/>
  <c r="C310" i="18" s="1"/>
  <c r="E24" i="8"/>
  <c r="E20" i="8" s="1"/>
  <c r="E17" i="8"/>
  <c r="C254" i="18"/>
  <c r="D155" i="8"/>
  <c r="C22" i="13"/>
  <c r="C21" i="13"/>
  <c r="E210" i="18"/>
  <c r="D234" i="18"/>
  <c r="E234" i="18" s="1"/>
  <c r="D211" i="18"/>
  <c r="D235" i="18" s="1"/>
  <c r="C20" i="8"/>
  <c r="D288" i="17"/>
  <c r="D289" i="17" s="1"/>
  <c r="E278" i="17"/>
  <c r="F278" i="17" s="1"/>
  <c r="D48" i="22"/>
  <c r="E65" i="11"/>
  <c r="F65" i="11" s="1"/>
  <c r="E208" i="9"/>
  <c r="C45" i="22"/>
  <c r="C35" i="22"/>
  <c r="C53" i="22"/>
  <c r="C39" i="22"/>
  <c r="C29" i="22"/>
  <c r="C127" i="18"/>
  <c r="C121" i="18"/>
  <c r="C124" i="18"/>
  <c r="C122" i="18"/>
  <c r="C123" i="18"/>
  <c r="C126" i="18"/>
  <c r="C111" i="18"/>
  <c r="F20" i="20"/>
  <c r="E158" i="8"/>
  <c r="C287" i="17"/>
  <c r="C284" i="17"/>
  <c r="E284" i="17" s="1"/>
  <c r="F284" i="17" s="1"/>
  <c r="C279" i="17"/>
  <c r="E277" i="17"/>
  <c r="F277" i="17" s="1"/>
  <c r="E206" i="17"/>
  <c r="F206" i="17" s="1"/>
  <c r="E200" i="17"/>
  <c r="E37" i="17"/>
  <c r="F37" i="17" s="1"/>
  <c r="C114" i="18"/>
  <c r="E20" i="20"/>
  <c r="D137" i="8"/>
  <c r="D138" i="8"/>
  <c r="D136" i="8"/>
  <c r="D135" i="8"/>
  <c r="D140" i="8"/>
  <c r="D139" i="8"/>
  <c r="C42" i="12"/>
  <c r="E286" i="17"/>
  <c r="F286" i="17" s="1"/>
  <c r="D270" i="17"/>
  <c r="E270" i="17" s="1"/>
  <c r="E267" i="17"/>
  <c r="F267" i="17" s="1"/>
  <c r="D271" i="17"/>
  <c r="C21" i="5"/>
  <c r="F18" i="5"/>
  <c r="E124" i="17"/>
  <c r="F124" i="17" s="1"/>
  <c r="D126" i="17"/>
  <c r="C235" i="18"/>
  <c r="E235" i="18" s="1"/>
  <c r="C181" i="18"/>
  <c r="E52" i="6"/>
  <c r="F52" i="6" s="1"/>
  <c r="C99" i="18"/>
  <c r="C83" i="18"/>
  <c r="C97" i="18"/>
  <c r="C100" i="18"/>
  <c r="C95" i="18"/>
  <c r="C89" i="18"/>
  <c r="C98" i="18"/>
  <c r="C86" i="18"/>
  <c r="C85" i="18"/>
  <c r="C101" i="18"/>
  <c r="C88" i="18"/>
  <c r="C87" i="18"/>
  <c r="C96" i="18"/>
  <c r="F75" i="11"/>
  <c r="E75" i="4"/>
  <c r="C160" i="17"/>
  <c r="F159" i="17"/>
  <c r="E159" i="17"/>
  <c r="C161" i="17"/>
  <c r="E145" i="18"/>
  <c r="D181" i="18"/>
  <c r="E181" i="18" s="1"/>
  <c r="D169" i="18"/>
  <c r="C103" i="22"/>
  <c r="E43" i="4"/>
  <c r="D105" i="17"/>
  <c r="E103" i="17"/>
  <c r="F103" i="17" s="1"/>
  <c r="E294" i="18"/>
  <c r="E239" i="17"/>
  <c r="F239" i="17" s="1"/>
  <c r="F39" i="20"/>
  <c r="E41" i="20"/>
  <c r="F41" i="20" s="1"/>
  <c r="E111" i="22"/>
  <c r="E54" i="22"/>
  <c r="E30" i="22"/>
  <c r="E46" i="22"/>
  <c r="E36" i="22"/>
  <c r="E40" i="22"/>
  <c r="D193" i="17"/>
  <c r="E192" i="17"/>
  <c r="F192" i="17" s="1"/>
  <c r="D208" i="17"/>
  <c r="E122" i="10"/>
  <c r="I33" i="14"/>
  <c r="I36" i="14" s="1"/>
  <c r="I38" i="14" s="1"/>
  <c r="I40" i="14" s="1"/>
  <c r="G36" i="14"/>
  <c r="G38" i="14" s="1"/>
  <c r="G40" i="14" s="1"/>
  <c r="F43" i="11"/>
  <c r="H33" i="14"/>
  <c r="H36" i="14" s="1"/>
  <c r="H38" i="14" s="1"/>
  <c r="H40" i="14" s="1"/>
  <c r="C36" i="14"/>
  <c r="C38" i="14" s="1"/>
  <c r="C40" i="14" s="1"/>
  <c r="E33" i="18"/>
  <c r="D295" i="18"/>
  <c r="E215" i="17"/>
  <c r="F215" i="17"/>
  <c r="D306" i="18"/>
  <c r="C54" i="22"/>
  <c r="C36" i="22"/>
  <c r="C40" i="22"/>
  <c r="C30" i="22"/>
  <c r="C46" i="22"/>
  <c r="C111" i="22"/>
  <c r="E180" i="18"/>
  <c r="D55" i="22"/>
  <c r="D112" i="22"/>
  <c r="D47" i="22"/>
  <c r="D37" i="22"/>
  <c r="E66" i="18"/>
  <c r="C295" i="18"/>
  <c r="D22" i="8"/>
  <c r="E269" i="17"/>
  <c r="F269" i="17" s="1"/>
  <c r="C272" i="17"/>
  <c r="C270" i="17"/>
  <c r="D50" i="5"/>
  <c r="D300" i="17"/>
  <c r="E274" i="17"/>
  <c r="F274" i="17" s="1"/>
  <c r="C117" i="18"/>
  <c r="E31" i="17"/>
  <c r="F31" i="17" s="1"/>
  <c r="C32" i="17"/>
  <c r="C136" i="8"/>
  <c r="C140" i="8"/>
  <c r="C138" i="8"/>
  <c r="C135" i="8"/>
  <c r="C139" i="8"/>
  <c r="C137" i="8"/>
  <c r="E168" i="18"/>
  <c r="C173" i="17"/>
  <c r="F172" i="17"/>
  <c r="E172" i="17"/>
  <c r="E110" i="22"/>
  <c r="E35" i="22"/>
  <c r="E29" i="22"/>
  <c r="E45" i="22"/>
  <c r="E39" i="22"/>
  <c r="E53" i="22"/>
  <c r="E280" i="17"/>
  <c r="F280" i="17" s="1"/>
  <c r="C281" i="17"/>
  <c r="C196" i="17"/>
  <c r="C195" i="17"/>
  <c r="F255" i="17"/>
  <c r="D160" i="17"/>
  <c r="E160" i="17" s="1"/>
  <c r="D125" i="17"/>
  <c r="E125" i="17" s="1"/>
  <c r="F125" i="17" s="1"/>
  <c r="D49" i="17"/>
  <c r="E48" i="17"/>
  <c r="F48" i="17" s="1"/>
  <c r="D90" i="17"/>
  <c r="E90" i="17" s="1"/>
  <c r="F90" i="17" s="1"/>
  <c r="E21" i="13"/>
  <c r="F75" i="4"/>
  <c r="E285" i="17"/>
  <c r="F285" i="17" s="1"/>
  <c r="D241" i="18"/>
  <c r="E241" i="18" s="1"/>
  <c r="E217" i="18"/>
  <c r="F188" i="7"/>
  <c r="D140" i="17"/>
  <c r="D139" i="17"/>
  <c r="C207" i="17"/>
  <c r="E207" i="17" s="1"/>
  <c r="C138" i="17"/>
  <c r="E138" i="17" s="1"/>
  <c r="F137" i="17"/>
  <c r="C288" i="17"/>
  <c r="C109" i="22"/>
  <c r="C108" i="22"/>
  <c r="C110" i="22"/>
  <c r="E287" i="17"/>
  <c r="F287" i="17" s="1"/>
  <c r="D291" i="17"/>
  <c r="C116" i="18"/>
  <c r="F43" i="4"/>
  <c r="F46" i="20"/>
  <c r="D77" i="18"/>
  <c r="D97" i="18"/>
  <c r="E97" i="18" s="1"/>
  <c r="D89" i="18"/>
  <c r="E89" i="18" s="1"/>
  <c r="D95" i="18"/>
  <c r="D87" i="18"/>
  <c r="D88" i="18"/>
  <c r="E88" i="18" s="1"/>
  <c r="D85" i="18"/>
  <c r="D258" i="18"/>
  <c r="D96" i="18"/>
  <c r="D100" i="18"/>
  <c r="D83" i="18"/>
  <c r="D99" i="18"/>
  <c r="D101" i="18"/>
  <c r="E101" i="18" s="1"/>
  <c r="E44" i="18"/>
  <c r="D84" i="18"/>
  <c r="D98" i="18"/>
  <c r="D86" i="18"/>
  <c r="E86" i="18" s="1"/>
  <c r="E43" i="18"/>
  <c r="D259" i="18"/>
  <c r="D252" i="18"/>
  <c r="E24" i="13"/>
  <c r="E20" i="13" s="1"/>
  <c r="E17" i="13"/>
  <c r="E28" i="13" s="1"/>
  <c r="E70" i="13" s="1"/>
  <c r="E72" i="13" s="1"/>
  <c r="E69" i="13" s="1"/>
  <c r="C265" i="17"/>
  <c r="E264" i="17"/>
  <c r="F264" i="17" s="1"/>
  <c r="C300" i="17"/>
  <c r="C112" i="22"/>
  <c r="F200" i="17"/>
  <c r="D268" i="17"/>
  <c r="E268" i="17" s="1"/>
  <c r="F268" i="17" s="1"/>
  <c r="C157" i="18"/>
  <c r="C168" i="18"/>
  <c r="E156" i="18"/>
  <c r="E41" i="11"/>
  <c r="F41" i="11" s="1"/>
  <c r="C246" i="18"/>
  <c r="E246" i="18" s="1"/>
  <c r="C223" i="18"/>
  <c r="E222" i="18"/>
  <c r="D158" i="8"/>
  <c r="E205" i="17"/>
  <c r="F205" i="17"/>
  <c r="E28" i="8" l="1"/>
  <c r="E112" i="8"/>
  <c r="E111" i="8" s="1"/>
  <c r="C128" i="18"/>
  <c r="E263" i="17"/>
  <c r="F263" i="17" s="1"/>
  <c r="C104" i="17"/>
  <c r="E61" i="17"/>
  <c r="F61" i="17" s="1"/>
  <c r="E22" i="13"/>
  <c r="E211" i="18"/>
  <c r="E98" i="18"/>
  <c r="E300" i="17"/>
  <c r="C49" i="12"/>
  <c r="F42" i="12"/>
  <c r="C129" i="18"/>
  <c r="C131" i="18" s="1"/>
  <c r="E85" i="18"/>
  <c r="E216" i="17"/>
  <c r="F216" i="17" s="1"/>
  <c r="C84" i="18"/>
  <c r="D49" i="12"/>
  <c r="E42" i="12"/>
  <c r="D141" i="8"/>
  <c r="C55" i="22"/>
  <c r="C37" i="22"/>
  <c r="C47" i="22"/>
  <c r="E303" i="18"/>
  <c r="E279" i="17"/>
  <c r="F279" i="17" s="1"/>
  <c r="D127" i="18"/>
  <c r="E127" i="18" s="1"/>
  <c r="D126" i="18"/>
  <c r="E126" i="18" s="1"/>
  <c r="D125" i="18"/>
  <c r="E125" i="18" s="1"/>
  <c r="D124" i="18"/>
  <c r="E124" i="18" s="1"/>
  <c r="D123" i="18"/>
  <c r="E123" i="18" s="1"/>
  <c r="D114" i="18"/>
  <c r="E114" i="18" s="1"/>
  <c r="D109" i="18"/>
  <c r="D122" i="18"/>
  <c r="D115" i="18"/>
  <c r="E115" i="18" s="1"/>
  <c r="D113" i="18"/>
  <c r="E113" i="18" s="1"/>
  <c r="D110" i="18"/>
  <c r="D112" i="18"/>
  <c r="E112" i="18" s="1"/>
  <c r="E77" i="18"/>
  <c r="D111" i="18"/>
  <c r="E111" i="18" s="1"/>
  <c r="D121" i="18"/>
  <c r="D210" i="17"/>
  <c r="D209" i="17"/>
  <c r="C35" i="5"/>
  <c r="E21" i="5"/>
  <c r="F21" i="5" s="1"/>
  <c r="E84" i="18"/>
  <c r="D90" i="18"/>
  <c r="F173" i="17"/>
  <c r="C174" i="17"/>
  <c r="E173" i="17"/>
  <c r="C102" i="18"/>
  <c r="D304" i="17"/>
  <c r="D273" i="17"/>
  <c r="E271" i="17"/>
  <c r="F271" i="17" s="1"/>
  <c r="D102" i="18"/>
  <c r="E96" i="18"/>
  <c r="E56" i="22"/>
  <c r="E113" i="22"/>
  <c r="E48" i="22"/>
  <c r="E38" i="22"/>
  <c r="E288" i="17"/>
  <c r="F288" i="17" s="1"/>
  <c r="C291" i="17"/>
  <c r="E291" i="17" s="1"/>
  <c r="C289" i="17"/>
  <c r="E289" i="17" s="1"/>
  <c r="C175" i="17"/>
  <c r="C140" i="17"/>
  <c r="C62" i="17"/>
  <c r="E32" i="17"/>
  <c r="C210" i="17"/>
  <c r="C105" i="17"/>
  <c r="F32" i="17"/>
  <c r="D310" i="18"/>
  <c r="E310" i="18" s="1"/>
  <c r="E306" i="18"/>
  <c r="D106" i="17"/>
  <c r="E99" i="18"/>
  <c r="E95" i="18"/>
  <c r="D305" i="17"/>
  <c r="F138" i="17"/>
  <c r="C139" i="17"/>
  <c r="E112" i="22"/>
  <c r="E47" i="22"/>
  <c r="E55" i="22"/>
  <c r="E37" i="22"/>
  <c r="F270" i="17"/>
  <c r="D141" i="17"/>
  <c r="E140" i="17"/>
  <c r="E258" i="18"/>
  <c r="C162" i="17"/>
  <c r="E161" i="17"/>
  <c r="F161" i="17" s="1"/>
  <c r="E193" i="17"/>
  <c r="F193" i="17" s="1"/>
  <c r="D194" i="17"/>
  <c r="D266" i="17"/>
  <c r="D282" i="17"/>
  <c r="D263" i="18"/>
  <c r="E263" i="18" s="1"/>
  <c r="E259" i="18"/>
  <c r="C208" i="17"/>
  <c r="F207" i="17"/>
  <c r="C141" i="8"/>
  <c r="E272" i="17"/>
  <c r="F272" i="17"/>
  <c r="C273" i="17"/>
  <c r="C38" i="22"/>
  <c r="C56" i="22"/>
  <c r="C48" i="22"/>
  <c r="C113" i="22"/>
  <c r="F160" i="17"/>
  <c r="C90" i="18"/>
  <c r="C91" i="18" s="1"/>
  <c r="C264" i="18"/>
  <c r="C266" i="18" s="1"/>
  <c r="C267" i="18" s="1"/>
  <c r="D127" i="17"/>
  <c r="E126" i="17"/>
  <c r="F126" i="17" s="1"/>
  <c r="C169" i="18"/>
  <c r="E169" i="18" s="1"/>
  <c r="E157" i="18"/>
  <c r="C103" i="18"/>
  <c r="E87" i="18"/>
  <c r="D254" i="18"/>
  <c r="E254" i="18" s="1"/>
  <c r="E252" i="18"/>
  <c r="C247" i="18"/>
  <c r="E247" i="18" s="1"/>
  <c r="E223" i="18"/>
  <c r="E83" i="18"/>
  <c r="F300" i="17"/>
  <c r="E100" i="18"/>
  <c r="E139" i="17"/>
  <c r="E49" i="17"/>
  <c r="F49" i="17" s="1"/>
  <c r="D50" i="17"/>
  <c r="E295" i="18"/>
  <c r="E104" i="17" l="1"/>
  <c r="F104" i="17" s="1"/>
  <c r="E49" i="12"/>
  <c r="F49" i="12" s="1"/>
  <c r="E99" i="8"/>
  <c r="E101" i="8" s="1"/>
  <c r="E98" i="8" s="1"/>
  <c r="E22" i="8"/>
  <c r="E102" i="18"/>
  <c r="E90" i="18"/>
  <c r="F291" i="17"/>
  <c r="C305" i="17"/>
  <c r="D281" i="17"/>
  <c r="E281" i="17" s="1"/>
  <c r="F281" i="17" s="1"/>
  <c r="E282" i="17"/>
  <c r="F282" i="17" s="1"/>
  <c r="C106" i="17"/>
  <c r="E106" i="17" s="1"/>
  <c r="D129" i="18"/>
  <c r="E129" i="18" s="1"/>
  <c r="E121" i="18"/>
  <c r="E109" i="18"/>
  <c r="D91" i="18"/>
  <c r="D265" i="17"/>
  <c r="E265" i="17" s="1"/>
  <c r="F265" i="17" s="1"/>
  <c r="E266" i="17"/>
  <c r="F266" i="17" s="1"/>
  <c r="D264" i="18"/>
  <c r="D103" i="18"/>
  <c r="E103" i="18" s="1"/>
  <c r="E273" i="17"/>
  <c r="F273" i="17"/>
  <c r="D128" i="18"/>
  <c r="E128" i="18" s="1"/>
  <c r="E122" i="18"/>
  <c r="D113" i="17"/>
  <c r="D324" i="17"/>
  <c r="E50" i="17"/>
  <c r="F50" i="17" s="1"/>
  <c r="D70" i="17"/>
  <c r="C209" i="17"/>
  <c r="F139" i="17"/>
  <c r="E105" i="17"/>
  <c r="F105" i="17" s="1"/>
  <c r="F140" i="17"/>
  <c r="C141" i="17"/>
  <c r="C43" i="5"/>
  <c r="E35" i="5"/>
  <c r="F35" i="5" s="1"/>
  <c r="E110" i="18"/>
  <c r="D116" i="18"/>
  <c r="E116" i="18" s="1"/>
  <c r="C269" i="18"/>
  <c r="C268" i="18"/>
  <c r="F162" i="17"/>
  <c r="C197" i="17"/>
  <c r="E162" i="17"/>
  <c r="D196" i="17"/>
  <c r="E194" i="17"/>
  <c r="F194" i="17" s="1"/>
  <c r="D195" i="17"/>
  <c r="E195" i="17" s="1"/>
  <c r="F195" i="17" s="1"/>
  <c r="D322" i="17"/>
  <c r="E141" i="17"/>
  <c r="C176" i="17"/>
  <c r="C183" i="17" s="1"/>
  <c r="E175" i="17"/>
  <c r="F175" i="17" s="1"/>
  <c r="E174" i="17"/>
  <c r="F174" i="17" s="1"/>
  <c r="E209" i="17"/>
  <c r="E210" i="17"/>
  <c r="F210" i="17" s="1"/>
  <c r="D211" i="17"/>
  <c r="C105" i="18"/>
  <c r="E304" i="17"/>
  <c r="F304" i="17" s="1"/>
  <c r="C63" i="17"/>
  <c r="E62" i="17"/>
  <c r="F62" i="17" s="1"/>
  <c r="D148" i="17"/>
  <c r="E127" i="17"/>
  <c r="F127" i="17" s="1"/>
  <c r="D309" i="17"/>
  <c r="D310" i="17" s="1"/>
  <c r="E305" i="17"/>
  <c r="F289" i="17"/>
  <c r="E208" i="17"/>
  <c r="F208" i="17" s="1"/>
  <c r="C211" i="17" l="1"/>
  <c r="E211" i="17" s="1"/>
  <c r="C322" i="17"/>
  <c r="E322" i="17" s="1"/>
  <c r="F141" i="17"/>
  <c r="C148" i="17"/>
  <c r="E63" i="17"/>
  <c r="F63" i="17" s="1"/>
  <c r="C70" i="17"/>
  <c r="E70" i="17" s="1"/>
  <c r="C271" i="18"/>
  <c r="E264" i="18"/>
  <c r="D266" i="18"/>
  <c r="F183" i="17"/>
  <c r="E183" i="17"/>
  <c r="D325" i="17"/>
  <c r="D312" i="17"/>
  <c r="E196" i="17"/>
  <c r="F196" i="17" s="1"/>
  <c r="D197" i="17"/>
  <c r="E197" i="17" s="1"/>
  <c r="F209" i="17"/>
  <c r="E91" i="18"/>
  <c r="D105" i="18"/>
  <c r="E105" i="18" s="1"/>
  <c r="E148" i="17"/>
  <c r="F106" i="17"/>
  <c r="C324" i="17"/>
  <c r="E324" i="17" s="1"/>
  <c r="C113" i="17"/>
  <c r="F197" i="17"/>
  <c r="F305" i="17"/>
  <c r="C309" i="17"/>
  <c r="F176" i="17"/>
  <c r="E176" i="17"/>
  <c r="C323" i="17"/>
  <c r="C50" i="5"/>
  <c r="E43" i="5"/>
  <c r="F43" i="5" s="1"/>
  <c r="D117" i="18"/>
  <c r="D313" i="17" l="1"/>
  <c r="F70" i="17"/>
  <c r="E266" i="18"/>
  <c r="D267" i="18"/>
  <c r="D131" i="18"/>
  <c r="E131" i="18" s="1"/>
  <c r="E117" i="18"/>
  <c r="C310" i="17"/>
  <c r="E309" i="17"/>
  <c r="F309" i="17" s="1"/>
  <c r="F323" i="17"/>
  <c r="E323" i="17"/>
  <c r="F322" i="17"/>
  <c r="E50" i="5"/>
  <c r="F50" i="5" s="1"/>
  <c r="F148" i="17"/>
  <c r="F324" i="17"/>
  <c r="C325" i="17"/>
  <c r="E325" i="17" s="1"/>
  <c r="E113" i="17"/>
  <c r="F113" i="17" s="1"/>
  <c r="F211" i="17"/>
  <c r="E267" i="18" l="1"/>
  <c r="D268" i="18"/>
  <c r="D269" i="18"/>
  <c r="E269" i="18" s="1"/>
  <c r="D251" i="17"/>
  <c r="D315" i="17"/>
  <c r="D314" i="17"/>
  <c r="D256" i="17"/>
  <c r="F325" i="17"/>
  <c r="C312" i="17"/>
  <c r="E310" i="17"/>
  <c r="F310" i="17" s="1"/>
  <c r="D257" i="17" l="1"/>
  <c r="D318" i="17"/>
  <c r="C313" i="17"/>
  <c r="E312" i="17"/>
  <c r="F312" i="17" s="1"/>
  <c r="E268" i="18"/>
  <c r="D271" i="18"/>
  <c r="E271" i="18" s="1"/>
  <c r="C256" i="17" l="1"/>
  <c r="C251" i="17"/>
  <c r="C315" i="17"/>
  <c r="C314" i="17"/>
  <c r="E313" i="17"/>
  <c r="F313" i="17" s="1"/>
  <c r="C318" i="17" l="1"/>
  <c r="E314" i="17"/>
  <c r="F314" i="17" s="1"/>
  <c r="E315" i="17"/>
  <c r="F315" i="17" s="1"/>
  <c r="E251" i="17"/>
  <c r="F251" i="17" s="1"/>
  <c r="C257" i="17"/>
  <c r="E256" i="17"/>
  <c r="F256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<sst xmlns="http://schemas.openxmlformats.org/spreadsheetml/2006/main" count="2333" uniqueCount="1009">
  <si>
    <t>ROCKVILLE GENERAL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</si>
  <si>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</si>
  <si>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</si>
  <si>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</si>
  <si>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</si>
  <si>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</si>
  <si>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</si>
  <si>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</si>
  <si>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</si>
  <si>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</si>
  <si>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</si>
  <si>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</si>
  <si>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</si>
  <si>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</si>
  <si>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</si>
  <si>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</si>
  <si>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</si>
  <si>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</si>
  <si>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</si>
  <si>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</si>
  <si>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</si>
  <si>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</si>
  <si>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</si>
  <si>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</si>
  <si>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</si>
  <si>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</si>
  <si>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</si>
  <si>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</si>
  <si>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</si>
  <si>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</si>
  <si>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</si>
  <si>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</si>
  <si>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</si>
  <si>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</si>
  <si>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</si>
  <si>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</si>
  <si>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</si>
  <si>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</si>
  <si>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</si>
  <si>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</si>
  <si>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</si>
  <si>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</si>
  <si>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</si>
  <si>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</si>
  <si>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</si>
  <si>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</si>
  <si>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</si>
  <si>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</si>
  <si>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</si>
  <si>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</si>
  <si>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</si>
  <si>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</si>
  <si>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</si>
  <si>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</si>
  <si>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</si>
  <si>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</si>
  <si>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</si>
  <si>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</si>
  <si>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</si>
  <si>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</si>
  <si>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</si>
  <si>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</si>
  <si>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</si>
  <si>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</si>
  <si>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</si>
  <si>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</si>
  <si>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</si>
  <si>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</si>
  <si>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</si>
  <si>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</si>
  <si>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</si>
  <si>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</si>
  <si>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</si>
  <si>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</si>
  <si>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</si>
  <si>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</si>
  <si>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</si>
  <si>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</si>
  <si>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</si>
  <si>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</si>
  <si>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</si>
  <si>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</si>
  <si>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</si>
  <si>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</si>
  <si>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</si>
  <si>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</si>
  <si>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</si>
  <si>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</si>
  <si>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</si>
  <si>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</si>
  <si>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</si>
  <si>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</si>
  <si>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</si>
  <si>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</si>
  <si>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</si>
  <si>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</si>
  <si>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</si>
  <si>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</si>
  <si>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</si>
  <si>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</si>
  <si>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</si>
  <si>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</si>
  <si>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</si>
  <si>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</si>
  <si>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</si>
  <si>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</si>
  <si>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</si>
  <si>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</si>
  <si>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</si>
  <si>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</si>
  <si>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</si>
  <si>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</si>
  <si>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</si>
  <si>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</si>
  <si>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</si>
  <si>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</si>
  <si>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</si>
  <si>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</si>
  <si>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</si>
  <si>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</si>
  <si>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</si>
  <si>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</si>
  <si>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</si>
  <si>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</si>
  <si>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</si>
  <si>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</si>
  <si>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</si>
  <si>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</si>
  <si>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</si>
  <si>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</si>
  <si>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</si>
  <si>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</si>
  <si>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</si>
  <si>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</si>
  <si>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</si>
  <si>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</si>
  <si>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</si>
  <si>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</si>
  <si>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</si>
  <si>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</si>
  <si>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</si>
  <si>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</si>
  <si>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</si>
  <si>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</si>
  <si>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</si>
  <si>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</si>
  <si>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</si>
  <si>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</si>
  <si>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</si>
  <si>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</si>
  <si>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</si>
  <si>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</si>
  <si>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</si>
  <si>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</si>
  <si>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</si>
  <si>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</si>
  <si>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</si>
  <si>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</si>
  <si>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</si>
  <si>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</si>
  <si>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</si>
  <si>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</si>
  <si>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</si>
  <si>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</si>
  <si>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</si>
  <si>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</si>
  <si>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</si>
  <si>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</si>
  <si>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</si>
  <si>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</si>
  <si>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</si>
  <si>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</si>
  <si>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</si>
  <si>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</si>
  <si>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</si>
  <si>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</si>
  <si>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</si>
  <si>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</si>
  <si>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</si>
  <si>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</si>
  <si>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</si>
  <si>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</si>
  <si>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</si>
  <si>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</si>
  <si>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</si>
  <si>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</si>
  <si>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</si>
  <si>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</si>
  <si>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</si>
  <si>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</si>
  <si>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</si>
  <si>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</si>
  <si>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</si>
  <si>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</si>
  <si>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</si>
  <si>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</si>
  <si>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</si>
  <si>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</si>
  <si>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</si>
  <si>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</si>
  <si>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</si>
  <si>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</si>
  <si>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</si>
  <si>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</si>
  <si>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</si>
  <si>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</si>
  <si>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</si>
  <si>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</si>
  <si>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</si>
  <si>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</si>
  <si>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</si>
  <si>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</si>
  <si>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</si>
  <si>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</si>
  <si>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</si>
  <si>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</si>
  <si>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</si>
  <si>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</si>
  <si>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</si>
  <si>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</si>
  <si>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</si>
  <si>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</si>
  <si>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</si>
  <si>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</si>
  <si>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</si>
  <si>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</si>
  <si>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</si>
  <si>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</si>
  <si>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</si>
  <si>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</si>
  <si>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</si>
  <si>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</si>
  <si>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</si>
  <si>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</si>
  <si>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</si>
  <si>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</si>
  <si>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</si>
  <si>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</si>
  <si>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</si>
  <si>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</si>
  <si>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</si>
  <si>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</si>
  <si>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</si>
  <si>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</si>
  <si>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</si>
  <si>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</si>
  <si>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</si>
  <si>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</si>
  <si>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</si>
  <si>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</si>
  <si>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</si>
  <si>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</si>
  <si>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</si>
  <si>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</si>
  <si>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</si>
  <si>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</si>
  <si>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</si>
  <si>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</si>
  <si>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</si>
  <si>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</si>
  <si>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</si>
  <si>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</si>
  <si>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</si>
  <si>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</si>
  <si>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</si>
  <si>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</si>
  <si>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</si>
  <si>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</si>
  <si>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</si>
  <si>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</si>
  <si>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</si>
  <si>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</si>
  <si>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</si>
  <si>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</si>
  <si>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</si>
  <si>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</si>
  <si>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</si>
  <si>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</si>
  <si>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</si>
  <si>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</si>
  <si>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</si>
  <si>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</si>
  <si>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</si>
  <si>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</si>
  <si>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</si>
  <si>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</si>
  <si>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</si>
  <si>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</si>
  <si>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</si>
  <si>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</si>
  <si>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</si>
  <si>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</si>
  <si>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</si>
  <si>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</si>
  <si>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</si>
  <si>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</si>
  <si>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</si>
  <si>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</si>
  <si>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</si>
  <si>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</si>
  <si>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</si>
  <si>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</si>
  <si>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</si>
  <si>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</si>
  <si>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</si>
  <si>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</si>
  <si>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</si>
  <si>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</si>
  <si>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</si>
  <si>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</si>
  <si>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</si>
  <si>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</si>
  <si>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</si>
  <si>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</si>
  <si>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</si>
  <si>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</si>
  <si>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</si>
  <si>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</si>
  <si>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</si>
  <si>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</si>
  <si>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</si>
  <si>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</si>
  <si>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</si>
  <si>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</si>
  <si>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</si>
  <si>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</si>
  <si>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</si>
  <si>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</si>
  <si>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</si>
  <si>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</si>
  <si>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</si>
  <si>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</si>
  <si>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</si>
  <si>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</si>
  <si>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</si>
  <si>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</si>
  <si>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</si>
  <si>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</si>
  <si>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</si>
  <si>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</si>
  <si>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</si>
  <si>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</si>
  <si>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</si>
  <si>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</si>
  <si>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</si>
  <si>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</si>
  <si>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</si>
  <si>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</si>
  <si>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</si>
  <si>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</si>
  <si>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</si>
  <si>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</si>
  <si>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</si>
  <si>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</si>
  <si>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</si>
  <si>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</si>
  <si>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</si>
  <si>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</si>
  <si>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</si>
  <si>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</si>
  <si>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</si>
  <si>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</si>
  <si>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</si>
  <si>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</si>
  <si>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</si>
  <si>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</si>
  <si>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</si>
  <si>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</si>
  <si>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</si>
  <si>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</si>
  <si>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</si>
  <si>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</si>
  <si>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</si>
  <si>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</si>
  <si>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</si>
  <si>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</si>
  <si>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</si>
  <si>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</si>
  <si>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</si>
  <si>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</si>
  <si>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</si>
  <si>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</si>
  <si>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</si>
  <si>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</si>
  <si>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</si>
  <si>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</si>
  <si>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</si>
  <si>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</si>
  <si>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</si>
  <si>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</si>
  <si>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</si>
  <si>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</si>
  <si>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</si>
  <si>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</si>
  <si>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</si>
  <si>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</si>
  <si>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</si>
  <si>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</si>
  <si>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</si>
  <si>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</si>
  <si>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</si>
  <si>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</si>
  <si>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</si>
  <si>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</si>
  <si>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</si>
  <si>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</si>
  <si>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</si>
  <si>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</si>
  <si>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</si>
  <si>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</si>
  <si>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</si>
  <si>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</si>
  <si>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</si>
  <si>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</si>
  <si>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</si>
  <si>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</si>
  <si>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</si>
  <si>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</si>
  <si>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</si>
  <si>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</si>
  <si>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</si>
  <si>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</si>
  <si>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</si>
  <si>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</si>
  <si>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</si>
  <si>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</si>
  <si>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</si>
  <si>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</si>
  <si>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</si>
  <si>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</si>
  <si>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</si>
  <si>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</si>
  <si>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</si>
  <si>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</si>
  <si>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</si>
  <si>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</si>
  <si>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</si>
  <si>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</si>
  <si>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</si>
  <si>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</si>
  <si>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</si>
  <si>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</si>
  <si>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</si>
  <si>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</si>
  <si>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</si>
  <si>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</si>
  <si>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</si>
  <si>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</si>
  <si>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</si>
  <si>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</si>
  <si>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</si>
  <si>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</si>
  <si>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</si>
  <si>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</si>
  <si>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</si>
  <si>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</si>
  <si>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</si>
  <si>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</si>
  <si>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</si>
  <si>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</si>
  <si>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</si>
  <si>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</si>
  <si>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</si>
  <si>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</si>
  <si>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</si>
  <si>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</si>
  <si>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</si>
  <si>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</si>
  <si>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</si>
  <si>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</si>
  <si>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</si>
  <si>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</si>
  <si>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</si>
  <si>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</si>
  <si>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</si>
  <si>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</si>
  <si>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</si>
  <si>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</si>
  <si>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</si>
  <si>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</si>
  <si>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</si>
  <si>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</si>
  <si>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</si>
  <si>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</si>
  <si>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</si>
  <si>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</si>
  <si>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</si>
  <si>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</si>
  <si>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</si>
  <si>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</si>
  <si>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</si>
  <si>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</si>
  <si>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</si>
  <si>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</si>
  <si>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</si>
  <si>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</si>
  <si>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</si>
  <si>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</si>
  <si>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</si>
  <si>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</si>
  <si>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CT HEALTH NETWORK , INC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</si>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</sst>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2130527</v>
      </c>
      <c r="D13" s="22">
        <v>299540</v>
      </c>
      <c r="E13" s="22">
        <f t="shared" ref="E13:E22" si="0">D13-C13</f>
        <v>-1830987</v>
      </c>
      <c r="F13" s="23">
        <f t="shared" ref="F13:F22" si="1">IF(C13=0,0,E13/C13)</f>
        <v>-0.85940567756240593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8279947</v>
      </c>
      <c r="D15" s="22">
        <v>6032974</v>
      </c>
      <c r="E15" s="22">
        <f t="shared" si="0"/>
        <v>-2246973</v>
      </c>
      <c r="F15" s="23">
        <f t="shared" si="1"/>
        <v>-0.27137528778867787</v>
      </c>
    </row>
    <row r="16" spans="1:8" ht="24" customHeight="1" x14ac:dyDescent="0.2">
      <c r="A16" s="20">
        <v>4</v>
      </c>
      <c r="B16" s="21" t="s">
        <v>19</v>
      </c>
      <c r="C16" s="22">
        <v>265258</v>
      </c>
      <c r="D16" s="22">
        <v>0</v>
      </c>
      <c r="E16" s="22">
        <f t="shared" si="0"/>
        <v>-265258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14916</v>
      </c>
      <c r="D17" s="22">
        <v>0</v>
      </c>
      <c r="E17" s="22">
        <f t="shared" si="0"/>
        <v>-14916</v>
      </c>
      <c r="F17" s="23">
        <f t="shared" si="1"/>
        <v>-1</v>
      </c>
    </row>
    <row r="18" spans="1:11" ht="24" customHeight="1" x14ac:dyDescent="0.2">
      <c r="A18" s="20">
        <v>6</v>
      </c>
      <c r="B18" s="21" t="s">
        <v>21</v>
      </c>
      <c r="C18" s="22">
        <v>751256</v>
      </c>
      <c r="D18" s="22">
        <v>1308851</v>
      </c>
      <c r="E18" s="22">
        <f t="shared" si="0"/>
        <v>557595</v>
      </c>
      <c r="F18" s="23">
        <f t="shared" si="1"/>
        <v>0.74221703387393911</v>
      </c>
    </row>
    <row r="19" spans="1:11" ht="24" customHeight="1" x14ac:dyDescent="0.2">
      <c r="A19" s="20">
        <v>7</v>
      </c>
      <c r="B19" s="21" t="s">
        <v>22</v>
      </c>
      <c r="C19" s="22">
        <v>1266636</v>
      </c>
      <c r="D19" s="22">
        <v>1197642</v>
      </c>
      <c r="E19" s="22">
        <f t="shared" si="0"/>
        <v>-68994</v>
      </c>
      <c r="F19" s="23">
        <f t="shared" si="1"/>
        <v>-5.4470266122232436E-2</v>
      </c>
    </row>
    <row r="20" spans="1:11" ht="24" customHeight="1" x14ac:dyDescent="0.2">
      <c r="A20" s="20">
        <v>8</v>
      </c>
      <c r="B20" s="21" t="s">
        <v>23</v>
      </c>
      <c r="C20" s="22">
        <v>209439</v>
      </c>
      <c r="D20" s="22">
        <v>284163</v>
      </c>
      <c r="E20" s="22">
        <f t="shared" si="0"/>
        <v>74724</v>
      </c>
      <c r="F20" s="23">
        <f t="shared" si="1"/>
        <v>0.35678168822425621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12917979</v>
      </c>
      <c r="D22" s="26">
        <f>SUM(D13:D21)</f>
        <v>9123170</v>
      </c>
      <c r="E22" s="26">
        <f t="shared" si="0"/>
        <v>-3794809</v>
      </c>
      <c r="F22" s="27">
        <f t="shared" si="1"/>
        <v>-0.29376181831538817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2867611</v>
      </c>
      <c r="D25" s="22">
        <v>2090243</v>
      </c>
      <c r="E25" s="22">
        <f>D25-C25</f>
        <v>-777368</v>
      </c>
      <c r="F25" s="23">
        <f>IF(C25=0,0,E25/C25)</f>
        <v>-0.27108558308640884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12526596</v>
      </c>
      <c r="D28" s="22">
        <v>2808042</v>
      </c>
      <c r="E28" s="22">
        <f>D28-C28</f>
        <v>-9718554</v>
      </c>
      <c r="F28" s="23">
        <f>IF(C28=0,0,E28/C28)</f>
        <v>-0.77583359437791399</v>
      </c>
    </row>
    <row r="29" spans="1:11" ht="24" customHeight="1" x14ac:dyDescent="0.25">
      <c r="A29" s="24"/>
      <c r="B29" s="25" t="s">
        <v>32</v>
      </c>
      <c r="C29" s="26">
        <f>SUM(C25:C28)</f>
        <v>15394207</v>
      </c>
      <c r="D29" s="26">
        <f>SUM(D25:D28)</f>
        <v>4898285</v>
      </c>
      <c r="E29" s="26">
        <f>D29-C29</f>
        <v>-10495922</v>
      </c>
      <c r="F29" s="27">
        <f>IF(C29=0,0,E29/C29)</f>
        <v>-0.6818098522385726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3664214</v>
      </c>
      <c r="D31" s="22">
        <v>282871</v>
      </c>
      <c r="E31" s="22">
        <f>D31-C31</f>
        <v>-3381343</v>
      </c>
      <c r="F31" s="23">
        <f>IF(C31=0,0,E31/C31)</f>
        <v>-0.92280172500841928</v>
      </c>
    </row>
    <row r="32" spans="1:11" ht="24" customHeight="1" x14ac:dyDescent="0.2">
      <c r="A32" s="20">
        <v>6</v>
      </c>
      <c r="B32" s="21" t="s">
        <v>34</v>
      </c>
      <c r="C32" s="22">
        <v>5679183</v>
      </c>
      <c r="D32" s="22">
        <v>3426894</v>
      </c>
      <c r="E32" s="22">
        <f>D32-C32</f>
        <v>-2252289</v>
      </c>
      <c r="F32" s="23">
        <f>IF(C32=0,0,E32/C32)</f>
        <v>-0.39658679778411787</v>
      </c>
    </row>
    <row r="33" spans="1:8" ht="24" customHeight="1" x14ac:dyDescent="0.2">
      <c r="A33" s="20">
        <v>7</v>
      </c>
      <c r="B33" s="21" t="s">
        <v>35</v>
      </c>
      <c r="C33" s="22">
        <v>5544590</v>
      </c>
      <c r="D33" s="22">
        <v>11303683</v>
      </c>
      <c r="E33" s="22">
        <f>D33-C33</f>
        <v>5759093</v>
      </c>
      <c r="F33" s="23">
        <f>IF(C33=0,0,E33/C33)</f>
        <v>1.0386869002036219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87146304</v>
      </c>
      <c r="D36" s="22">
        <v>91711791</v>
      </c>
      <c r="E36" s="22">
        <f>D36-C36</f>
        <v>4565487</v>
      </c>
      <c r="F36" s="23">
        <f>IF(C36=0,0,E36/C36)</f>
        <v>5.2388762235975037E-2</v>
      </c>
    </row>
    <row r="37" spans="1:8" ht="24" customHeight="1" x14ac:dyDescent="0.2">
      <c r="A37" s="20">
        <v>2</v>
      </c>
      <c r="B37" s="21" t="s">
        <v>39</v>
      </c>
      <c r="C37" s="22">
        <v>64443314</v>
      </c>
      <c r="D37" s="22">
        <v>67516163</v>
      </c>
      <c r="E37" s="22">
        <f>D37-C37</f>
        <v>3072849</v>
      </c>
      <c r="F37" s="23">
        <f>IF(C37=0,0,E37/C37)</f>
        <v>4.7682976080342485E-2</v>
      </c>
    </row>
    <row r="38" spans="1:8" ht="24" customHeight="1" x14ac:dyDescent="0.25">
      <c r="A38" s="24"/>
      <c r="B38" s="25" t="s">
        <v>40</v>
      </c>
      <c r="C38" s="26">
        <f>C36-C37</f>
        <v>22702990</v>
      </c>
      <c r="D38" s="26">
        <f>D36-D37</f>
        <v>24195628</v>
      </c>
      <c r="E38" s="26">
        <f>D38-C38</f>
        <v>1492638</v>
      </c>
      <c r="F38" s="27">
        <f>IF(C38=0,0,E38/C38)</f>
        <v>6.5746317995999642E-2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299832</v>
      </c>
      <c r="D40" s="22">
        <v>69208</v>
      </c>
      <c r="E40" s="22">
        <f>D40-C40</f>
        <v>-230624</v>
      </c>
      <c r="F40" s="23">
        <f>IF(C40=0,0,E40/C40)</f>
        <v>-0.7691774060140345</v>
      </c>
    </row>
    <row r="41" spans="1:8" ht="24" customHeight="1" x14ac:dyDescent="0.25">
      <c r="A41" s="24"/>
      <c r="B41" s="25" t="s">
        <v>42</v>
      </c>
      <c r="C41" s="26">
        <f>+C38+C40</f>
        <v>23002822</v>
      </c>
      <c r="D41" s="26">
        <f>+D38+D40</f>
        <v>24264836</v>
      </c>
      <c r="E41" s="26">
        <f>D41-C41</f>
        <v>1262014</v>
      </c>
      <c r="F41" s="27">
        <f>IF(C41=0,0,E41/C41)</f>
        <v>5.4863442407196823E-2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66202995</v>
      </c>
      <c r="D43" s="26">
        <f>D22+D29+D31+D32+D33+D41</f>
        <v>53299739</v>
      </c>
      <c r="E43" s="26">
        <f>D43-C43</f>
        <v>-12903256</v>
      </c>
      <c r="F43" s="27">
        <f>IF(C43=0,0,E43/C43)</f>
        <v>-0.19490441482292456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4923729</v>
      </c>
      <c r="D49" s="22">
        <v>4374661</v>
      </c>
      <c r="E49" s="22">
        <f t="shared" ref="E49:E56" si="2">D49-C49</f>
        <v>-549068</v>
      </c>
      <c r="F49" s="23">
        <f t="shared" ref="F49:F56" si="3">IF(C49=0,0,E49/C49)</f>
        <v>-0.11151466703386803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699543</v>
      </c>
      <c r="D50" s="22">
        <v>559404</v>
      </c>
      <c r="E50" s="22">
        <f t="shared" si="2"/>
        <v>-140139</v>
      </c>
      <c r="F50" s="23">
        <f t="shared" si="3"/>
        <v>-0.20032935788078787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1056682</v>
      </c>
      <c r="D51" s="22">
        <v>3469684</v>
      </c>
      <c r="E51" s="22">
        <f t="shared" si="2"/>
        <v>2413002</v>
      </c>
      <c r="F51" s="23">
        <f t="shared" si="3"/>
        <v>2.283564970350588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984268</v>
      </c>
      <c r="D52" s="22">
        <v>6504197</v>
      </c>
      <c r="E52" s="22">
        <f t="shared" si="2"/>
        <v>5519929</v>
      </c>
      <c r="F52" s="23">
        <f t="shared" si="3"/>
        <v>5.6081565183466289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592450</v>
      </c>
      <c r="D53" s="22">
        <v>0</v>
      </c>
      <c r="E53" s="22">
        <f t="shared" si="2"/>
        <v>-592450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324906</v>
      </c>
      <c r="D54" s="22">
        <v>216529</v>
      </c>
      <c r="E54" s="22">
        <f t="shared" si="2"/>
        <v>-108377</v>
      </c>
      <c r="F54" s="23">
        <f t="shared" si="3"/>
        <v>-0.33356416932897515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232337</v>
      </c>
      <c r="D55" s="22">
        <v>1533166</v>
      </c>
      <c r="E55" s="22">
        <f t="shared" si="2"/>
        <v>1300829</v>
      </c>
      <c r="F55" s="23">
        <f t="shared" si="3"/>
        <v>5.5988886832489015</v>
      </c>
    </row>
    <row r="56" spans="1:6" ht="24" customHeight="1" x14ac:dyDescent="0.25">
      <c r="A56" s="24"/>
      <c r="B56" s="25" t="s">
        <v>54</v>
      </c>
      <c r="C56" s="26">
        <f>SUM(C49:C55)</f>
        <v>8813915</v>
      </c>
      <c r="D56" s="26">
        <f>SUM(D49:D55)</f>
        <v>16657641</v>
      </c>
      <c r="E56" s="26">
        <f t="shared" si="2"/>
        <v>7843726</v>
      </c>
      <c r="F56" s="27">
        <f t="shared" si="3"/>
        <v>0.88992530561050343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21750022</v>
      </c>
      <c r="D59" s="22">
        <v>0</v>
      </c>
      <c r="E59" s="22">
        <f>D59-C59</f>
        <v>-21750022</v>
      </c>
      <c r="F59" s="23">
        <f>IF(C59=0,0,E59/C59)</f>
        <v>-1</v>
      </c>
    </row>
    <row r="60" spans="1:6" ht="24" customHeight="1" x14ac:dyDescent="0.2">
      <c r="A60" s="20">
        <v>2</v>
      </c>
      <c r="B60" s="21" t="s">
        <v>57</v>
      </c>
      <c r="C60" s="22">
        <v>719366</v>
      </c>
      <c r="D60" s="22">
        <v>612603</v>
      </c>
      <c r="E60" s="22">
        <f>D60-C60</f>
        <v>-106763</v>
      </c>
      <c r="F60" s="23">
        <f>IF(C60=0,0,E60/C60)</f>
        <v>-0.14841263001031463</v>
      </c>
    </row>
    <row r="61" spans="1:6" ht="24" customHeight="1" x14ac:dyDescent="0.25">
      <c r="A61" s="24"/>
      <c r="B61" s="25" t="s">
        <v>58</v>
      </c>
      <c r="C61" s="26">
        <f>SUM(C59:C60)</f>
        <v>22469388</v>
      </c>
      <c r="D61" s="26">
        <f>SUM(D59:D60)</f>
        <v>612603</v>
      </c>
      <c r="E61" s="26">
        <f>D61-C61</f>
        <v>-21856785</v>
      </c>
      <c r="F61" s="27">
        <f>IF(C61=0,0,E61/C61)</f>
        <v>-0.97273610656418408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13968710</v>
      </c>
      <c r="D63" s="22">
        <v>14677465</v>
      </c>
      <c r="E63" s="22">
        <f>D63-C63</f>
        <v>708755</v>
      </c>
      <c r="F63" s="23">
        <f>IF(C63=0,0,E63/C63)</f>
        <v>5.0738758267585199E-2</v>
      </c>
    </row>
    <row r="64" spans="1:6" ht="24" customHeight="1" x14ac:dyDescent="0.2">
      <c r="A64" s="20">
        <v>4</v>
      </c>
      <c r="B64" s="21" t="s">
        <v>60</v>
      </c>
      <c r="C64" s="22">
        <v>2072072</v>
      </c>
      <c r="D64" s="22">
        <v>4620854</v>
      </c>
      <c r="E64" s="22">
        <f>D64-C64</f>
        <v>2548782</v>
      </c>
      <c r="F64" s="23">
        <f>IF(C64=0,0,E64/C64)</f>
        <v>1.2300643993065878</v>
      </c>
    </row>
    <row r="65" spans="1:6" ht="24" customHeight="1" x14ac:dyDescent="0.25">
      <c r="A65" s="24"/>
      <c r="B65" s="25" t="s">
        <v>61</v>
      </c>
      <c r="C65" s="26">
        <f>SUM(C61:C64)</f>
        <v>38510170</v>
      </c>
      <c r="D65" s="26">
        <f>SUM(D61:D64)</f>
        <v>19910922</v>
      </c>
      <c r="E65" s="26">
        <f>D65-C65</f>
        <v>-18599248</v>
      </c>
      <c r="F65" s="27">
        <f>IF(C65=0,0,E65/C65)</f>
        <v>-0.48296977136169483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14969087</v>
      </c>
      <c r="D70" s="22">
        <v>11556416</v>
      </c>
      <c r="E70" s="22">
        <f>D70-C70</f>
        <v>-3412671</v>
      </c>
      <c r="F70" s="23">
        <f>IF(C70=0,0,E70/C70)</f>
        <v>-0.22798123893594846</v>
      </c>
    </row>
    <row r="71" spans="1:6" ht="24" customHeight="1" x14ac:dyDescent="0.2">
      <c r="A71" s="20">
        <v>2</v>
      </c>
      <c r="B71" s="21" t="s">
        <v>65</v>
      </c>
      <c r="C71" s="22">
        <v>537851</v>
      </c>
      <c r="D71" s="22">
        <v>582</v>
      </c>
      <c r="E71" s="22">
        <f>D71-C71</f>
        <v>-537269</v>
      </c>
      <c r="F71" s="23">
        <f>IF(C71=0,0,E71/C71)</f>
        <v>-0.99891791592838908</v>
      </c>
    </row>
    <row r="72" spans="1:6" ht="24" customHeight="1" x14ac:dyDescent="0.2">
      <c r="A72" s="20">
        <v>3</v>
      </c>
      <c r="B72" s="21" t="s">
        <v>66</v>
      </c>
      <c r="C72" s="22">
        <v>3371972</v>
      </c>
      <c r="D72" s="22">
        <v>5174178</v>
      </c>
      <c r="E72" s="22">
        <f>D72-C72</f>
        <v>1802206</v>
      </c>
      <c r="F72" s="23">
        <f>IF(C72=0,0,E72/C72)</f>
        <v>0.53446647836933403</v>
      </c>
    </row>
    <row r="73" spans="1:6" ht="24" customHeight="1" x14ac:dyDescent="0.25">
      <c r="A73" s="20"/>
      <c r="B73" s="25" t="s">
        <v>67</v>
      </c>
      <c r="C73" s="26">
        <f>SUM(C70:C72)</f>
        <v>18878910</v>
      </c>
      <c r="D73" s="26">
        <f>SUM(D70:D72)</f>
        <v>16731176</v>
      </c>
      <c r="E73" s="26">
        <f>D73-C73</f>
        <v>-2147734</v>
      </c>
      <c r="F73" s="27">
        <f>IF(C73=0,0,E73/C73)</f>
        <v>-0.11376366538110516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66202995</v>
      </c>
      <c r="D75" s="26">
        <f>D56+D65+D67+D73</f>
        <v>53299739</v>
      </c>
      <c r="E75" s="26">
        <f>D75-C75</f>
        <v>-12903256</v>
      </c>
      <c r="F75" s="27">
        <f>IF(C75=0,0,E75/C75)</f>
        <v>-0.19490441482292456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299755216</v>
      </c>
      <c r="D11" s="76">
        <v>297145105</v>
      </c>
      <c r="E11" s="76">
        <v>283677310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29000109</v>
      </c>
      <c r="D12" s="185">
        <v>18422521</v>
      </c>
      <c r="E12" s="185">
        <v>14019988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328755325</v>
      </c>
      <c r="D13" s="76">
        <f>+D11+D12</f>
        <v>315567626</v>
      </c>
      <c r="E13" s="76">
        <f>+E11+E12</f>
        <v>297697298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326582604</v>
      </c>
      <c r="D14" s="185">
        <v>315848076</v>
      </c>
      <c r="E14" s="185">
        <v>331558484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2172721</v>
      </c>
      <c r="D15" s="76">
        <f>+D13-D14</f>
        <v>-280450</v>
      </c>
      <c r="E15" s="76">
        <f>+E13-E14</f>
        <v>-33861186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-2125751</v>
      </c>
      <c r="D16" s="185">
        <v>-2235410</v>
      </c>
      <c r="E16" s="185">
        <v>-5136276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46970</v>
      </c>
      <c r="D17" s="76">
        <f>D15+D16</f>
        <v>-2515860</v>
      </c>
      <c r="E17" s="76">
        <f>E15+E16</f>
        <v>-38997462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6.6519420559266323E-3</v>
      </c>
      <c r="D20" s="189">
        <f>IF(+D27=0,0,+D24/+D27)</f>
        <v>-8.9505638322233676E-4</v>
      </c>
      <c r="E20" s="189">
        <f>IF(+E27=0,0,+E24/+E27)</f>
        <v>-0.11574059240195025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-6.5081400130656874E-3</v>
      </c>
      <c r="D21" s="189">
        <f>IF(+D27=0,0,+D26/+D27)</f>
        <v>-7.1343126746979636E-3</v>
      </c>
      <c r="E21" s="189">
        <f>IF(+E27=0,0,+E26/+E27)</f>
        <v>-1.7556255323718413E-2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1.4380204286094437E-4</v>
      </c>
      <c r="D22" s="189">
        <f>IF(+D27=0,0,+D28/+D27)</f>
        <v>-8.0293690579203002E-3</v>
      </c>
      <c r="E22" s="189">
        <f>IF(+E27=0,0,+E28/+E27)</f>
        <v>-0.13329684772566866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2172721</v>
      </c>
      <c r="D24" s="76">
        <f>+D15</f>
        <v>-280450</v>
      </c>
      <c r="E24" s="76">
        <f>+E15</f>
        <v>-33861186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328755325</v>
      </c>
      <c r="D25" s="76">
        <f>+D13</f>
        <v>315567626</v>
      </c>
      <c r="E25" s="76">
        <f>+E13</f>
        <v>297697298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-2125751</v>
      </c>
      <c r="D26" s="76">
        <f>+D16</f>
        <v>-2235410</v>
      </c>
      <c r="E26" s="76">
        <f>+E16</f>
        <v>-5136276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326629574</v>
      </c>
      <c r="D27" s="76">
        <f>SUM(D25:D26)</f>
        <v>313332216</v>
      </c>
      <c r="E27" s="76">
        <f>SUM(E25:E26)</f>
        <v>292561022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46970</v>
      </c>
      <c r="D28" s="76">
        <f>+D17</f>
        <v>-2515860</v>
      </c>
      <c r="E28" s="76">
        <f>+E17</f>
        <v>-38997462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59544873</v>
      </c>
      <c r="D31" s="76">
        <v>42167565</v>
      </c>
      <c r="E31" s="76">
        <v>-353131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77693789</v>
      </c>
      <c r="D32" s="76">
        <v>58707549</v>
      </c>
      <c r="E32" s="76">
        <v>16843358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-8155360</v>
      </c>
      <c r="D33" s="76">
        <f>+D32-C32</f>
        <v>-18986240</v>
      </c>
      <c r="E33" s="76">
        <f>+E32-D32</f>
        <v>-41864191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0.90500000000000003</v>
      </c>
      <c r="D34" s="193">
        <f>IF(C32=0,0,+D33/C32)</f>
        <v>-0.24437268724273442</v>
      </c>
      <c r="E34" s="193">
        <f>IF(D32=0,0,+E33/D32)</f>
        <v>-0.71309723729055696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1.3327302292232019</v>
      </c>
      <c r="D38" s="338">
        <f>IF(+D40=0,0,+D39/+D40)</f>
        <v>1.4463231559046146</v>
      </c>
      <c r="E38" s="338">
        <f>IF(+E40=0,0,+E39/+E40)</f>
        <v>0.73807391865072736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81233895</v>
      </c>
      <c r="D39" s="341">
        <v>74771961</v>
      </c>
      <c r="E39" s="341">
        <v>48378633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60952992</v>
      </c>
      <c r="D40" s="341">
        <v>51697963</v>
      </c>
      <c r="E40" s="341">
        <v>65547138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24.071590136151443</v>
      </c>
      <c r="D42" s="343">
        <f>IF((D48/365)=0,0,+D45/(D48/365))</f>
        <v>19.559583787515329</v>
      </c>
      <c r="E42" s="343">
        <f>IF((E48/365)=0,0,+E45/(E48/365))</f>
        <v>6.2611578505067742</v>
      </c>
    </row>
    <row r="43" spans="1:14" ht="24" customHeight="1" x14ac:dyDescent="0.2">
      <c r="A43" s="339">
        <v>5</v>
      </c>
      <c r="B43" s="344" t="s">
        <v>16</v>
      </c>
      <c r="C43" s="345">
        <v>20733601</v>
      </c>
      <c r="D43" s="345">
        <v>16286829</v>
      </c>
      <c r="E43" s="345">
        <v>5362866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20733601</v>
      </c>
      <c r="D45" s="341">
        <f>+D43+D44</f>
        <v>16286829</v>
      </c>
      <c r="E45" s="341">
        <f>+E43+E44</f>
        <v>5362866</v>
      </c>
    </row>
    <row r="46" spans="1:14" ht="24" customHeight="1" x14ac:dyDescent="0.2">
      <c r="A46" s="339">
        <v>8</v>
      </c>
      <c r="B46" s="340" t="s">
        <v>334</v>
      </c>
      <c r="C46" s="341">
        <f>+C14</f>
        <v>326582604</v>
      </c>
      <c r="D46" s="341">
        <f>+D14</f>
        <v>315848076</v>
      </c>
      <c r="E46" s="341">
        <f>+E14</f>
        <v>331558484</v>
      </c>
    </row>
    <row r="47" spans="1:14" ht="24" customHeight="1" x14ac:dyDescent="0.2">
      <c r="A47" s="339">
        <v>9</v>
      </c>
      <c r="B47" s="340" t="s">
        <v>356</v>
      </c>
      <c r="C47" s="341">
        <v>12196877</v>
      </c>
      <c r="D47" s="341">
        <v>11920720</v>
      </c>
      <c r="E47" s="341">
        <v>18925240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314385727</v>
      </c>
      <c r="D48" s="341">
        <f>+D46-D47</f>
        <v>303927356</v>
      </c>
      <c r="E48" s="341">
        <f>+E46-E47</f>
        <v>312633244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51.713660272053446</v>
      </c>
      <c r="D50" s="350">
        <f>IF((D55/365)=0,0,+D54/(D55/365))</f>
        <v>51.659534993854265</v>
      </c>
      <c r="E50" s="350">
        <f>IF((E55/365)=0,0,+E54/(E55/365))</f>
        <v>33.866695859460876</v>
      </c>
    </row>
    <row r="51" spans="1:5" ht="24" customHeight="1" x14ac:dyDescent="0.2">
      <c r="A51" s="339">
        <v>12</v>
      </c>
      <c r="B51" s="344" t="s">
        <v>359</v>
      </c>
      <c r="C51" s="351">
        <v>44610272</v>
      </c>
      <c r="D51" s="351">
        <v>41607499</v>
      </c>
      <c r="E51" s="351">
        <v>31004506</v>
      </c>
    </row>
    <row r="52" spans="1:5" ht="24" customHeight="1" x14ac:dyDescent="0.2">
      <c r="A52" s="339">
        <v>13</v>
      </c>
      <c r="B52" s="344" t="s">
        <v>21</v>
      </c>
      <c r="C52" s="341">
        <v>3602585</v>
      </c>
      <c r="D52" s="341">
        <v>3573134</v>
      </c>
      <c r="E52" s="341">
        <v>2964558</v>
      </c>
    </row>
    <row r="53" spans="1:5" ht="24" customHeight="1" x14ac:dyDescent="0.2">
      <c r="A53" s="339">
        <v>14</v>
      </c>
      <c r="B53" s="344" t="s">
        <v>49</v>
      </c>
      <c r="C53" s="341">
        <v>5743160</v>
      </c>
      <c r="D53" s="341">
        <v>3124803</v>
      </c>
      <c r="E53" s="341">
        <v>7647932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42469697</v>
      </c>
      <c r="D54" s="352">
        <f>+D51+D52-D53</f>
        <v>42055830</v>
      </c>
      <c r="E54" s="352">
        <f>+E51+E52-E53</f>
        <v>26321132</v>
      </c>
    </row>
    <row r="55" spans="1:5" ht="24" customHeight="1" x14ac:dyDescent="0.2">
      <c r="A55" s="339">
        <v>16</v>
      </c>
      <c r="B55" s="340" t="s">
        <v>75</v>
      </c>
      <c r="C55" s="341">
        <f>+C11</f>
        <v>299755216</v>
      </c>
      <c r="D55" s="341">
        <f>+D11</f>
        <v>297145105</v>
      </c>
      <c r="E55" s="341">
        <f>+E11</f>
        <v>283677310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70.766069097023603</v>
      </c>
      <c r="D57" s="355">
        <f>IF((D61/365)=0,0,+D58/(D61/365))</f>
        <v>62.086403617448639</v>
      </c>
      <c r="E57" s="355">
        <f>IF((E61/365)=0,0,+E58/(E61/365))</f>
        <v>76.5264277845001</v>
      </c>
    </row>
    <row r="58" spans="1:5" ht="24" customHeight="1" x14ac:dyDescent="0.2">
      <c r="A58" s="339">
        <v>18</v>
      </c>
      <c r="B58" s="340" t="s">
        <v>54</v>
      </c>
      <c r="C58" s="353">
        <f>+C40</f>
        <v>60952992</v>
      </c>
      <c r="D58" s="353">
        <f>+D40</f>
        <v>51697963</v>
      </c>
      <c r="E58" s="353">
        <f>+E40</f>
        <v>65547138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326582604</v>
      </c>
      <c r="D59" s="353">
        <f t="shared" si="0"/>
        <v>315848076</v>
      </c>
      <c r="E59" s="353">
        <f t="shared" si="0"/>
        <v>331558484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12196877</v>
      </c>
      <c r="D60" s="356">
        <f t="shared" si="0"/>
        <v>11920720</v>
      </c>
      <c r="E60" s="356">
        <f t="shared" si="0"/>
        <v>18925240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314385727</v>
      </c>
      <c r="D61" s="353">
        <f>+D59-D60</f>
        <v>303927356</v>
      </c>
      <c r="E61" s="353">
        <f>+E59-E60</f>
        <v>312633244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28.141033736990963</v>
      </c>
      <c r="D65" s="357">
        <f>IF(D67=0,0,(D66/D67)*100)</f>
        <v>22.527869905578729</v>
      </c>
      <c r="E65" s="357">
        <f>IF(E67=0,0,(E66/E67)*100)</f>
        <v>9.5780264192895608</v>
      </c>
    </row>
    <row r="66" spans="1:5" ht="24" customHeight="1" x14ac:dyDescent="0.2">
      <c r="A66" s="339">
        <v>2</v>
      </c>
      <c r="B66" s="340" t="s">
        <v>67</v>
      </c>
      <c r="C66" s="353">
        <f>+C32</f>
        <v>77693789</v>
      </c>
      <c r="D66" s="353">
        <f>+D32</f>
        <v>58707549</v>
      </c>
      <c r="E66" s="353">
        <f>+E32</f>
        <v>16843358</v>
      </c>
    </row>
    <row r="67" spans="1:5" ht="24" customHeight="1" x14ac:dyDescent="0.2">
      <c r="A67" s="339">
        <v>3</v>
      </c>
      <c r="B67" s="340" t="s">
        <v>43</v>
      </c>
      <c r="C67" s="353">
        <v>276087189</v>
      </c>
      <c r="D67" s="353">
        <v>260599645</v>
      </c>
      <c r="E67" s="353">
        <v>175854161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8.5294203824179</v>
      </c>
      <c r="D69" s="357">
        <f>IF(D75=0,0,(D72/D75)*100)</f>
        <v>7.1346116588238768</v>
      </c>
      <c r="E69" s="357">
        <f>IF(E75=0,0,(E72/E75)*100)</f>
        <v>-26.073416405273992</v>
      </c>
    </row>
    <row r="70" spans="1:5" ht="24" customHeight="1" x14ac:dyDescent="0.2">
      <c r="A70" s="339">
        <v>5</v>
      </c>
      <c r="B70" s="340" t="s">
        <v>366</v>
      </c>
      <c r="C70" s="353">
        <f>+C28</f>
        <v>46970</v>
      </c>
      <c r="D70" s="353">
        <f>+D28</f>
        <v>-2515860</v>
      </c>
      <c r="E70" s="353">
        <f>+E28</f>
        <v>-38997462</v>
      </c>
    </row>
    <row r="71" spans="1:5" ht="24" customHeight="1" x14ac:dyDescent="0.2">
      <c r="A71" s="339">
        <v>6</v>
      </c>
      <c r="B71" s="340" t="s">
        <v>356</v>
      </c>
      <c r="C71" s="356">
        <f>+C47</f>
        <v>12196877</v>
      </c>
      <c r="D71" s="356">
        <f>+D47</f>
        <v>11920720</v>
      </c>
      <c r="E71" s="356">
        <f>+E47</f>
        <v>18925240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12243847</v>
      </c>
      <c r="D72" s="353">
        <f>+D70+D71</f>
        <v>9404860</v>
      </c>
      <c r="E72" s="353">
        <f>+E70+E71</f>
        <v>-20072222</v>
      </c>
    </row>
    <row r="73" spans="1:5" ht="24" customHeight="1" x14ac:dyDescent="0.2">
      <c r="A73" s="339">
        <v>8</v>
      </c>
      <c r="B73" s="340" t="s">
        <v>54</v>
      </c>
      <c r="C73" s="341">
        <f>+C40</f>
        <v>60952992</v>
      </c>
      <c r="D73" s="341">
        <f>+D40</f>
        <v>51697963</v>
      </c>
      <c r="E73" s="341">
        <f>+E40</f>
        <v>65547138</v>
      </c>
    </row>
    <row r="74" spans="1:5" ht="24" customHeight="1" x14ac:dyDescent="0.2">
      <c r="A74" s="339">
        <v>9</v>
      </c>
      <c r="B74" s="340" t="s">
        <v>58</v>
      </c>
      <c r="C74" s="353">
        <v>82595414</v>
      </c>
      <c r="D74" s="353">
        <v>80122246</v>
      </c>
      <c r="E74" s="353">
        <v>11436337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143548406</v>
      </c>
      <c r="D75" s="341">
        <f>+D73+D74</f>
        <v>131820209</v>
      </c>
      <c r="E75" s="341">
        <f>+E73+E74</f>
        <v>76983475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51.528994126946905</v>
      </c>
      <c r="D77" s="359">
        <f>IF(D80=0,0,(D78/D80)*100)</f>
        <v>57.712572434469124</v>
      </c>
      <c r="E77" s="359">
        <f>IF(E80=0,0,(E78/E80)*100)</f>
        <v>40.440100220317085</v>
      </c>
    </row>
    <row r="78" spans="1:5" ht="24" customHeight="1" x14ac:dyDescent="0.2">
      <c r="A78" s="339">
        <v>12</v>
      </c>
      <c r="B78" s="340" t="s">
        <v>58</v>
      </c>
      <c r="C78" s="341">
        <f>+C74</f>
        <v>82595414</v>
      </c>
      <c r="D78" s="341">
        <f>+D74</f>
        <v>80122246</v>
      </c>
      <c r="E78" s="341">
        <f>+E74</f>
        <v>11436337</v>
      </c>
    </row>
    <row r="79" spans="1:5" ht="24" customHeight="1" x14ac:dyDescent="0.2">
      <c r="A79" s="339">
        <v>13</v>
      </c>
      <c r="B79" s="340" t="s">
        <v>67</v>
      </c>
      <c r="C79" s="341">
        <f>+C32</f>
        <v>77693789</v>
      </c>
      <c r="D79" s="341">
        <f>+D32</f>
        <v>58707549</v>
      </c>
      <c r="E79" s="341">
        <f>+E32</f>
        <v>16843358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160289203</v>
      </c>
      <c r="D80" s="341">
        <f>+D78+D79</f>
        <v>138829795</v>
      </c>
      <c r="E80" s="341">
        <f>+E78+E79</f>
        <v>28279695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7961</v>
      </c>
      <c r="D11" s="376">
        <v>2040</v>
      </c>
      <c r="E11" s="376">
        <v>2035</v>
      </c>
      <c r="F11" s="377">
        <v>27</v>
      </c>
      <c r="G11" s="377">
        <v>51</v>
      </c>
      <c r="H11" s="378">
        <f>IF(F11=0,0,$C11/(F11*365))</f>
        <v>0.80781329274479963</v>
      </c>
      <c r="I11" s="378">
        <f>IF(G11=0,0,$C11/(G11*365))</f>
        <v>0.42766586086489389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2009</v>
      </c>
      <c r="D13" s="376">
        <v>222</v>
      </c>
      <c r="E13" s="376">
        <v>0</v>
      </c>
      <c r="F13" s="377">
        <v>9</v>
      </c>
      <c r="G13" s="377">
        <v>9</v>
      </c>
      <c r="H13" s="378">
        <f>IF(F13=0,0,$C13/(F13*365))</f>
        <v>0.61156773211567728</v>
      </c>
      <c r="I13" s="378">
        <f>IF(G13=0,0,$C13/(G13*365))</f>
        <v>0.61156773211567728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40</v>
      </c>
      <c r="D16" s="376">
        <v>12</v>
      </c>
      <c r="E16" s="376">
        <v>17</v>
      </c>
      <c r="F16" s="377">
        <v>18</v>
      </c>
      <c r="G16" s="377">
        <v>30</v>
      </c>
      <c r="H16" s="378">
        <f t="shared" si="0"/>
        <v>6.0882800608828003E-3</v>
      </c>
      <c r="I16" s="378">
        <f t="shared" si="0"/>
        <v>3.6529680365296802E-3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40</v>
      </c>
      <c r="D17" s="381">
        <f>SUM(D15:D16)</f>
        <v>12</v>
      </c>
      <c r="E17" s="381">
        <f>SUM(E15:E16)</f>
        <v>17</v>
      </c>
      <c r="F17" s="381">
        <f>SUM(F15:F16)</f>
        <v>18</v>
      </c>
      <c r="G17" s="381">
        <f>SUM(G15:G16)</f>
        <v>30</v>
      </c>
      <c r="H17" s="382">
        <f t="shared" si="0"/>
        <v>6.0882800608828003E-3</v>
      </c>
      <c r="I17" s="382">
        <f t="shared" si="0"/>
        <v>3.6529680365296802E-3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12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16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10010</v>
      </c>
      <c r="D31" s="384">
        <f>SUM(D10:D29)-D13-D17-D23</f>
        <v>2052</v>
      </c>
      <c r="E31" s="384">
        <f>SUM(E10:E29)-E17-E23</f>
        <v>2052</v>
      </c>
      <c r="F31" s="384">
        <f>SUM(F10:F29)-F17-F23</f>
        <v>54</v>
      </c>
      <c r="G31" s="384">
        <f>SUM(G10:G29)-G17-G23</f>
        <v>102</v>
      </c>
      <c r="H31" s="385">
        <f>IF(F31=0,0,$C31/(F31*365))</f>
        <v>0.50786402841197364</v>
      </c>
      <c r="I31" s="385">
        <f>IF(G31=0,0,$C31/(G31*365))</f>
        <v>0.26886919151222133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10010</v>
      </c>
      <c r="D33" s="384">
        <f>SUM(D10:D29)-D13-D17</f>
        <v>2052</v>
      </c>
      <c r="E33" s="384">
        <f>SUM(E10:E29)-E17</f>
        <v>2052</v>
      </c>
      <c r="F33" s="384">
        <f>SUM(F10:F29)-F17</f>
        <v>54</v>
      </c>
      <c r="G33" s="384">
        <f>SUM(G10:G29)-G17</f>
        <v>118</v>
      </c>
      <c r="H33" s="385">
        <f>IF(F33=0,0,$C33/(F33*365))</f>
        <v>0.50786402841197364</v>
      </c>
      <c r="I33" s="385">
        <f>IF(G33=0,0,$C33/(G33*365))</f>
        <v>0.23241235198514046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10010</v>
      </c>
      <c r="D36" s="384">
        <f t="shared" si="1"/>
        <v>2052</v>
      </c>
      <c r="E36" s="384">
        <f t="shared" si="1"/>
        <v>2052</v>
      </c>
      <c r="F36" s="384">
        <f t="shared" si="1"/>
        <v>54</v>
      </c>
      <c r="G36" s="384">
        <f t="shared" si="1"/>
        <v>118</v>
      </c>
      <c r="H36" s="387">
        <f t="shared" si="1"/>
        <v>0.50786402841197364</v>
      </c>
      <c r="I36" s="387">
        <f t="shared" si="1"/>
        <v>0.23241235198514046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9873</v>
      </c>
      <c r="D37" s="384">
        <v>2112</v>
      </c>
      <c r="E37" s="384">
        <v>2037</v>
      </c>
      <c r="F37" s="386">
        <v>47</v>
      </c>
      <c r="G37" s="386">
        <v>118</v>
      </c>
      <c r="H37" s="385">
        <f>IF(F37=0,0,$C37/(F37*365))</f>
        <v>0.57551734188283299</v>
      </c>
      <c r="I37" s="385">
        <f>IF(G37=0,0,$C37/(G37*365))</f>
        <v>0.22923148363129789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137</v>
      </c>
      <c r="D38" s="384">
        <f t="shared" si="2"/>
        <v>-60</v>
      </c>
      <c r="E38" s="384">
        <f t="shared" si="2"/>
        <v>15</v>
      </c>
      <c r="F38" s="384">
        <f t="shared" si="2"/>
        <v>7</v>
      </c>
      <c r="G38" s="384">
        <f t="shared" si="2"/>
        <v>0</v>
      </c>
      <c r="H38" s="387">
        <f t="shared" si="2"/>
        <v>-6.7653313470859344E-2</v>
      </c>
      <c r="I38" s="387">
        <f t="shared" si="2"/>
        <v>3.1808683538425697E-3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1.3876228096829738E-2</v>
      </c>
      <c r="D40" s="389">
        <f t="shared" si="3"/>
        <v>-2.8409090909090908E-2</v>
      </c>
      <c r="E40" s="389">
        <f t="shared" si="3"/>
        <v>7.3637702503681884E-3</v>
      </c>
      <c r="F40" s="389">
        <f t="shared" si="3"/>
        <v>0.14893617021276595</v>
      </c>
      <c r="G40" s="389">
        <f t="shared" si="3"/>
        <v>0</v>
      </c>
      <c r="H40" s="389">
        <f t="shared" si="3"/>
        <v>-0.11755217184164814</v>
      </c>
      <c r="I40" s="389">
        <f t="shared" si="3"/>
        <v>1.3876228096829684E-2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1764</v>
      </c>
      <c r="D12" s="409">
        <v>1578</v>
      </c>
      <c r="E12" s="409">
        <f>+D12-C12</f>
        <v>-186</v>
      </c>
      <c r="F12" s="410">
        <f>IF(C12=0,0,+E12/C12)</f>
        <v>-0.10544217687074831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4630</v>
      </c>
      <c r="D13" s="409">
        <v>4422</v>
      </c>
      <c r="E13" s="409">
        <f>+D13-C13</f>
        <v>-208</v>
      </c>
      <c r="F13" s="410">
        <f>IF(C13=0,0,+E13/C13)</f>
        <v>-4.4924406047516199E-2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1800</v>
      </c>
      <c r="D14" s="409">
        <v>1720</v>
      </c>
      <c r="E14" s="409">
        <f>+D14-C14</f>
        <v>-80</v>
      </c>
      <c r="F14" s="410">
        <f>IF(C14=0,0,+E14/C14)</f>
        <v>-4.4444444444444446E-2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8194</v>
      </c>
      <c r="D16" s="401">
        <f>SUM(D12:D15)</f>
        <v>7720</v>
      </c>
      <c r="E16" s="401">
        <f>+D16-C16</f>
        <v>-474</v>
      </c>
      <c r="F16" s="402">
        <f>IF(C16=0,0,+E16/C16)</f>
        <v>-5.7847205272150357E-2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268</v>
      </c>
      <c r="D19" s="409">
        <v>190</v>
      </c>
      <c r="E19" s="409">
        <f>+D19-C19</f>
        <v>-78</v>
      </c>
      <c r="F19" s="410">
        <f>IF(C19=0,0,+E19/C19)</f>
        <v>-0.29104477611940299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1182</v>
      </c>
      <c r="D20" s="409">
        <v>1083</v>
      </c>
      <c r="E20" s="409">
        <f>+D20-C20</f>
        <v>-99</v>
      </c>
      <c r="F20" s="410">
        <f>IF(C20=0,0,+E20/C20)</f>
        <v>-8.3756345177664976E-2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24</v>
      </c>
      <c r="D21" s="409">
        <v>22</v>
      </c>
      <c r="E21" s="409">
        <f>+D21-C21</f>
        <v>-2</v>
      </c>
      <c r="F21" s="410">
        <f>IF(C21=0,0,+E21/C21)</f>
        <v>-8.3333333333333329E-2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1474</v>
      </c>
      <c r="D23" s="401">
        <f>SUM(D19:D22)</f>
        <v>1295</v>
      </c>
      <c r="E23" s="401">
        <f>+D23-C23</f>
        <v>-179</v>
      </c>
      <c r="F23" s="402">
        <f>IF(C23=0,0,+E23/C23)</f>
        <v>-0.12143826322930801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470</v>
      </c>
      <c r="D63" s="409">
        <v>424</v>
      </c>
      <c r="E63" s="409">
        <f>+D63-C63</f>
        <v>-46</v>
      </c>
      <c r="F63" s="410">
        <f>IF(C63=0,0,+E63/C63)</f>
        <v>-9.7872340425531917E-2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1434</v>
      </c>
      <c r="D64" s="409">
        <v>1266</v>
      </c>
      <c r="E64" s="409">
        <f>+D64-C64</f>
        <v>-168</v>
      </c>
      <c r="F64" s="410">
        <f>IF(C64=0,0,+E64/C64)</f>
        <v>-0.11715481171548117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1904</v>
      </c>
      <c r="D65" s="401">
        <f>SUM(D63:D64)</f>
        <v>1690</v>
      </c>
      <c r="E65" s="401">
        <f>+D65-C65</f>
        <v>-214</v>
      </c>
      <c r="F65" s="402">
        <f>IF(C65=0,0,+E65/C65)</f>
        <v>-0.11239495798319328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184</v>
      </c>
      <c r="D68" s="409">
        <v>145</v>
      </c>
      <c r="E68" s="409">
        <f>+D68-C68</f>
        <v>-39</v>
      </c>
      <c r="F68" s="410">
        <f>IF(C68=0,0,+E68/C68)</f>
        <v>-0.21195652173913043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2325</v>
      </c>
      <c r="D69" s="409">
        <v>1897</v>
      </c>
      <c r="E69" s="409">
        <f>+D69-C69</f>
        <v>-428</v>
      </c>
      <c r="F69" s="412">
        <f>IF(C69=0,0,+E69/C69)</f>
        <v>-0.18408602150537634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2509</v>
      </c>
      <c r="D70" s="401">
        <f>SUM(D68:D69)</f>
        <v>2042</v>
      </c>
      <c r="E70" s="401">
        <f>+D70-C70</f>
        <v>-467</v>
      </c>
      <c r="F70" s="402">
        <f>IF(C70=0,0,+E70/C70)</f>
        <v>-0.18612993224392188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1893</v>
      </c>
      <c r="D73" s="376">
        <v>1855</v>
      </c>
      <c r="E73" s="409">
        <f>+D73-C73</f>
        <v>-38</v>
      </c>
      <c r="F73" s="410">
        <f>IF(C73=0,0,+E73/C73)</f>
        <v>-2.0073956682514528E-2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18996</v>
      </c>
      <c r="D74" s="376">
        <v>18661</v>
      </c>
      <c r="E74" s="409">
        <f>+D74-C74</f>
        <v>-335</v>
      </c>
      <c r="F74" s="410">
        <f>IF(C74=0,0,+E74/C74)</f>
        <v>-1.7635291640345337E-2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20889</v>
      </c>
      <c r="D75" s="401">
        <f>SUM(D73:D74)</f>
        <v>20516</v>
      </c>
      <c r="E75" s="401">
        <f>SUM(E73:E74)</f>
        <v>-373</v>
      </c>
      <c r="F75" s="402">
        <f>IF(C75=0,0,+E75/C75)</f>
        <v>-1.7856287998468095E-2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2036</v>
      </c>
      <c r="E81" s="409">
        <f t="shared" si="0"/>
        <v>2036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5405</v>
      </c>
      <c r="D84" s="376">
        <v>6201</v>
      </c>
      <c r="E84" s="409">
        <f t="shared" si="0"/>
        <v>796</v>
      </c>
      <c r="F84" s="410">
        <f t="shared" si="1"/>
        <v>0.14727104532839963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905</v>
      </c>
      <c r="D90" s="376">
        <v>754</v>
      </c>
      <c r="E90" s="409">
        <f t="shared" si="0"/>
        <v>-151</v>
      </c>
      <c r="F90" s="410">
        <f t="shared" si="1"/>
        <v>-0.16685082872928178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6310</v>
      </c>
      <c r="D92" s="381">
        <f>SUM(D79:D91)</f>
        <v>8991</v>
      </c>
      <c r="E92" s="401">
        <f t="shared" si="0"/>
        <v>2681</v>
      </c>
      <c r="F92" s="402">
        <f t="shared" si="1"/>
        <v>0.42488114104595881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38849</v>
      </c>
      <c r="D95" s="414">
        <v>34657</v>
      </c>
      <c r="E95" s="415">
        <f t="shared" ref="E95:E100" si="2">+D95-C95</f>
        <v>-4192</v>
      </c>
      <c r="F95" s="412">
        <f t="shared" ref="F95:F100" si="3">IF(C95=0,0,+E95/C95)</f>
        <v>-0.10790496537877423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7543</v>
      </c>
      <c r="D96" s="414">
        <v>6641</v>
      </c>
      <c r="E96" s="409">
        <f t="shared" si="2"/>
        <v>-902</v>
      </c>
      <c r="F96" s="410">
        <f t="shared" si="3"/>
        <v>-0.11958106854036855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2325</v>
      </c>
      <c r="D98" s="414">
        <v>1897</v>
      </c>
      <c r="E98" s="409">
        <f t="shared" si="2"/>
        <v>-428</v>
      </c>
      <c r="F98" s="410">
        <f t="shared" si="3"/>
        <v>-0.18408602150537634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48344</v>
      </c>
      <c r="D99" s="414">
        <v>38955</v>
      </c>
      <c r="E99" s="409">
        <f t="shared" si="2"/>
        <v>-9389</v>
      </c>
      <c r="F99" s="410">
        <f t="shared" si="3"/>
        <v>-0.1942123117656793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97061</v>
      </c>
      <c r="D100" s="381">
        <f>SUM(D95:D99)</f>
        <v>82150</v>
      </c>
      <c r="E100" s="401">
        <f t="shared" si="2"/>
        <v>-14911</v>
      </c>
      <c r="F100" s="402">
        <f t="shared" si="3"/>
        <v>-0.15362503992334717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102.9</v>
      </c>
      <c r="D104" s="416">
        <v>88.4</v>
      </c>
      <c r="E104" s="417">
        <f>+D104-C104</f>
        <v>-14.5</v>
      </c>
      <c r="F104" s="410">
        <f>IF(C104=0,0,+E104/C104)</f>
        <v>-0.14091350826044702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4.5999999999999996</v>
      </c>
      <c r="D105" s="416">
        <v>5.6</v>
      </c>
      <c r="E105" s="417">
        <f>+D105-C105</f>
        <v>1</v>
      </c>
      <c r="F105" s="410">
        <f>IF(C105=0,0,+E105/C105)</f>
        <v>0.21739130434782611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273.60000000000002</v>
      </c>
      <c r="D106" s="416">
        <v>249.7</v>
      </c>
      <c r="E106" s="417">
        <f>+D106-C106</f>
        <v>-23.900000000000034</v>
      </c>
      <c r="F106" s="410">
        <f>IF(C106=0,0,+E106/C106)</f>
        <v>-8.7353801169590767E-2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381.1</v>
      </c>
      <c r="D107" s="418">
        <f>SUM(D104:D106)</f>
        <v>343.7</v>
      </c>
      <c r="E107" s="418">
        <f>+D107-C107</f>
        <v>-37.400000000000034</v>
      </c>
      <c r="F107" s="402">
        <f>IF(C107=0,0,+E107/C107)</f>
        <v>-9.8136971923379779E-2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1434</v>
      </c>
      <c r="D12" s="409">
        <v>1266</v>
      </c>
      <c r="E12" s="409">
        <f>+D12-C12</f>
        <v>-168</v>
      </c>
      <c r="F12" s="410">
        <f>IF(C12=0,0,+E12/C12)</f>
        <v>-0.11715481171548117</v>
      </c>
    </row>
    <row r="13" spans="1:6" ht="15.75" customHeight="1" x14ac:dyDescent="0.25">
      <c r="A13" s="374"/>
      <c r="B13" s="399" t="s">
        <v>622</v>
      </c>
      <c r="C13" s="401">
        <f>SUM(C11:C12)</f>
        <v>1434</v>
      </c>
      <c r="D13" s="401">
        <f>SUM(D11:D12)</f>
        <v>1266</v>
      </c>
      <c r="E13" s="401">
        <f>+D13-C13</f>
        <v>-168</v>
      </c>
      <c r="F13" s="402">
        <f>IF(C13=0,0,+E13/C13)</f>
        <v>-0.11715481171548117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2325</v>
      </c>
      <c r="D16" s="409">
        <v>1897</v>
      </c>
      <c r="E16" s="409">
        <f>+D16-C16</f>
        <v>-428</v>
      </c>
      <c r="F16" s="410">
        <f>IF(C16=0,0,+E16/C16)</f>
        <v>-0.18408602150537634</v>
      </c>
    </row>
    <row r="17" spans="1:6" ht="15.75" customHeight="1" x14ac:dyDescent="0.25">
      <c r="A17" s="374"/>
      <c r="B17" s="399" t="s">
        <v>623</v>
      </c>
      <c r="C17" s="401">
        <f>SUM(C15:C16)</f>
        <v>2325</v>
      </c>
      <c r="D17" s="401">
        <f>SUM(D15:D16)</f>
        <v>1897</v>
      </c>
      <c r="E17" s="401">
        <f>+D17-C17</f>
        <v>-428</v>
      </c>
      <c r="F17" s="402">
        <f>IF(C17=0,0,+E17/C17)</f>
        <v>-0.18408602150537634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18996</v>
      </c>
      <c r="D20" s="409">
        <v>18661</v>
      </c>
      <c r="E20" s="409">
        <f>+D20-C20</f>
        <v>-335</v>
      </c>
      <c r="F20" s="410">
        <f>IF(C20=0,0,+E20/C20)</f>
        <v>-1.7635291640345337E-2</v>
      </c>
    </row>
    <row r="21" spans="1:6" ht="15.75" customHeight="1" x14ac:dyDescent="0.25">
      <c r="A21" s="374"/>
      <c r="B21" s="399" t="s">
        <v>626</v>
      </c>
      <c r="C21" s="401">
        <f>SUM(C19:C20)</f>
        <v>18996</v>
      </c>
      <c r="D21" s="401">
        <f>SUM(D19:D20)</f>
        <v>18661</v>
      </c>
      <c r="E21" s="401">
        <f>+D21-C21</f>
        <v>-335</v>
      </c>
      <c r="F21" s="402">
        <f>IF(C21=0,0,+E21/C21)</f>
        <v>-1.7635291640345337E-2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627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51328637</v>
      </c>
      <c r="D15" s="448">
        <v>45821385</v>
      </c>
      <c r="E15" s="448">
        <f t="shared" ref="E15:E24" si="0">D15-C15</f>
        <v>-5507252</v>
      </c>
      <c r="F15" s="449">
        <f t="shared" ref="F15:F24" si="1">IF(C15=0,0,E15/C15)</f>
        <v>-0.10729394587274936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14223185</v>
      </c>
      <c r="D16" s="448">
        <v>11165640</v>
      </c>
      <c r="E16" s="448">
        <f t="shared" si="0"/>
        <v>-3057545</v>
      </c>
      <c r="F16" s="449">
        <f t="shared" si="1"/>
        <v>-0.21496908041342358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0.27710038355392136</v>
      </c>
      <c r="D17" s="453">
        <f>IF(LN_IA1=0,0,LN_IA2/LN_IA1)</f>
        <v>0.24367748814227244</v>
      </c>
      <c r="E17" s="454">
        <f t="shared" si="0"/>
        <v>-3.3422895411648917E-2</v>
      </c>
      <c r="F17" s="449">
        <f t="shared" si="1"/>
        <v>-0.12061656134497954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1428</v>
      </c>
      <c r="D18" s="456">
        <v>1310</v>
      </c>
      <c r="E18" s="456">
        <f t="shared" si="0"/>
        <v>-118</v>
      </c>
      <c r="F18" s="449">
        <f t="shared" si="1"/>
        <v>-8.2633053221288513E-2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1.7138199999999999</v>
      </c>
      <c r="D19" s="459">
        <v>1.6565000000000001</v>
      </c>
      <c r="E19" s="460">
        <f t="shared" si="0"/>
        <v>-5.7319999999999816E-2</v>
      </c>
      <c r="F19" s="449">
        <f t="shared" si="1"/>
        <v>-3.3445752762833798E-2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2447.3349599999997</v>
      </c>
      <c r="D20" s="463">
        <f>LN_IA4*LN_IA5</f>
        <v>2170.0150000000003</v>
      </c>
      <c r="E20" s="463">
        <f t="shared" si="0"/>
        <v>-277.31995999999936</v>
      </c>
      <c r="F20" s="449">
        <f t="shared" si="1"/>
        <v>-0.11331508131604486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5811.7034376038182</v>
      </c>
      <c r="D21" s="465">
        <f>IF(LN_IA6=0,0,LN_IA2/LN_IA6)</f>
        <v>5145.4206537742821</v>
      </c>
      <c r="E21" s="465">
        <f t="shared" si="0"/>
        <v>-666.28278382953613</v>
      </c>
      <c r="F21" s="449">
        <f t="shared" si="1"/>
        <v>-0.11464500743765521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7024</v>
      </c>
      <c r="D22" s="456">
        <v>6739</v>
      </c>
      <c r="E22" s="456">
        <f t="shared" si="0"/>
        <v>-285</v>
      </c>
      <c r="F22" s="449">
        <f t="shared" si="1"/>
        <v>-4.0575170842824602E-2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2024.9409168564921</v>
      </c>
      <c r="D23" s="465">
        <f>IF(LN_IA8=0,0,LN_IA2/LN_IA8)</f>
        <v>1656.8689716575159</v>
      </c>
      <c r="E23" s="465">
        <f t="shared" si="0"/>
        <v>-368.07194519897621</v>
      </c>
      <c r="F23" s="449">
        <f t="shared" si="1"/>
        <v>-0.18176922701051901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4.9187675070028014</v>
      </c>
      <c r="D24" s="466">
        <f>IF(LN_IA4=0,0,LN_IA8/LN_IA4)</f>
        <v>5.1442748091603052</v>
      </c>
      <c r="E24" s="466">
        <f t="shared" si="0"/>
        <v>0.22550730215750381</v>
      </c>
      <c r="F24" s="449">
        <f t="shared" si="1"/>
        <v>4.5846302317897984E-2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51687196</v>
      </c>
      <c r="D27" s="448">
        <v>52032941</v>
      </c>
      <c r="E27" s="448">
        <f t="shared" ref="E27:E32" si="2">D27-C27</f>
        <v>345745</v>
      </c>
      <c r="F27" s="449">
        <f t="shared" ref="F27:F32" si="3">IF(C27=0,0,E27/C27)</f>
        <v>6.689180817624543E-3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9465425</v>
      </c>
      <c r="D28" s="448">
        <v>9313564</v>
      </c>
      <c r="E28" s="448">
        <f t="shared" si="2"/>
        <v>-151861</v>
      </c>
      <c r="F28" s="449">
        <f t="shared" si="3"/>
        <v>-1.6043759260677679E-2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0.18312900935852663</v>
      </c>
      <c r="D29" s="453">
        <f>IF(LN_IA11=0,0,LN_IA12/LN_IA11)</f>
        <v>0.17899361098962291</v>
      </c>
      <c r="E29" s="454">
        <f t="shared" si="2"/>
        <v>-4.1353983689037255E-3</v>
      </c>
      <c r="F29" s="449">
        <f t="shared" si="3"/>
        <v>-2.2581885761242326E-2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1.0069855546719466</v>
      </c>
      <c r="D30" s="453">
        <f>IF(LN_IA1=0,0,LN_IA11/LN_IA1)</f>
        <v>1.1355601974929392</v>
      </c>
      <c r="E30" s="454">
        <f t="shared" si="2"/>
        <v>0.12857464282099262</v>
      </c>
      <c r="F30" s="449">
        <f t="shared" si="3"/>
        <v>0.12768270828162909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1437.9753720715398</v>
      </c>
      <c r="D31" s="463">
        <f>LN_IA14*LN_IA4</f>
        <v>1487.5838587157505</v>
      </c>
      <c r="E31" s="463">
        <f t="shared" si="2"/>
        <v>49.608486644210643</v>
      </c>
      <c r="F31" s="449">
        <f t="shared" si="3"/>
        <v>3.449884303146647E-2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6582.466698552812</v>
      </c>
      <c r="D32" s="465">
        <f>IF(LN_IA15=0,0,LN_IA12/LN_IA15)</f>
        <v>6260.866535645604</v>
      </c>
      <c r="E32" s="465">
        <f t="shared" si="2"/>
        <v>-321.60016290720796</v>
      </c>
      <c r="F32" s="449">
        <f t="shared" si="3"/>
        <v>-4.8857089239496394E-2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103015833</v>
      </c>
      <c r="D35" s="448">
        <f>LN_IA1+LN_IA11</f>
        <v>97854326</v>
      </c>
      <c r="E35" s="448">
        <f>D35-C35</f>
        <v>-5161507</v>
      </c>
      <c r="F35" s="449">
        <f>IF(C35=0,0,E35/C35)</f>
        <v>-5.0104016535011661E-2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23688610</v>
      </c>
      <c r="D36" s="448">
        <f>LN_IA2+LN_IA12</f>
        <v>20479204</v>
      </c>
      <c r="E36" s="448">
        <f>D36-C36</f>
        <v>-3209406</v>
      </c>
      <c r="F36" s="449">
        <f>IF(C36=0,0,E36/C36)</f>
        <v>-0.13548308659731406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79327223</v>
      </c>
      <c r="D37" s="448">
        <f>LN_IA17-LN_IA18</f>
        <v>77375122</v>
      </c>
      <c r="E37" s="448">
        <f>D37-C37</f>
        <v>-1952101</v>
      </c>
      <c r="F37" s="449">
        <f>IF(C37=0,0,E37/C37)</f>
        <v>-2.4608210475236224E-2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13834638</v>
      </c>
      <c r="D42" s="448">
        <v>14228574</v>
      </c>
      <c r="E42" s="448">
        <f t="shared" ref="E42:E53" si="4">D42-C42</f>
        <v>393936</v>
      </c>
      <c r="F42" s="449">
        <f t="shared" ref="F42:F53" si="5">IF(C42=0,0,E42/C42)</f>
        <v>2.8474615671187059E-2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6433906</v>
      </c>
      <c r="D43" s="448">
        <v>6176473</v>
      </c>
      <c r="E43" s="448">
        <f t="shared" si="4"/>
        <v>-257433</v>
      </c>
      <c r="F43" s="449">
        <f t="shared" si="5"/>
        <v>-4.0011930544213731E-2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0.46505777744238774</v>
      </c>
      <c r="D44" s="453">
        <f>IF(LN_IB1=0,0,LN_IB2/LN_IB1)</f>
        <v>0.43408938942159631</v>
      </c>
      <c r="E44" s="454">
        <f t="shared" si="4"/>
        <v>-3.0968388020791437E-2</v>
      </c>
      <c r="F44" s="449">
        <f t="shared" si="5"/>
        <v>-6.6590409886496005E-2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409</v>
      </c>
      <c r="D45" s="456">
        <v>446</v>
      </c>
      <c r="E45" s="456">
        <f t="shared" si="4"/>
        <v>37</v>
      </c>
      <c r="F45" s="449">
        <f t="shared" si="5"/>
        <v>9.0464547677261614E-2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1.77478</v>
      </c>
      <c r="D46" s="459">
        <v>1.7539</v>
      </c>
      <c r="E46" s="460">
        <f t="shared" si="4"/>
        <v>-2.088000000000001E-2</v>
      </c>
      <c r="F46" s="449">
        <f t="shared" si="5"/>
        <v>-1.1764838458851243E-2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725.88502000000005</v>
      </c>
      <c r="D47" s="463">
        <f>LN_IB4*LN_IB5</f>
        <v>782.23940000000005</v>
      </c>
      <c r="E47" s="463">
        <f t="shared" si="4"/>
        <v>56.354379999999992</v>
      </c>
      <c r="F47" s="449">
        <f t="shared" si="5"/>
        <v>7.7635408428734329E-2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8863.5332356080307</v>
      </c>
      <c r="D48" s="465">
        <f>IF(LN_IB6=0,0,LN_IB2/LN_IB6)</f>
        <v>7895.885837507034</v>
      </c>
      <c r="E48" s="465">
        <f t="shared" si="4"/>
        <v>-967.64739810099672</v>
      </c>
      <c r="F48" s="449">
        <f t="shared" si="5"/>
        <v>-0.10917174589176309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-3051.8297980042125</v>
      </c>
      <c r="D49" s="465">
        <f>LN_IA7-LN_IB7</f>
        <v>-2750.4651837327519</v>
      </c>
      <c r="E49" s="465">
        <f t="shared" si="4"/>
        <v>301.3646142714606</v>
      </c>
      <c r="F49" s="449">
        <f t="shared" si="5"/>
        <v>-9.8748827496389954E-2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-2215277.533960884</v>
      </c>
      <c r="D50" s="479">
        <f>LN_IB8*LN_IB6</f>
        <v>-2151522.2350439979</v>
      </c>
      <c r="E50" s="479">
        <f t="shared" si="4"/>
        <v>63755.298916886095</v>
      </c>
      <c r="F50" s="449">
        <f t="shared" si="5"/>
        <v>-2.8779824622196457E-2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1537</v>
      </c>
      <c r="D51" s="456">
        <v>1859</v>
      </c>
      <c r="E51" s="456">
        <f t="shared" si="4"/>
        <v>322</v>
      </c>
      <c r="F51" s="449">
        <f t="shared" si="5"/>
        <v>0.20949902407286922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4186.015614834092</v>
      </c>
      <c r="D52" s="465">
        <f>IF(LN_IB10=0,0,LN_IB2/LN_IB10)</f>
        <v>3322.470683162991</v>
      </c>
      <c r="E52" s="465">
        <f t="shared" si="4"/>
        <v>-863.54493167110104</v>
      </c>
      <c r="F52" s="449">
        <f t="shared" si="5"/>
        <v>-0.20629281185930948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3.7579462102689485</v>
      </c>
      <c r="D53" s="466">
        <f>IF(LN_IB4=0,0,LN_IB10/LN_IB4)</f>
        <v>4.1681614349775788</v>
      </c>
      <c r="E53" s="466">
        <f t="shared" si="4"/>
        <v>0.41021522470863037</v>
      </c>
      <c r="F53" s="449">
        <f t="shared" si="5"/>
        <v>0.10915941893677933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64457721</v>
      </c>
      <c r="D56" s="448">
        <v>67343463</v>
      </c>
      <c r="E56" s="448">
        <f t="shared" ref="E56:E63" si="6">D56-C56</f>
        <v>2885742</v>
      </c>
      <c r="F56" s="449">
        <f t="shared" ref="F56:F63" si="7">IF(C56=0,0,E56/C56)</f>
        <v>4.4769531954131608E-2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27427116</v>
      </c>
      <c r="D57" s="448">
        <v>28619130</v>
      </c>
      <c r="E57" s="448">
        <f t="shared" si="6"/>
        <v>1192014</v>
      </c>
      <c r="F57" s="449">
        <f t="shared" si="7"/>
        <v>4.3461149907266954E-2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0.4255055185708474</v>
      </c>
      <c r="D58" s="453">
        <f>IF(LN_IB13=0,0,LN_IB14/LN_IB13)</f>
        <v>0.42497265102033732</v>
      </c>
      <c r="E58" s="454">
        <f t="shared" si="6"/>
        <v>-5.3286755051007439E-4</v>
      </c>
      <c r="F58" s="449">
        <f t="shared" si="7"/>
        <v>-1.2523164265878987E-3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4.6591548691046345</v>
      </c>
      <c r="D59" s="453">
        <f>IF(LN_IB1=0,0,LN_IB13/LN_IB1)</f>
        <v>4.7329734518722679</v>
      </c>
      <c r="E59" s="454">
        <f t="shared" si="6"/>
        <v>7.3818582767633423E-2</v>
      </c>
      <c r="F59" s="449">
        <f t="shared" si="7"/>
        <v>1.5843770993132791E-2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1905.5943414637954</v>
      </c>
      <c r="D60" s="463">
        <f>LN_IB16*LN_IB4</f>
        <v>2110.9061595350313</v>
      </c>
      <c r="E60" s="463">
        <f t="shared" si="6"/>
        <v>205.31181807123585</v>
      </c>
      <c r="F60" s="449">
        <f t="shared" si="7"/>
        <v>0.10774161824679021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14392.945761442423</v>
      </c>
      <c r="D61" s="465">
        <f>IF(LN_IB17=0,0,LN_IB14/LN_IB17)</f>
        <v>13557.746217531492</v>
      </c>
      <c r="E61" s="465">
        <f t="shared" si="6"/>
        <v>-835.19954391093052</v>
      </c>
      <c r="F61" s="449">
        <f t="shared" si="7"/>
        <v>-5.8028395142595814E-2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-7810.4790628896108</v>
      </c>
      <c r="D62" s="465">
        <f>LN_IA16-LN_IB18</f>
        <v>-7296.8796818858882</v>
      </c>
      <c r="E62" s="465">
        <f t="shared" si="6"/>
        <v>513.59938100372256</v>
      </c>
      <c r="F62" s="449">
        <f t="shared" si="7"/>
        <v>-6.5757730975045767E-2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-14883604.70636389</v>
      </c>
      <c r="D63" s="448">
        <f>LN_IB19*LN_IB17</f>
        <v>-15403028.265878942</v>
      </c>
      <c r="E63" s="448">
        <f t="shared" si="6"/>
        <v>-519423.55951505154</v>
      </c>
      <c r="F63" s="449">
        <f t="shared" si="7"/>
        <v>3.4899042924255969E-2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78292359</v>
      </c>
      <c r="D66" s="448">
        <f>LN_IB1+LN_IB13</f>
        <v>81572037</v>
      </c>
      <c r="E66" s="448">
        <f>D66-C66</f>
        <v>3279678</v>
      </c>
      <c r="F66" s="449">
        <f>IF(C66=0,0,E66/C66)</f>
        <v>4.1890141539865977E-2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33861022</v>
      </c>
      <c r="D67" s="448">
        <f>LN_IB2+LN_IB14</f>
        <v>34795603</v>
      </c>
      <c r="E67" s="448">
        <f>D67-C67</f>
        <v>934581</v>
      </c>
      <c r="F67" s="449">
        <f>IF(C67=0,0,E67/C67)</f>
        <v>2.7600495933052464E-2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44431337</v>
      </c>
      <c r="D68" s="448">
        <f>LN_IB21-LN_IB22</f>
        <v>46776434</v>
      </c>
      <c r="E68" s="448">
        <f>D68-C68</f>
        <v>2345097</v>
      </c>
      <c r="F68" s="449">
        <f>IF(C68=0,0,E68/C68)</f>
        <v>5.2780248318883581E-2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-17098882.240324773</v>
      </c>
      <c r="D70" s="441">
        <f>LN_IB9+LN_IB20</f>
        <v>-17554550.500922941</v>
      </c>
      <c r="E70" s="448">
        <f>D70-C70</f>
        <v>-455668.26059816778</v>
      </c>
      <c r="F70" s="449">
        <f>IF(C70=0,0,E70/C70)</f>
        <v>2.6649008642421815E-2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78292359</v>
      </c>
      <c r="D73" s="488">
        <v>77680331</v>
      </c>
      <c r="E73" s="488">
        <f>D73-C73</f>
        <v>-612028</v>
      </c>
      <c r="F73" s="489">
        <f>IF(C73=0,0,E73/C73)</f>
        <v>-7.8172124051083969E-3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33861022</v>
      </c>
      <c r="D74" s="488">
        <v>31870120</v>
      </c>
      <c r="E74" s="488">
        <f>D74-C74</f>
        <v>-1990902</v>
      </c>
      <c r="F74" s="489">
        <f>IF(C74=0,0,E74/C74)</f>
        <v>-5.879627614311228E-2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44431337</v>
      </c>
      <c r="D76" s="441">
        <f>LN_IB32-LN_IB33</f>
        <v>45810211</v>
      </c>
      <c r="E76" s="488">
        <f>D76-C76</f>
        <v>1378874</v>
      </c>
      <c r="F76" s="489">
        <f>IF(E76=0,0,E76/C76)</f>
        <v>3.103381741584774E-2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0.56750540624277268</v>
      </c>
      <c r="D77" s="453">
        <f>IF(LN_IB32=0,0,LN_IB34/LN_IB32)</f>
        <v>0.58972728888088799</v>
      </c>
      <c r="E77" s="493">
        <f>D77-C77</f>
        <v>2.2221882638115309E-2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479270</v>
      </c>
      <c r="D83" s="448">
        <v>483246</v>
      </c>
      <c r="E83" s="448">
        <f t="shared" ref="E83:E95" si="8">D83-C83</f>
        <v>3976</v>
      </c>
      <c r="F83" s="449">
        <f t="shared" ref="F83:F95" si="9">IF(C83=0,0,E83/C83)</f>
        <v>8.2959500907630358E-3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10675</v>
      </c>
      <c r="D84" s="448">
        <v>0</v>
      </c>
      <c r="E84" s="448">
        <f t="shared" si="8"/>
        <v>-10675</v>
      </c>
      <c r="F84" s="449">
        <f t="shared" si="9"/>
        <v>-1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2.2273457550023995E-2</v>
      </c>
      <c r="D85" s="453">
        <f>IF(LN_IC1=0,0,LN_IC2/LN_IC1)</f>
        <v>0</v>
      </c>
      <c r="E85" s="454">
        <f t="shared" si="8"/>
        <v>-2.2273457550023995E-2</v>
      </c>
      <c r="F85" s="449">
        <f t="shared" si="9"/>
        <v>-1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16</v>
      </c>
      <c r="D86" s="456">
        <v>16</v>
      </c>
      <c r="E86" s="456">
        <f t="shared" si="8"/>
        <v>0</v>
      </c>
      <c r="F86" s="449">
        <f t="shared" si="9"/>
        <v>0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1.05498</v>
      </c>
      <c r="D87" s="459">
        <v>1.2977000000000001</v>
      </c>
      <c r="E87" s="460">
        <f t="shared" si="8"/>
        <v>0.24272000000000005</v>
      </c>
      <c r="F87" s="449">
        <f t="shared" si="9"/>
        <v>0.23007071224099038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16.87968</v>
      </c>
      <c r="D88" s="463">
        <f>LN_IC4*LN_IC5</f>
        <v>20.763200000000001</v>
      </c>
      <c r="E88" s="463">
        <f t="shared" si="8"/>
        <v>3.8835200000000007</v>
      </c>
      <c r="F88" s="449">
        <f t="shared" si="9"/>
        <v>0.23007071224099038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632.41720222184301</v>
      </c>
      <c r="D89" s="465">
        <f>IF(LN_IC6=0,0,LN_IC2/LN_IC6)</f>
        <v>0</v>
      </c>
      <c r="E89" s="465">
        <f t="shared" si="8"/>
        <v>-632.41720222184301</v>
      </c>
      <c r="F89" s="449">
        <f t="shared" si="9"/>
        <v>-1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8231.1160333861881</v>
      </c>
      <c r="D90" s="465">
        <f>LN_IB7-LN_IC7</f>
        <v>7895.885837507034</v>
      </c>
      <c r="E90" s="465">
        <f t="shared" si="8"/>
        <v>-335.23019587915405</v>
      </c>
      <c r="F90" s="449">
        <f t="shared" si="9"/>
        <v>-4.0727186267260546E-2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5179.2862353819755</v>
      </c>
      <c r="D91" s="465">
        <f>LN_IA7-LN_IC7</f>
        <v>5145.4206537742821</v>
      </c>
      <c r="E91" s="465">
        <f t="shared" si="8"/>
        <v>-33.865581607693457</v>
      </c>
      <c r="F91" s="449">
        <f t="shared" si="9"/>
        <v>-6.5386580444893776E-3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87424.694281652424</v>
      </c>
      <c r="D92" s="441">
        <f>LN_IC9*LN_IC6</f>
        <v>106835.39811844617</v>
      </c>
      <c r="E92" s="441">
        <f t="shared" si="8"/>
        <v>19410.703836793749</v>
      </c>
      <c r="F92" s="449">
        <f t="shared" si="9"/>
        <v>0.22202770048310502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53</v>
      </c>
      <c r="D93" s="456">
        <v>91</v>
      </c>
      <c r="E93" s="456">
        <f t="shared" si="8"/>
        <v>38</v>
      </c>
      <c r="F93" s="449">
        <f t="shared" si="9"/>
        <v>0.71698113207547165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201.41509433962264</v>
      </c>
      <c r="D94" s="499">
        <f>IF(LN_IC11=0,0,LN_IC2/LN_IC11)</f>
        <v>0</v>
      </c>
      <c r="E94" s="499">
        <f t="shared" si="8"/>
        <v>-201.41509433962264</v>
      </c>
      <c r="F94" s="449">
        <f t="shared" si="9"/>
        <v>-1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3.3125</v>
      </c>
      <c r="D95" s="466">
        <f>IF(LN_IC4=0,0,LN_IC11/LN_IC4)</f>
        <v>5.6875</v>
      </c>
      <c r="E95" s="466">
        <f t="shared" si="8"/>
        <v>2.375</v>
      </c>
      <c r="F95" s="449">
        <f t="shared" si="9"/>
        <v>0.71698113207547165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3062437</v>
      </c>
      <c r="D98" s="448">
        <v>3268488</v>
      </c>
      <c r="E98" s="448">
        <f t="shared" ref="E98:E106" si="10">D98-C98</f>
        <v>206051</v>
      </c>
      <c r="F98" s="449">
        <f t="shared" ref="F98:F106" si="11">IF(C98=0,0,E98/C98)</f>
        <v>6.7283343298164169E-2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186014</v>
      </c>
      <c r="D99" s="448">
        <v>0</v>
      </c>
      <c r="E99" s="448">
        <f t="shared" si="10"/>
        <v>-186014</v>
      </c>
      <c r="F99" s="449">
        <f t="shared" si="11"/>
        <v>-1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6.0740514825284572E-2</v>
      </c>
      <c r="D100" s="453">
        <f>IF(LN_IC14=0,0,LN_IC15/LN_IC14)</f>
        <v>0</v>
      </c>
      <c r="E100" s="454">
        <f t="shared" si="10"/>
        <v>-6.0740514825284572E-2</v>
      </c>
      <c r="F100" s="449">
        <f t="shared" si="11"/>
        <v>-1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6.3897948964049496</v>
      </c>
      <c r="D101" s="453">
        <f>IF(LN_IC1=0,0,LN_IC14/LN_IC1)</f>
        <v>6.7636110800710201</v>
      </c>
      <c r="E101" s="454">
        <f t="shared" si="10"/>
        <v>0.3738161836660705</v>
      </c>
      <c r="F101" s="449">
        <f t="shared" si="11"/>
        <v>5.8502063012443227E-2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102.23671834247919</v>
      </c>
      <c r="D102" s="463">
        <f>LN_IC17*LN_IC4</f>
        <v>108.21777728113632</v>
      </c>
      <c r="E102" s="463">
        <f t="shared" si="10"/>
        <v>5.981058938657128</v>
      </c>
      <c r="F102" s="449">
        <f t="shared" si="11"/>
        <v>5.8502063012443227E-2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1819.4441587696333</v>
      </c>
      <c r="D103" s="465">
        <f>IF(LN_IC18=0,0,LN_IC15/LN_IC18)</f>
        <v>0</v>
      </c>
      <c r="E103" s="465">
        <f t="shared" si="10"/>
        <v>-1819.4441587696333</v>
      </c>
      <c r="F103" s="449">
        <f t="shared" si="11"/>
        <v>-1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12573.50160267279</v>
      </c>
      <c r="D104" s="465">
        <f>LN_IB18-LN_IC19</f>
        <v>13557.746217531492</v>
      </c>
      <c r="E104" s="465">
        <f t="shared" si="10"/>
        <v>984.24461485870233</v>
      </c>
      <c r="F104" s="449">
        <f t="shared" si="11"/>
        <v>7.8279277003430639E-2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4763.0225397831782</v>
      </c>
      <c r="D105" s="465">
        <f>LN_IA16-LN_IC19</f>
        <v>6260.866535645604</v>
      </c>
      <c r="E105" s="465">
        <f t="shared" si="10"/>
        <v>1497.8439958624258</v>
      </c>
      <c r="F105" s="449">
        <f t="shared" si="11"/>
        <v>0.31447342172993592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486955.79385869269</v>
      </c>
      <c r="D106" s="448">
        <f>LN_IC21*LN_IC18</f>
        <v>677537.06034141546</v>
      </c>
      <c r="E106" s="448">
        <f t="shared" si="10"/>
        <v>190581.26648272277</v>
      </c>
      <c r="F106" s="449">
        <f t="shared" si="11"/>
        <v>0.39137282867616235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3541707</v>
      </c>
      <c r="D109" s="448">
        <f>LN_IC1+LN_IC14</f>
        <v>3751734</v>
      </c>
      <c r="E109" s="448">
        <f>D109-C109</f>
        <v>210027</v>
      </c>
      <c r="F109" s="449">
        <f>IF(C109=0,0,E109/C109)</f>
        <v>5.930106584197959E-2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196689</v>
      </c>
      <c r="D110" s="448">
        <f>LN_IC2+LN_IC15</f>
        <v>0</v>
      </c>
      <c r="E110" s="448">
        <f>D110-C110</f>
        <v>-196689</v>
      </c>
      <c r="F110" s="449">
        <f>IF(C110=0,0,E110/C110)</f>
        <v>-1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3345018</v>
      </c>
      <c r="D111" s="448">
        <f>LN_IC23-LN_IC24</f>
        <v>3751734</v>
      </c>
      <c r="E111" s="448">
        <f>D111-C111</f>
        <v>406716</v>
      </c>
      <c r="F111" s="449">
        <f>IF(C111=0,0,E111/C111)</f>
        <v>0.12158858337982038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574380.48814034509</v>
      </c>
      <c r="D113" s="448">
        <f>LN_IC10+LN_IC22</f>
        <v>784372.45845986158</v>
      </c>
      <c r="E113" s="448">
        <f>D113-C113</f>
        <v>209991.97031951649</v>
      </c>
      <c r="F113" s="449">
        <f>IF(C113=0,0,E113/C113)</f>
        <v>0.36559732556271429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9112209</v>
      </c>
      <c r="D118" s="448">
        <v>10420249</v>
      </c>
      <c r="E118" s="448">
        <f t="shared" ref="E118:E130" si="12">D118-C118</f>
        <v>1308040</v>
      </c>
      <c r="F118" s="449">
        <f t="shared" ref="F118:F130" si="13">IF(C118=0,0,E118/C118)</f>
        <v>0.143548068311427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1544776</v>
      </c>
      <c r="D119" s="448">
        <v>1950318</v>
      </c>
      <c r="E119" s="448">
        <f t="shared" si="12"/>
        <v>405542</v>
      </c>
      <c r="F119" s="449">
        <f t="shared" si="13"/>
        <v>0.26252479323863137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0.16952815722290829</v>
      </c>
      <c r="D120" s="453">
        <f>IF(LN_ID1=0,0,LN_1D2/LN_ID1)</f>
        <v>0.18716616080863327</v>
      </c>
      <c r="E120" s="454">
        <f t="shared" si="12"/>
        <v>1.7638003585724982E-2</v>
      </c>
      <c r="F120" s="449">
        <f t="shared" si="13"/>
        <v>0.1040417348637443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266</v>
      </c>
      <c r="D121" s="456">
        <v>295</v>
      </c>
      <c r="E121" s="456">
        <f t="shared" si="12"/>
        <v>29</v>
      </c>
      <c r="F121" s="449">
        <f t="shared" si="13"/>
        <v>0.10902255639097744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1.5228200000000001</v>
      </c>
      <c r="D122" s="459">
        <v>1.5835999999999999</v>
      </c>
      <c r="E122" s="460">
        <f t="shared" si="12"/>
        <v>6.0779999999999834E-2</v>
      </c>
      <c r="F122" s="449">
        <f t="shared" si="13"/>
        <v>3.9912793370194662E-2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405.07012000000003</v>
      </c>
      <c r="D123" s="463">
        <f>LN_ID4*LN_ID5</f>
        <v>467.16199999999998</v>
      </c>
      <c r="E123" s="463">
        <f t="shared" si="12"/>
        <v>62.091879999999946</v>
      </c>
      <c r="F123" s="449">
        <f t="shared" si="13"/>
        <v>0.15328674452709556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3813.6014574464289</v>
      </c>
      <c r="D124" s="465">
        <f>IF(LN_ID6=0,0,LN_1D2/LN_ID6)</f>
        <v>4174.8215822348566</v>
      </c>
      <c r="E124" s="465">
        <f t="shared" si="12"/>
        <v>361.22012478842771</v>
      </c>
      <c r="F124" s="449">
        <f t="shared" si="13"/>
        <v>9.4718897299325852E-2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5049.9317781616019</v>
      </c>
      <c r="D125" s="465">
        <f>LN_IB7-LN_ID7</f>
        <v>3721.0642552721774</v>
      </c>
      <c r="E125" s="465">
        <f t="shared" si="12"/>
        <v>-1328.8675228894244</v>
      </c>
      <c r="F125" s="449">
        <f t="shared" si="13"/>
        <v>-0.26314563864725926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1998.1019801573893</v>
      </c>
      <c r="D126" s="465">
        <f>LN_IA7-LN_ID7</f>
        <v>970.59907153942549</v>
      </c>
      <c r="E126" s="465">
        <f t="shared" si="12"/>
        <v>-1027.5029086179638</v>
      </c>
      <c r="F126" s="449">
        <f t="shared" si="13"/>
        <v>-0.51423947267047299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809371.40887459135</v>
      </c>
      <c r="D127" s="479">
        <f>LN_ID9*LN_ID6</f>
        <v>453427.00345850107</v>
      </c>
      <c r="E127" s="479">
        <f t="shared" si="12"/>
        <v>-355944.40541609027</v>
      </c>
      <c r="F127" s="449">
        <f t="shared" si="13"/>
        <v>-0.4397788228163646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1250</v>
      </c>
      <c r="D128" s="456">
        <v>1399</v>
      </c>
      <c r="E128" s="456">
        <f t="shared" si="12"/>
        <v>149</v>
      </c>
      <c r="F128" s="449">
        <f t="shared" si="13"/>
        <v>0.1192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1235.8208</v>
      </c>
      <c r="D129" s="465">
        <f>IF(LN_ID11=0,0,LN_1D2/LN_ID11)</f>
        <v>1394.0800571837026</v>
      </c>
      <c r="E129" s="465">
        <f t="shared" si="12"/>
        <v>158.25925718370263</v>
      </c>
      <c r="F129" s="449">
        <f t="shared" si="13"/>
        <v>0.1280600368465255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4.6992481203007515</v>
      </c>
      <c r="D130" s="466">
        <f>IF(LN_ID4=0,0,LN_ID11/LN_ID4)</f>
        <v>4.7423728813559318</v>
      </c>
      <c r="E130" s="466">
        <f t="shared" si="12"/>
        <v>4.3124761055180372E-2</v>
      </c>
      <c r="F130" s="449">
        <f t="shared" si="13"/>
        <v>9.1769491525423835E-3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35637001</v>
      </c>
      <c r="D133" s="448">
        <v>37354381</v>
      </c>
      <c r="E133" s="448">
        <f t="shared" ref="E133:E141" si="14">D133-C133</f>
        <v>1717380</v>
      </c>
      <c r="F133" s="449">
        <f t="shared" ref="F133:F141" si="15">IF(C133=0,0,E133/C133)</f>
        <v>4.8190923809778491E-2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5886266</v>
      </c>
      <c r="D134" s="448">
        <v>5945222</v>
      </c>
      <c r="E134" s="448">
        <f t="shared" si="14"/>
        <v>58956</v>
      </c>
      <c r="F134" s="449">
        <f t="shared" si="15"/>
        <v>1.0015857251439197E-2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0.16517287748203055</v>
      </c>
      <c r="D135" s="453">
        <f>IF(LN_ID14=0,0,LN_ID15/LN_ID14)</f>
        <v>0.15915728867251205</v>
      </c>
      <c r="E135" s="454">
        <f t="shared" si="14"/>
        <v>-6.0155888095184962E-3</v>
      </c>
      <c r="F135" s="449">
        <f t="shared" si="15"/>
        <v>-3.6419955268823981E-2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3.9109068942558274</v>
      </c>
      <c r="D136" s="453">
        <f>IF(LN_ID1=0,0,LN_ID14/LN_ID1)</f>
        <v>3.5847877531525398</v>
      </c>
      <c r="E136" s="454">
        <f t="shared" si="14"/>
        <v>-0.32611914110328755</v>
      </c>
      <c r="F136" s="449">
        <f t="shared" si="15"/>
        <v>-8.3387088959411784E-2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1040.30123387205</v>
      </c>
      <c r="D137" s="463">
        <f>LN_ID17*LN_ID4</f>
        <v>1057.5123871799992</v>
      </c>
      <c r="E137" s="463">
        <f t="shared" si="14"/>
        <v>17.211153307949189</v>
      </c>
      <c r="F137" s="449">
        <f t="shared" si="15"/>
        <v>1.6544393823208752E-2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5658.2322584498352</v>
      </c>
      <c r="D138" s="465">
        <f>IF(LN_ID18=0,0,LN_ID15/LN_ID18)</f>
        <v>5621.8934851947633</v>
      </c>
      <c r="E138" s="465">
        <f t="shared" si="14"/>
        <v>-36.338773255071828</v>
      </c>
      <c r="F138" s="449">
        <f t="shared" si="15"/>
        <v>-6.4222837796742245E-3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8734.7135029925885</v>
      </c>
      <c r="D139" s="465">
        <f>LN_IB18-LN_ID19</f>
        <v>7935.8527323367289</v>
      </c>
      <c r="E139" s="465">
        <f t="shared" si="14"/>
        <v>-798.8607706558596</v>
      </c>
      <c r="F139" s="449">
        <f t="shared" si="15"/>
        <v>-9.1458153765680228E-2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924.23444010297681</v>
      </c>
      <c r="D140" s="465">
        <f>LN_IA16-LN_ID19</f>
        <v>638.97305045084067</v>
      </c>
      <c r="E140" s="465">
        <f t="shared" si="14"/>
        <v>-285.26138965213613</v>
      </c>
      <c r="F140" s="449">
        <f t="shared" si="15"/>
        <v>-0.30864613703461724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961482.22842617007</v>
      </c>
      <c r="D141" s="441">
        <f>LN_ID21*LN_ID18</f>
        <v>675721.91592595458</v>
      </c>
      <c r="E141" s="441">
        <f t="shared" si="14"/>
        <v>-285760.31250021548</v>
      </c>
      <c r="F141" s="449">
        <f t="shared" si="15"/>
        <v>-0.29720810645452128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44749210</v>
      </c>
      <c r="D144" s="448">
        <f>LN_ID1+LN_ID14</f>
        <v>47774630</v>
      </c>
      <c r="E144" s="448">
        <f>D144-C144</f>
        <v>3025420</v>
      </c>
      <c r="F144" s="449">
        <f>IF(C144=0,0,E144/C144)</f>
        <v>6.7608344370772136E-2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7431042</v>
      </c>
      <c r="D145" s="448">
        <f>LN_1D2+LN_ID15</f>
        <v>7895540</v>
      </c>
      <c r="E145" s="448">
        <f>D145-C145</f>
        <v>464498</v>
      </c>
      <c r="F145" s="449">
        <f>IF(C145=0,0,E145/C145)</f>
        <v>6.2507788275184023E-2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37318168</v>
      </c>
      <c r="D146" s="448">
        <f>LN_ID23-LN_ID24</f>
        <v>39879090</v>
      </c>
      <c r="E146" s="448">
        <f>D146-C146</f>
        <v>2560922</v>
      </c>
      <c r="F146" s="449">
        <f>IF(C146=0,0,E146/C146)</f>
        <v>6.8624001049569214E-2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1770853.6373007614</v>
      </c>
      <c r="D148" s="448">
        <f>LN_ID10+LN_ID22</f>
        <v>1129148.9193844558</v>
      </c>
      <c r="E148" s="448">
        <f>D148-C148</f>
        <v>-641704.71791630564</v>
      </c>
      <c r="F148" s="503">
        <f>IF(C148=0,0,E148/C148)</f>
        <v>-0.36237027408681244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8863.5332356080307</v>
      </c>
      <c r="D160" s="465">
        <f>LN_IB7-LN_IE7</f>
        <v>7895.885837507034</v>
      </c>
      <c r="E160" s="465">
        <f t="shared" si="16"/>
        <v>-967.64739810099672</v>
      </c>
      <c r="F160" s="449">
        <f t="shared" si="17"/>
        <v>-0.10917174589176309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5811.7034376038182</v>
      </c>
      <c r="D161" s="465">
        <f>LN_IA7-LN_IE7</f>
        <v>5145.4206537742821</v>
      </c>
      <c r="E161" s="465">
        <f t="shared" si="16"/>
        <v>-666.28278382953613</v>
      </c>
      <c r="F161" s="449">
        <f t="shared" si="17"/>
        <v>-0.11464500743765521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14392.945761442423</v>
      </c>
      <c r="D174" s="465">
        <f>LN_IB18-LN_IE19</f>
        <v>13557.746217531492</v>
      </c>
      <c r="E174" s="465">
        <f t="shared" si="18"/>
        <v>-835.19954391093052</v>
      </c>
      <c r="F174" s="449">
        <f t="shared" si="19"/>
        <v>-5.8028395142595814E-2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6582.466698552812</v>
      </c>
      <c r="D175" s="465">
        <f>LN_IA16-LN_IE19</f>
        <v>6260.866535645604</v>
      </c>
      <c r="E175" s="465">
        <f t="shared" si="18"/>
        <v>-321.60016290720796</v>
      </c>
      <c r="F175" s="449">
        <f t="shared" si="19"/>
        <v>-4.8857089239496394E-2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9112209</v>
      </c>
      <c r="D188" s="448">
        <f>LN_ID1+LN_IE1</f>
        <v>10420249</v>
      </c>
      <c r="E188" s="448">
        <f t="shared" ref="E188:E200" si="20">D188-C188</f>
        <v>1308040</v>
      </c>
      <c r="F188" s="449">
        <f t="shared" ref="F188:F200" si="21">IF(C188=0,0,E188/C188)</f>
        <v>0.143548068311427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1544776</v>
      </c>
      <c r="D189" s="448">
        <f>LN_1D2+LN_IE2</f>
        <v>1950318</v>
      </c>
      <c r="E189" s="448">
        <f t="shared" si="20"/>
        <v>405542</v>
      </c>
      <c r="F189" s="449">
        <f t="shared" si="21"/>
        <v>0.26252479323863137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0.16952815722290829</v>
      </c>
      <c r="D190" s="453">
        <f>IF(LN_IF1=0,0,LN_IF2/LN_IF1)</f>
        <v>0.18716616080863327</v>
      </c>
      <c r="E190" s="454">
        <f t="shared" si="20"/>
        <v>1.7638003585724982E-2</v>
      </c>
      <c r="F190" s="449">
        <f t="shared" si="21"/>
        <v>0.1040417348637443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266</v>
      </c>
      <c r="D191" s="456">
        <f>LN_ID4+LN_IE4</f>
        <v>295</v>
      </c>
      <c r="E191" s="456">
        <f t="shared" si="20"/>
        <v>29</v>
      </c>
      <c r="F191" s="449">
        <f t="shared" si="21"/>
        <v>0.10902255639097744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1.5228200000000001</v>
      </c>
      <c r="D192" s="459">
        <f>IF((LN_ID4+LN_IE4)=0,0,(LN_ID6+LN_IE6)/(LN_ID4+LN_IE4))</f>
        <v>1.5835999999999999</v>
      </c>
      <c r="E192" s="460">
        <f t="shared" si="20"/>
        <v>6.0779999999999834E-2</v>
      </c>
      <c r="F192" s="449">
        <f t="shared" si="21"/>
        <v>3.9912793370194662E-2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405.07012000000003</v>
      </c>
      <c r="D193" s="463">
        <f>LN_IF4*LN_IF5</f>
        <v>467.16199999999998</v>
      </c>
      <c r="E193" s="463">
        <f t="shared" si="20"/>
        <v>62.091879999999946</v>
      </c>
      <c r="F193" s="449">
        <f t="shared" si="21"/>
        <v>0.15328674452709556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3813.6014574464289</v>
      </c>
      <c r="D194" s="465">
        <f>IF(LN_IF6=0,0,LN_IF2/LN_IF6)</f>
        <v>4174.8215822348566</v>
      </c>
      <c r="E194" s="465">
        <f t="shared" si="20"/>
        <v>361.22012478842771</v>
      </c>
      <c r="F194" s="449">
        <f t="shared" si="21"/>
        <v>9.4718897299325852E-2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5049.9317781616019</v>
      </c>
      <c r="D195" s="465">
        <f>LN_IB7-LN_IF7</f>
        <v>3721.0642552721774</v>
      </c>
      <c r="E195" s="465">
        <f t="shared" si="20"/>
        <v>-1328.8675228894244</v>
      </c>
      <c r="F195" s="449">
        <f t="shared" si="21"/>
        <v>-0.26314563864725926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1998.1019801573893</v>
      </c>
      <c r="D196" s="465">
        <f>LN_IA7-LN_IF7</f>
        <v>970.59907153942549</v>
      </c>
      <c r="E196" s="465">
        <f t="shared" si="20"/>
        <v>-1027.5029086179638</v>
      </c>
      <c r="F196" s="449">
        <f t="shared" si="21"/>
        <v>-0.51423947267047299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809371.40887459135</v>
      </c>
      <c r="D197" s="479">
        <f>LN_IF9*LN_IF6</f>
        <v>453427.00345850107</v>
      </c>
      <c r="E197" s="479">
        <f t="shared" si="20"/>
        <v>-355944.40541609027</v>
      </c>
      <c r="F197" s="449">
        <f t="shared" si="21"/>
        <v>-0.4397788228163646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1250</v>
      </c>
      <c r="D198" s="456">
        <f>LN_ID11+LN_IE11</f>
        <v>1399</v>
      </c>
      <c r="E198" s="456">
        <f t="shared" si="20"/>
        <v>149</v>
      </c>
      <c r="F198" s="449">
        <f t="shared" si="21"/>
        <v>0.1192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1235.8208</v>
      </c>
      <c r="D199" s="519">
        <f>IF(LN_IF11=0,0,LN_IF2/LN_IF11)</f>
        <v>1394.0800571837026</v>
      </c>
      <c r="E199" s="519">
        <f t="shared" si="20"/>
        <v>158.25925718370263</v>
      </c>
      <c r="F199" s="449">
        <f t="shared" si="21"/>
        <v>0.1280600368465255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4.6992481203007515</v>
      </c>
      <c r="D200" s="466">
        <f>IF(LN_IF4=0,0,LN_IF11/LN_IF4)</f>
        <v>4.7423728813559318</v>
      </c>
      <c r="E200" s="466">
        <f t="shared" si="20"/>
        <v>4.3124761055180372E-2</v>
      </c>
      <c r="F200" s="449">
        <f t="shared" si="21"/>
        <v>9.1769491525423835E-3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35637001</v>
      </c>
      <c r="D203" s="448">
        <f>LN_ID14+LN_IE14</f>
        <v>37354381</v>
      </c>
      <c r="E203" s="448">
        <f t="shared" ref="E203:E211" si="22">D203-C203</f>
        <v>1717380</v>
      </c>
      <c r="F203" s="449">
        <f t="shared" ref="F203:F211" si="23">IF(C203=0,0,E203/C203)</f>
        <v>4.8190923809778491E-2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5886266</v>
      </c>
      <c r="D204" s="448">
        <f>LN_ID15+LN_IE15</f>
        <v>5945222</v>
      </c>
      <c r="E204" s="448">
        <f t="shared" si="22"/>
        <v>58956</v>
      </c>
      <c r="F204" s="449">
        <f t="shared" si="23"/>
        <v>1.0015857251439197E-2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0.16517287748203055</v>
      </c>
      <c r="D205" s="453">
        <f>IF(LN_IF14=0,0,LN_IF15/LN_IF14)</f>
        <v>0.15915728867251205</v>
      </c>
      <c r="E205" s="454">
        <f t="shared" si="22"/>
        <v>-6.0155888095184962E-3</v>
      </c>
      <c r="F205" s="449">
        <f t="shared" si="23"/>
        <v>-3.6419955268823981E-2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3.9109068942558274</v>
      </c>
      <c r="D206" s="453">
        <f>IF(LN_IF1=0,0,LN_IF14/LN_IF1)</f>
        <v>3.5847877531525398</v>
      </c>
      <c r="E206" s="454">
        <f t="shared" si="22"/>
        <v>-0.32611914110328755</v>
      </c>
      <c r="F206" s="449">
        <f t="shared" si="23"/>
        <v>-8.3387088959411784E-2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1040.30123387205</v>
      </c>
      <c r="D207" s="463">
        <f>LN_ID18+LN_IE18</f>
        <v>1057.5123871799992</v>
      </c>
      <c r="E207" s="463">
        <f t="shared" si="22"/>
        <v>17.211153307949189</v>
      </c>
      <c r="F207" s="449">
        <f t="shared" si="23"/>
        <v>1.6544393823208752E-2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5658.2322584498352</v>
      </c>
      <c r="D208" s="465">
        <f>IF(LN_IF18=0,0,LN_IF15/LN_IF18)</f>
        <v>5621.8934851947633</v>
      </c>
      <c r="E208" s="465">
        <f t="shared" si="22"/>
        <v>-36.338773255071828</v>
      </c>
      <c r="F208" s="449">
        <f t="shared" si="23"/>
        <v>-6.4222837796742245E-3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8734.7135029925885</v>
      </c>
      <c r="D209" s="465">
        <f>LN_IB18-LN_IF19</f>
        <v>7935.8527323367289</v>
      </c>
      <c r="E209" s="465">
        <f t="shared" si="22"/>
        <v>-798.8607706558596</v>
      </c>
      <c r="F209" s="449">
        <f t="shared" si="23"/>
        <v>-9.1458153765680228E-2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924.23444010297681</v>
      </c>
      <c r="D210" s="465">
        <f>LN_IA16-LN_IF19</f>
        <v>638.97305045084067</v>
      </c>
      <c r="E210" s="465">
        <f t="shared" si="22"/>
        <v>-285.26138965213613</v>
      </c>
      <c r="F210" s="449">
        <f t="shared" si="23"/>
        <v>-0.30864613703461724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961482.22842617007</v>
      </c>
      <c r="D211" s="441">
        <f>LN_IF21*LN_IF18</f>
        <v>675721.91592595458</v>
      </c>
      <c r="E211" s="441">
        <f t="shared" si="22"/>
        <v>-285760.31250021548</v>
      </c>
      <c r="F211" s="449">
        <f t="shared" si="23"/>
        <v>-0.29720810645452128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44749210</v>
      </c>
      <c r="D214" s="448">
        <f>LN_IF1+LN_IF14</f>
        <v>47774630</v>
      </c>
      <c r="E214" s="448">
        <f>D214-C214</f>
        <v>3025420</v>
      </c>
      <c r="F214" s="449">
        <f>IF(C214=0,0,E214/C214)</f>
        <v>6.7608344370772136E-2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7431042</v>
      </c>
      <c r="D215" s="448">
        <f>LN_IF2+LN_IF15</f>
        <v>7895540</v>
      </c>
      <c r="E215" s="448">
        <f>D215-C215</f>
        <v>464498</v>
      </c>
      <c r="F215" s="449">
        <f>IF(C215=0,0,E215/C215)</f>
        <v>6.2507788275184023E-2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37318168</v>
      </c>
      <c r="D216" s="448">
        <f>LN_IF23-LN_IF24</f>
        <v>39879090</v>
      </c>
      <c r="E216" s="448">
        <f>D216-C216</f>
        <v>2560922</v>
      </c>
      <c r="F216" s="449">
        <f>IF(C216=0,0,E216/C216)</f>
        <v>6.8624001049569214E-2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339163</v>
      </c>
      <c r="D221" s="448">
        <v>302370</v>
      </c>
      <c r="E221" s="448">
        <f t="shared" ref="E221:E230" si="24">D221-C221</f>
        <v>-36793</v>
      </c>
      <c r="F221" s="449">
        <f t="shared" ref="F221:F230" si="25">IF(C221=0,0,E221/C221)</f>
        <v>-0.10848176245640002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40842</v>
      </c>
      <c r="D222" s="448">
        <v>149640</v>
      </c>
      <c r="E222" s="448">
        <f t="shared" si="24"/>
        <v>108798</v>
      </c>
      <c r="F222" s="449">
        <f t="shared" si="25"/>
        <v>2.6638754223593359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0.1204199750562414</v>
      </c>
      <c r="D223" s="453">
        <f>IF(LN_IG1=0,0,LN_IG2/LN_IG1)</f>
        <v>0.49489036610774878</v>
      </c>
      <c r="E223" s="454">
        <f t="shared" si="24"/>
        <v>0.37447039105150737</v>
      </c>
      <c r="F223" s="449">
        <f t="shared" si="25"/>
        <v>3.1097032770237107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9</v>
      </c>
      <c r="D224" s="456">
        <v>1</v>
      </c>
      <c r="E224" s="456">
        <f t="shared" si="24"/>
        <v>-8</v>
      </c>
      <c r="F224" s="449">
        <f t="shared" si="25"/>
        <v>-0.88888888888888884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1.0293000000000001</v>
      </c>
      <c r="D225" s="459">
        <v>1.6971000000000001</v>
      </c>
      <c r="E225" s="460">
        <f t="shared" si="24"/>
        <v>0.66779999999999995</v>
      </c>
      <c r="F225" s="449">
        <f t="shared" si="25"/>
        <v>0.64879044010492559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9.2637</v>
      </c>
      <c r="D226" s="463">
        <f>LN_IG3*LN_IG4</f>
        <v>1.6971000000000001</v>
      </c>
      <c r="E226" s="463">
        <f t="shared" si="24"/>
        <v>-7.5666000000000002</v>
      </c>
      <c r="F226" s="449">
        <f t="shared" si="25"/>
        <v>-0.81680106221056381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4408.821529194598</v>
      </c>
      <c r="D227" s="465">
        <f>IF(LN_IG5=0,0,LN_IG2/LN_IG5)</f>
        <v>88173.943786459247</v>
      </c>
      <c r="E227" s="465">
        <f t="shared" si="24"/>
        <v>83765.122257264651</v>
      </c>
      <c r="F227" s="449">
        <f t="shared" si="25"/>
        <v>18.999435949625937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62</v>
      </c>
      <c r="D228" s="456">
        <v>13</v>
      </c>
      <c r="E228" s="456">
        <f t="shared" si="24"/>
        <v>-49</v>
      </c>
      <c r="F228" s="449">
        <f t="shared" si="25"/>
        <v>-0.79032258064516125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658.74193548387098</v>
      </c>
      <c r="D229" s="465">
        <f>IF(LN_IG6=0,0,LN_IG2/LN_IG6)</f>
        <v>11510.76923076923</v>
      </c>
      <c r="E229" s="465">
        <f t="shared" si="24"/>
        <v>10852.027295285359</v>
      </c>
      <c r="F229" s="449">
        <f t="shared" si="25"/>
        <v>16.473867398944524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6.8888888888888893</v>
      </c>
      <c r="D230" s="466">
        <f>IF(LN_IG3=0,0,LN_IG6/LN_IG3)</f>
        <v>13</v>
      </c>
      <c r="E230" s="466">
        <f t="shared" si="24"/>
        <v>6.1111111111111107</v>
      </c>
      <c r="F230" s="449">
        <f t="shared" si="25"/>
        <v>0.88709677419354827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1100397</v>
      </c>
      <c r="D233" s="448">
        <v>861643</v>
      </c>
      <c r="E233" s="448">
        <f>D233-C233</f>
        <v>-238754</v>
      </c>
      <c r="F233" s="449">
        <f>IF(C233=0,0,E233/C233)</f>
        <v>-0.21697078418061844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184187</v>
      </c>
      <c r="D234" s="448">
        <v>292819</v>
      </c>
      <c r="E234" s="448">
        <f>D234-C234</f>
        <v>108632</v>
      </c>
      <c r="F234" s="449">
        <f>IF(C234=0,0,E234/C234)</f>
        <v>0.58979189627932482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1439560</v>
      </c>
      <c r="D237" s="448">
        <f>LN_IG1+LN_IG9</f>
        <v>1164013</v>
      </c>
      <c r="E237" s="448">
        <f>D237-C237</f>
        <v>-275547</v>
      </c>
      <c r="F237" s="449">
        <f>IF(C237=0,0,E237/C237)</f>
        <v>-0.19141056989635721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225029</v>
      </c>
      <c r="D238" s="448">
        <f>LN_IG2+LN_IG10</f>
        <v>442459</v>
      </c>
      <c r="E238" s="448">
        <f>D238-C238</f>
        <v>217430</v>
      </c>
      <c r="F238" s="449">
        <f>IF(C238=0,0,E238/C238)</f>
        <v>0.96623101911309206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1214531</v>
      </c>
      <c r="D239" s="448">
        <f>LN_IG13-LN_IG14</f>
        <v>721554</v>
      </c>
      <c r="E239" s="448">
        <f>D239-C239</f>
        <v>-492977</v>
      </c>
      <c r="F239" s="449">
        <f>IF(C239=0,0,E239/C239)</f>
        <v>-0.40589906721195262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2225773</v>
      </c>
      <c r="D243" s="448">
        <v>1294537</v>
      </c>
      <c r="E243" s="441">
        <f>D243-C243</f>
        <v>-931236</v>
      </c>
      <c r="F243" s="503">
        <f>IF(C243=0,0,E243/C243)</f>
        <v>-0.41838767924671566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68867915</v>
      </c>
      <c r="D244" s="448">
        <v>69446518</v>
      </c>
      <c r="E244" s="441">
        <f>D244-C244</f>
        <v>578603</v>
      </c>
      <c r="F244" s="503">
        <f>IF(C244=0,0,E244/C244)</f>
        <v>8.4016337651575488E-3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797362</v>
      </c>
      <c r="D248" s="441">
        <v>1508204</v>
      </c>
      <c r="E248" s="441">
        <f>D248-C248</f>
        <v>710842</v>
      </c>
      <c r="F248" s="449">
        <f>IF(C248=0,0,E248/C248)</f>
        <v>0.89149219551470971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3610628</v>
      </c>
      <c r="D249" s="441">
        <v>1985773</v>
      </c>
      <c r="E249" s="441">
        <f>D249-C249</f>
        <v>-1624855</v>
      </c>
      <c r="F249" s="449">
        <f>IF(C249=0,0,E249/C249)</f>
        <v>-0.45002005191340677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4407990</v>
      </c>
      <c r="D250" s="441">
        <f>LN_IH4+LN_IH5</f>
        <v>3493977</v>
      </c>
      <c r="E250" s="441">
        <f>D250-C250</f>
        <v>-914013</v>
      </c>
      <c r="F250" s="449">
        <f>IF(C250=0,0,E250/C250)</f>
        <v>-0.2073536918187201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1178018.8560358444</v>
      </c>
      <c r="D251" s="441">
        <f>LN_IH6*LN_III10</f>
        <v>934599.26487950608</v>
      </c>
      <c r="E251" s="441">
        <f>D251-C251</f>
        <v>-243419.59115633834</v>
      </c>
      <c r="F251" s="449">
        <f>IF(C251=0,0,E251/C251)</f>
        <v>-0.20663471548789167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44749210</v>
      </c>
      <c r="D254" s="441">
        <f>LN_IF23</f>
        <v>47774630</v>
      </c>
      <c r="E254" s="441">
        <f>D254-C254</f>
        <v>3025420</v>
      </c>
      <c r="F254" s="449">
        <f>IF(C254=0,0,E254/C254)</f>
        <v>6.7608344370772136E-2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7431042</v>
      </c>
      <c r="D255" s="441">
        <f>LN_IF24</f>
        <v>7895540</v>
      </c>
      <c r="E255" s="441">
        <f>D255-C255</f>
        <v>464498</v>
      </c>
      <c r="F255" s="449">
        <f>IF(C255=0,0,E255/C255)</f>
        <v>6.2507788275184023E-2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11959059.156828344</v>
      </c>
      <c r="D256" s="441">
        <f>LN_IH8*LN_III10</f>
        <v>12779172.295035256</v>
      </c>
      <c r="E256" s="441">
        <f>D256-C256</f>
        <v>820113.1382069122</v>
      </c>
      <c r="F256" s="449">
        <f>IF(C256=0,0,E256/C256)</f>
        <v>6.8576727270275833E-2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4528017.1568283439</v>
      </c>
      <c r="D257" s="441">
        <f>LN_IH10-LN_IH9</f>
        <v>4883632.2950352561</v>
      </c>
      <c r="E257" s="441">
        <f>D257-C257</f>
        <v>355615.1382069122</v>
      </c>
      <c r="F257" s="449">
        <f>IF(C257=0,0,E257/C257)</f>
        <v>7.8536614568837745E-2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74614647</v>
      </c>
      <c r="D261" s="448">
        <f>LN_IA1+LN_IB1+LN_IF1+LN_IG1</f>
        <v>70772578</v>
      </c>
      <c r="E261" s="448">
        <f t="shared" ref="E261:E274" si="26">D261-C261</f>
        <v>-3842069</v>
      </c>
      <c r="F261" s="503">
        <f t="shared" ref="F261:F274" si="27">IF(C261=0,0,E261/C261)</f>
        <v>-5.1492155420905496E-2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22242709</v>
      </c>
      <c r="D262" s="448">
        <f>+LN_IA2+LN_IB2+LN_IF2+LN_IG2</f>
        <v>19442071</v>
      </c>
      <c r="E262" s="448">
        <f t="shared" si="26"/>
        <v>-2800638</v>
      </c>
      <c r="F262" s="503">
        <f t="shared" si="27"/>
        <v>-0.12591263051636381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0.29810110875415652</v>
      </c>
      <c r="D263" s="453">
        <f>IF(LN_IIA1=0,0,LN_IIA2/LN_IIA1)</f>
        <v>0.27471192302758846</v>
      </c>
      <c r="E263" s="454">
        <f t="shared" si="26"/>
        <v>-2.3389185726568062E-2</v>
      </c>
      <c r="F263" s="458">
        <f t="shared" si="27"/>
        <v>-7.8460579446744311E-2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2112</v>
      </c>
      <c r="D264" s="456">
        <f>LN_IA4+LN_IB4+LN_IF4+LN_IG3</f>
        <v>2052</v>
      </c>
      <c r="E264" s="456">
        <f t="shared" si="26"/>
        <v>-60</v>
      </c>
      <c r="F264" s="503">
        <f t="shared" si="27"/>
        <v>-2.8409090909090908E-2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1.6986523674242422</v>
      </c>
      <c r="D265" s="525">
        <f>IF(LN_IIA4=0,0,LN_IIA6/LN_IIA4)</f>
        <v>1.6672093079922028</v>
      </c>
      <c r="E265" s="525">
        <f t="shared" si="26"/>
        <v>-3.14430594320394E-2</v>
      </c>
      <c r="F265" s="503">
        <f t="shared" si="27"/>
        <v>-1.8510591122136544E-2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3587.5537999999997</v>
      </c>
      <c r="D266" s="463">
        <f>LN_IA6+LN_IB6+LN_IF6+LN_IG5</f>
        <v>3421.1134999999999</v>
      </c>
      <c r="E266" s="463">
        <f t="shared" si="26"/>
        <v>-166.44029999999975</v>
      </c>
      <c r="F266" s="503">
        <f t="shared" si="27"/>
        <v>-4.6393812965257769E-2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152882315</v>
      </c>
      <c r="D267" s="448">
        <f>LN_IA11+LN_IB13+LN_IF14+LN_IG9</f>
        <v>157592428</v>
      </c>
      <c r="E267" s="448">
        <f t="shared" si="26"/>
        <v>4710113</v>
      </c>
      <c r="F267" s="503">
        <f t="shared" si="27"/>
        <v>3.0808749854422338E-2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2.0489584973845685</v>
      </c>
      <c r="D268" s="453">
        <f>IF(LN_IIA1=0,0,LN_IIA7/LN_IIA1)</f>
        <v>2.2267442059267646</v>
      </c>
      <c r="E268" s="454">
        <f t="shared" si="26"/>
        <v>0.17778570854219611</v>
      </c>
      <c r="F268" s="458">
        <f t="shared" si="27"/>
        <v>8.6768818777507695E-2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42962994</v>
      </c>
      <c r="D269" s="448">
        <f>LN_IA12+LN_IB14+LN_IF15+LN_IG10</f>
        <v>44170735</v>
      </c>
      <c r="E269" s="448">
        <f t="shared" si="26"/>
        <v>1207741</v>
      </c>
      <c r="F269" s="503">
        <f t="shared" si="27"/>
        <v>2.811119262312119E-2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0.28102003819081361</v>
      </c>
      <c r="D270" s="453">
        <f>IF(LN_IIA7=0,0,LN_IIA9/LN_IIA7)</f>
        <v>0.28028462763452061</v>
      </c>
      <c r="E270" s="454">
        <f t="shared" si="26"/>
        <v>-7.3541055629300356E-4</v>
      </c>
      <c r="F270" s="458">
        <f t="shared" si="27"/>
        <v>-2.6169328031820176E-3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227496962</v>
      </c>
      <c r="D271" s="441">
        <f>LN_IIA1+LN_IIA7</f>
        <v>228365006</v>
      </c>
      <c r="E271" s="441">
        <f t="shared" si="26"/>
        <v>868044</v>
      </c>
      <c r="F271" s="503">
        <f t="shared" si="27"/>
        <v>3.8156289753003385E-3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65205703</v>
      </c>
      <c r="D272" s="441">
        <f>LN_IIA2+LN_IIA9</f>
        <v>63612806</v>
      </c>
      <c r="E272" s="441">
        <f t="shared" si="26"/>
        <v>-1592897</v>
      </c>
      <c r="F272" s="503">
        <f t="shared" si="27"/>
        <v>-2.4428798812275668E-2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0.28662230223540303</v>
      </c>
      <c r="D273" s="453">
        <f>IF(LN_IIA11=0,0,LN_IIA12/LN_IIA11)</f>
        <v>0.27855759126247215</v>
      </c>
      <c r="E273" s="454">
        <f t="shared" si="26"/>
        <v>-8.0647109729308775E-3</v>
      </c>
      <c r="F273" s="458">
        <f t="shared" si="27"/>
        <v>-2.8137067178768689E-2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9873</v>
      </c>
      <c r="D274" s="508">
        <f>LN_IA8+LN_IB10+LN_IF11+LN_IG6</f>
        <v>10010</v>
      </c>
      <c r="E274" s="528">
        <f t="shared" si="26"/>
        <v>137</v>
      </c>
      <c r="F274" s="458">
        <f t="shared" si="27"/>
        <v>1.3876228096829738E-2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60780009</v>
      </c>
      <c r="D277" s="448">
        <f>LN_IA1+LN_IF1+LN_IG1</f>
        <v>56544004</v>
      </c>
      <c r="E277" s="448">
        <f t="shared" ref="E277:E291" si="28">D277-C277</f>
        <v>-4236005</v>
      </c>
      <c r="F277" s="503">
        <f t="shared" ref="F277:F291" si="29">IF(C277=0,0,E277/C277)</f>
        <v>-6.969405022628411E-2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15808803</v>
      </c>
      <c r="D278" s="448">
        <f>LN_IA2+LN_IF2+LN_IG2</f>
        <v>13265598</v>
      </c>
      <c r="E278" s="448">
        <f t="shared" si="28"/>
        <v>-2543205</v>
      </c>
      <c r="F278" s="503">
        <f t="shared" si="29"/>
        <v>-0.16087271123563246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0.26009872752733548</v>
      </c>
      <c r="D279" s="453">
        <f>IF(D277=0,0,LN_IIB2/D277)</f>
        <v>0.23460662601820698</v>
      </c>
      <c r="E279" s="454">
        <f t="shared" si="28"/>
        <v>-2.5492101509128506E-2</v>
      </c>
      <c r="F279" s="458">
        <f t="shared" si="29"/>
        <v>-9.8009328040443308E-2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1703</v>
      </c>
      <c r="D280" s="456">
        <f>LN_IA4+LN_IF4+LN_IG3</f>
        <v>1606</v>
      </c>
      <c r="E280" s="456">
        <f t="shared" si="28"/>
        <v>-97</v>
      </c>
      <c r="F280" s="503">
        <f t="shared" si="29"/>
        <v>-5.695830886670581E-2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1.6803692190252493</v>
      </c>
      <c r="D281" s="525">
        <f>IF(LN_IIB4=0,0,LN_IIB6/LN_IIB4)</f>
        <v>1.6431345579078456</v>
      </c>
      <c r="E281" s="525">
        <f t="shared" si="28"/>
        <v>-3.72346611174037E-2</v>
      </c>
      <c r="F281" s="503">
        <f t="shared" si="29"/>
        <v>-2.2158618889128921E-2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2861.6687799999995</v>
      </c>
      <c r="D282" s="463">
        <f>LN_IA6+LN_IF6+LN_IG5</f>
        <v>2638.8741</v>
      </c>
      <c r="E282" s="463">
        <f t="shared" si="28"/>
        <v>-222.79467999999952</v>
      </c>
      <c r="F282" s="503">
        <f t="shared" si="29"/>
        <v>-7.7854810297088101E-2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88424594</v>
      </c>
      <c r="D283" s="448">
        <f>LN_IA11+LN_IF14+LN_IG9</f>
        <v>90248965</v>
      </c>
      <c r="E283" s="448">
        <f t="shared" si="28"/>
        <v>1824371</v>
      </c>
      <c r="F283" s="503">
        <f t="shared" si="29"/>
        <v>2.0631940928108758E-2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1.4548302222199407</v>
      </c>
      <c r="D284" s="453">
        <f>IF(D277=0,0,LN_IIB7/D277)</f>
        <v>1.5960837332991133</v>
      </c>
      <c r="E284" s="454">
        <f t="shared" si="28"/>
        <v>0.14125351107917261</v>
      </c>
      <c r="F284" s="458">
        <f t="shared" si="29"/>
        <v>9.7092780258326225E-2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15535878</v>
      </c>
      <c r="D285" s="448">
        <f>LN_IA12+LN_IF15+LN_IG10</f>
        <v>15551605</v>
      </c>
      <c r="E285" s="448">
        <f t="shared" si="28"/>
        <v>15727</v>
      </c>
      <c r="F285" s="503">
        <f t="shared" si="29"/>
        <v>1.0123019761097507E-3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0.17569634529506575</v>
      </c>
      <c r="D286" s="453">
        <f>IF(LN_IIB7=0,0,LN_IIB9/LN_IIB7)</f>
        <v>0.17231892908688759</v>
      </c>
      <c r="E286" s="454">
        <f t="shared" si="28"/>
        <v>-3.3774162081781633E-3</v>
      </c>
      <c r="F286" s="458">
        <f t="shared" si="29"/>
        <v>-1.9223030521813674E-2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149204603</v>
      </c>
      <c r="D287" s="441">
        <f>D277+LN_IIB7</f>
        <v>146792969</v>
      </c>
      <c r="E287" s="441">
        <f t="shared" si="28"/>
        <v>-2411634</v>
      </c>
      <c r="F287" s="503">
        <f t="shared" si="29"/>
        <v>-1.6163268099711373E-2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31344681</v>
      </c>
      <c r="D288" s="441">
        <f>LN_IIB2+LN_IIB9</f>
        <v>28817203</v>
      </c>
      <c r="E288" s="441">
        <f t="shared" si="28"/>
        <v>-2527478</v>
      </c>
      <c r="F288" s="503">
        <f t="shared" si="29"/>
        <v>-8.0634988756146539E-2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0.21007851212204223</v>
      </c>
      <c r="D289" s="453">
        <f>IF(LN_IIB11=0,0,LN_IIB12/LN_IIB11)</f>
        <v>0.1963118751280247</v>
      </c>
      <c r="E289" s="454">
        <f t="shared" si="28"/>
        <v>-1.3766636994017534E-2</v>
      </c>
      <c r="F289" s="458">
        <f t="shared" si="29"/>
        <v>-6.5530914394614503E-2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8336</v>
      </c>
      <c r="D290" s="508">
        <f>LN_IA8+LN_IF11+LN_IG6</f>
        <v>8151</v>
      </c>
      <c r="E290" s="528">
        <f t="shared" si="28"/>
        <v>-185</v>
      </c>
      <c r="F290" s="458">
        <f t="shared" si="29"/>
        <v>-2.2192898272552782E-2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117859922</v>
      </c>
      <c r="D291" s="516">
        <f>LN_IIB11-LN_IIB12</f>
        <v>117975766</v>
      </c>
      <c r="E291" s="441">
        <f t="shared" si="28"/>
        <v>115844</v>
      </c>
      <c r="F291" s="503">
        <f t="shared" si="29"/>
        <v>9.8289561060459544E-4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4.9187675070028014</v>
      </c>
      <c r="D294" s="466">
        <f>IF(LN_IA4=0,0,LN_IA8/LN_IA4)</f>
        <v>5.1442748091603052</v>
      </c>
      <c r="E294" s="466">
        <f t="shared" ref="E294:E300" si="30">D294-C294</f>
        <v>0.22550730215750381</v>
      </c>
      <c r="F294" s="503">
        <f t="shared" ref="F294:F300" si="31">IF(C294=0,0,E294/C294)</f>
        <v>4.5846302317897984E-2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3.7579462102689485</v>
      </c>
      <c r="D295" s="466">
        <f>IF(LN_IB4=0,0,(LN_IB10)/(LN_IB4))</f>
        <v>4.1681614349775788</v>
      </c>
      <c r="E295" s="466">
        <f t="shared" si="30"/>
        <v>0.41021522470863037</v>
      </c>
      <c r="F295" s="503">
        <f t="shared" si="31"/>
        <v>0.10915941893677933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3.3125</v>
      </c>
      <c r="D296" s="466">
        <f>IF(LN_IC4=0,0,LN_IC11/LN_IC4)</f>
        <v>5.6875</v>
      </c>
      <c r="E296" s="466">
        <f t="shared" si="30"/>
        <v>2.375</v>
      </c>
      <c r="F296" s="503">
        <f t="shared" si="31"/>
        <v>0.71698113207547165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4.6992481203007515</v>
      </c>
      <c r="D297" s="466">
        <f>IF(LN_ID4=0,0,LN_ID11/LN_ID4)</f>
        <v>4.7423728813559318</v>
      </c>
      <c r="E297" s="466">
        <f t="shared" si="30"/>
        <v>4.3124761055180372E-2</v>
      </c>
      <c r="F297" s="503">
        <f t="shared" si="31"/>
        <v>9.1769491525423835E-3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6.8888888888888893</v>
      </c>
      <c r="D299" s="466">
        <f>IF(LN_IG3=0,0,LN_IG6/LN_IG3)</f>
        <v>13</v>
      </c>
      <c r="E299" s="466">
        <f t="shared" si="30"/>
        <v>6.1111111111111107</v>
      </c>
      <c r="F299" s="503">
        <f t="shared" si="31"/>
        <v>0.88709677419354827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4.6747159090909092</v>
      </c>
      <c r="D300" s="466">
        <f>IF(LN_IIA4=0,0,LN_IIA14/LN_IIA4)</f>
        <v>4.8781676413255362</v>
      </c>
      <c r="E300" s="466">
        <f t="shared" si="30"/>
        <v>0.20345173223462698</v>
      </c>
      <c r="F300" s="503">
        <f t="shared" si="31"/>
        <v>4.3521731842351079E-2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227496962</v>
      </c>
      <c r="D304" s="441">
        <f>LN_IIA11</f>
        <v>228365006</v>
      </c>
      <c r="E304" s="441">
        <f t="shared" ref="E304:E316" si="32">D304-C304</f>
        <v>868044</v>
      </c>
      <c r="F304" s="449">
        <f>IF(C304=0,0,E304/C304)</f>
        <v>3.8156289753003385E-3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117859922</v>
      </c>
      <c r="D305" s="441">
        <f>LN_IIB14</f>
        <v>117975766</v>
      </c>
      <c r="E305" s="441">
        <f t="shared" si="32"/>
        <v>115844</v>
      </c>
      <c r="F305" s="449">
        <f>IF(C305=0,0,E305/C305)</f>
        <v>9.8289561060459544E-4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4407990</v>
      </c>
      <c r="D306" s="441">
        <f>LN_IH6</f>
        <v>3493977</v>
      </c>
      <c r="E306" s="441">
        <f t="shared" si="32"/>
        <v>-914013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44431337</v>
      </c>
      <c r="D307" s="441">
        <f>LN_IB32-LN_IB33</f>
        <v>45810211</v>
      </c>
      <c r="E307" s="441">
        <f t="shared" si="32"/>
        <v>1378874</v>
      </c>
      <c r="F307" s="449">
        <f t="shared" ref="F307:F316" si="33">IF(C307=0,0,E307/C307)</f>
        <v>3.103381741584774E-2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166699249</v>
      </c>
      <c r="D309" s="441">
        <f>LN_III2+LN_III3+LN_III4+LN_III5</f>
        <v>167279954</v>
      </c>
      <c r="E309" s="441">
        <f t="shared" si="32"/>
        <v>580705</v>
      </c>
      <c r="F309" s="449">
        <f t="shared" si="33"/>
        <v>3.4835489870743211E-3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60797713</v>
      </c>
      <c r="D310" s="441">
        <f>LN_III1-LN_III6</f>
        <v>61085052</v>
      </c>
      <c r="E310" s="441">
        <f t="shared" si="32"/>
        <v>287339</v>
      </c>
      <c r="F310" s="449">
        <f t="shared" si="33"/>
        <v>4.7261481694220965E-3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60797713</v>
      </c>
      <c r="D312" s="441">
        <f>LN_III7+LN_III8</f>
        <v>61085052</v>
      </c>
      <c r="E312" s="441">
        <f t="shared" si="32"/>
        <v>287339</v>
      </c>
      <c r="F312" s="449">
        <f t="shared" si="33"/>
        <v>4.7261481694220965E-3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0.26724626327097939</v>
      </c>
      <c r="D313" s="532">
        <f>IF(LN_III1=0,0,LN_III9/LN_III1)</f>
        <v>0.26748867118458597</v>
      </c>
      <c r="E313" s="532">
        <f t="shared" si="32"/>
        <v>2.4240791360657932E-4</v>
      </c>
      <c r="F313" s="449">
        <f t="shared" si="33"/>
        <v>9.0705819658471799E-4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1178018.8560358444</v>
      </c>
      <c r="D314" s="441">
        <f>D313*LN_III5</f>
        <v>934599.26487950608</v>
      </c>
      <c r="E314" s="441">
        <f t="shared" si="32"/>
        <v>-243419.59115633834</v>
      </c>
      <c r="F314" s="449">
        <f t="shared" si="33"/>
        <v>-0.20663471548789167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4528017.1568283439</v>
      </c>
      <c r="D315" s="441">
        <f>D313*LN_IH8-LN_IH9</f>
        <v>4883632.2950352561</v>
      </c>
      <c r="E315" s="441">
        <f t="shared" si="32"/>
        <v>355615.1382069122</v>
      </c>
      <c r="F315" s="449">
        <f t="shared" si="33"/>
        <v>7.8536614568837745E-2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5706036.0128641883</v>
      </c>
      <c r="D318" s="441">
        <f>D314+D315+D316</f>
        <v>5818231.5599147622</v>
      </c>
      <c r="E318" s="441">
        <f>D318-C318</f>
        <v>112195.54705057386</v>
      </c>
      <c r="F318" s="449">
        <f>IF(C318=0,0,E318/C318)</f>
        <v>1.9662607596171909E-2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961482.22842617007</v>
      </c>
      <c r="D322" s="441">
        <f>LN_ID22</f>
        <v>675721.91592595458</v>
      </c>
      <c r="E322" s="441">
        <f>LN_IV2-C322</f>
        <v>-285760.31250021548</v>
      </c>
      <c r="F322" s="449">
        <f>IF(C322=0,0,E322/C322)</f>
        <v>-0.29720810645452128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574380.48814034509</v>
      </c>
      <c r="D324" s="441">
        <f>LN_IC10+LN_IC22</f>
        <v>784372.45845986158</v>
      </c>
      <c r="E324" s="441">
        <f>LN_IV1-C324</f>
        <v>209991.97031951649</v>
      </c>
      <c r="F324" s="449">
        <f>IF(C324=0,0,E324/C324)</f>
        <v>0.36559732556271429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1535862.7165665152</v>
      </c>
      <c r="D325" s="516">
        <f>LN_IV1+LN_IV2+LN_IV3</f>
        <v>1460094.374385816</v>
      </c>
      <c r="E325" s="441">
        <f>LN_IV4-C325</f>
        <v>-75768.34218069911</v>
      </c>
      <c r="F325" s="449">
        <f>IF(C325=0,0,E325/C325)</f>
        <v>-4.9332756999325031E-2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-2203222</v>
      </c>
      <c r="D330" s="516">
        <v>-3640891</v>
      </c>
      <c r="E330" s="518">
        <f t="shared" si="34"/>
        <v>-1437669</v>
      </c>
      <c r="F330" s="543">
        <f t="shared" si="35"/>
        <v>0.65253024888095712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63002481</v>
      </c>
      <c r="D331" s="516">
        <v>59971916</v>
      </c>
      <c r="E331" s="518">
        <f t="shared" si="34"/>
        <v>-3030565</v>
      </c>
      <c r="F331" s="542">
        <f t="shared" si="35"/>
        <v>-4.8102312034346714E-2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227496962</v>
      </c>
      <c r="D333" s="516">
        <v>228365004</v>
      </c>
      <c r="E333" s="518">
        <f t="shared" si="34"/>
        <v>868042</v>
      </c>
      <c r="F333" s="542">
        <f t="shared" si="35"/>
        <v>3.8156201839741489E-3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4407990</v>
      </c>
      <c r="D335" s="516">
        <v>3493977</v>
      </c>
      <c r="E335" s="516">
        <f t="shared" si="34"/>
        <v>-914013</v>
      </c>
      <c r="F335" s="542">
        <f t="shared" si="35"/>
        <v>-0.2073536918187201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13834638</v>
      </c>
      <c r="D14" s="589">
        <v>14228574</v>
      </c>
      <c r="E14" s="590">
        <f t="shared" ref="E14:E22" si="0">D14-C14</f>
        <v>393936</v>
      </c>
    </row>
    <row r="15" spans="1:5" s="421" customFormat="1" x14ac:dyDescent="0.2">
      <c r="A15" s="588">
        <v>2</v>
      </c>
      <c r="B15" s="587" t="s">
        <v>636</v>
      </c>
      <c r="C15" s="589">
        <v>51328637</v>
      </c>
      <c r="D15" s="591">
        <v>45821385</v>
      </c>
      <c r="E15" s="590">
        <f t="shared" si="0"/>
        <v>-5507252</v>
      </c>
    </row>
    <row r="16" spans="1:5" s="421" customFormat="1" x14ac:dyDescent="0.2">
      <c r="A16" s="588">
        <v>3</v>
      </c>
      <c r="B16" s="587" t="s">
        <v>778</v>
      </c>
      <c r="C16" s="589">
        <v>9112209</v>
      </c>
      <c r="D16" s="591">
        <v>10420249</v>
      </c>
      <c r="E16" s="590">
        <f t="shared" si="0"/>
        <v>1308040</v>
      </c>
    </row>
    <row r="17" spans="1:5" s="421" customFormat="1" x14ac:dyDescent="0.2">
      <c r="A17" s="588">
        <v>4</v>
      </c>
      <c r="B17" s="587" t="s">
        <v>115</v>
      </c>
      <c r="C17" s="589">
        <v>9112209</v>
      </c>
      <c r="D17" s="591">
        <v>10420249</v>
      </c>
      <c r="E17" s="590">
        <f t="shared" si="0"/>
        <v>1308040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339163</v>
      </c>
      <c r="D19" s="591">
        <v>302370</v>
      </c>
      <c r="E19" s="590">
        <f t="shared" si="0"/>
        <v>-36793</v>
      </c>
    </row>
    <row r="20" spans="1:5" s="421" customFormat="1" x14ac:dyDescent="0.2">
      <c r="A20" s="588">
        <v>7</v>
      </c>
      <c r="B20" s="587" t="s">
        <v>759</v>
      </c>
      <c r="C20" s="589">
        <v>479270</v>
      </c>
      <c r="D20" s="591">
        <v>483246</v>
      </c>
      <c r="E20" s="590">
        <f t="shared" si="0"/>
        <v>3976</v>
      </c>
    </row>
    <row r="21" spans="1:5" s="421" customFormat="1" x14ac:dyDescent="0.2">
      <c r="A21" s="588"/>
      <c r="B21" s="592" t="s">
        <v>779</v>
      </c>
      <c r="C21" s="593">
        <f>SUM(C15+C16+C19)</f>
        <v>60780009</v>
      </c>
      <c r="D21" s="593">
        <f>SUM(D15+D16+D19)</f>
        <v>56544004</v>
      </c>
      <c r="E21" s="593">
        <f t="shared" si="0"/>
        <v>-4236005</v>
      </c>
    </row>
    <row r="22" spans="1:5" s="421" customFormat="1" x14ac:dyDescent="0.2">
      <c r="A22" s="588"/>
      <c r="B22" s="592" t="s">
        <v>465</v>
      </c>
      <c r="C22" s="593">
        <f>SUM(C14+C21)</f>
        <v>74614647</v>
      </c>
      <c r="D22" s="593">
        <f>SUM(D14+D21)</f>
        <v>70772578</v>
      </c>
      <c r="E22" s="593">
        <f t="shared" si="0"/>
        <v>-3842069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64457721</v>
      </c>
      <c r="D25" s="589">
        <v>67343463</v>
      </c>
      <c r="E25" s="590">
        <f t="shared" ref="E25:E33" si="1">D25-C25</f>
        <v>2885742</v>
      </c>
    </row>
    <row r="26" spans="1:5" s="421" customFormat="1" x14ac:dyDescent="0.2">
      <c r="A26" s="588">
        <v>2</v>
      </c>
      <c r="B26" s="587" t="s">
        <v>636</v>
      </c>
      <c r="C26" s="589">
        <v>51687196</v>
      </c>
      <c r="D26" s="591">
        <v>52032941</v>
      </c>
      <c r="E26" s="590">
        <f t="shared" si="1"/>
        <v>345745</v>
      </c>
    </row>
    <row r="27" spans="1:5" s="421" customFormat="1" x14ac:dyDescent="0.2">
      <c r="A27" s="588">
        <v>3</v>
      </c>
      <c r="B27" s="587" t="s">
        <v>778</v>
      </c>
      <c r="C27" s="589">
        <v>35637001</v>
      </c>
      <c r="D27" s="591">
        <v>37354381</v>
      </c>
      <c r="E27" s="590">
        <f t="shared" si="1"/>
        <v>1717380</v>
      </c>
    </row>
    <row r="28" spans="1:5" s="421" customFormat="1" x14ac:dyDescent="0.2">
      <c r="A28" s="588">
        <v>4</v>
      </c>
      <c r="B28" s="587" t="s">
        <v>115</v>
      </c>
      <c r="C28" s="589">
        <v>35637001</v>
      </c>
      <c r="D28" s="591">
        <v>37354381</v>
      </c>
      <c r="E28" s="590">
        <f t="shared" si="1"/>
        <v>1717380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1100397</v>
      </c>
      <c r="D30" s="591">
        <v>861643</v>
      </c>
      <c r="E30" s="590">
        <f t="shared" si="1"/>
        <v>-238754</v>
      </c>
    </row>
    <row r="31" spans="1:5" s="421" customFormat="1" x14ac:dyDescent="0.2">
      <c r="A31" s="588">
        <v>7</v>
      </c>
      <c r="B31" s="587" t="s">
        <v>759</v>
      </c>
      <c r="C31" s="590">
        <v>3062437</v>
      </c>
      <c r="D31" s="594">
        <v>3268488</v>
      </c>
      <c r="E31" s="590">
        <f t="shared" si="1"/>
        <v>206051</v>
      </c>
    </row>
    <row r="32" spans="1:5" s="421" customFormat="1" x14ac:dyDescent="0.2">
      <c r="A32" s="588"/>
      <c r="B32" s="592" t="s">
        <v>781</v>
      </c>
      <c r="C32" s="593">
        <f>SUM(C26+C27+C30)</f>
        <v>88424594</v>
      </c>
      <c r="D32" s="593">
        <f>SUM(D26+D27+D30)</f>
        <v>90248965</v>
      </c>
      <c r="E32" s="593">
        <f t="shared" si="1"/>
        <v>1824371</v>
      </c>
    </row>
    <row r="33" spans="1:5" s="421" customFormat="1" x14ac:dyDescent="0.2">
      <c r="A33" s="588"/>
      <c r="B33" s="592" t="s">
        <v>467</v>
      </c>
      <c r="C33" s="593">
        <f>SUM(C25+C32)</f>
        <v>152882315</v>
      </c>
      <c r="D33" s="593">
        <f>SUM(D25+D32)</f>
        <v>157592428</v>
      </c>
      <c r="E33" s="593">
        <f t="shared" si="1"/>
        <v>4710113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78292359</v>
      </c>
      <c r="D36" s="590">
        <f t="shared" si="2"/>
        <v>81572037</v>
      </c>
      <c r="E36" s="590">
        <f t="shared" ref="E36:E44" si="3">D36-C36</f>
        <v>3279678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103015833</v>
      </c>
      <c r="D37" s="590">
        <f t="shared" si="2"/>
        <v>97854326</v>
      </c>
      <c r="E37" s="590">
        <f t="shared" si="3"/>
        <v>-5161507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44749210</v>
      </c>
      <c r="D38" s="590">
        <f t="shared" si="2"/>
        <v>47774630</v>
      </c>
      <c r="E38" s="590">
        <f t="shared" si="3"/>
        <v>3025420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44749210</v>
      </c>
      <c r="D39" s="590">
        <f t="shared" si="2"/>
        <v>47774630</v>
      </c>
      <c r="E39" s="590">
        <f t="shared" si="3"/>
        <v>3025420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1439560</v>
      </c>
      <c r="D41" s="590">
        <f t="shared" si="2"/>
        <v>1164013</v>
      </c>
      <c r="E41" s="590">
        <f t="shared" si="3"/>
        <v>-275547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3541707</v>
      </c>
      <c r="D42" s="590">
        <f t="shared" si="2"/>
        <v>3751734</v>
      </c>
      <c r="E42" s="590">
        <f t="shared" si="3"/>
        <v>210027</v>
      </c>
    </row>
    <row r="43" spans="1:5" s="421" customFormat="1" x14ac:dyDescent="0.2">
      <c r="A43" s="588"/>
      <c r="B43" s="592" t="s">
        <v>789</v>
      </c>
      <c r="C43" s="593">
        <f>SUM(C37+C38+C41)</f>
        <v>149204603</v>
      </c>
      <c r="D43" s="593">
        <f>SUM(D37+D38+D41)</f>
        <v>146792969</v>
      </c>
      <c r="E43" s="593">
        <f t="shared" si="3"/>
        <v>-2411634</v>
      </c>
    </row>
    <row r="44" spans="1:5" s="421" customFormat="1" x14ac:dyDescent="0.2">
      <c r="A44" s="588"/>
      <c r="B44" s="592" t="s">
        <v>726</v>
      </c>
      <c r="C44" s="593">
        <f>SUM(C36+C43)</f>
        <v>227496962</v>
      </c>
      <c r="D44" s="593">
        <f>SUM(D36+D43)</f>
        <v>228365006</v>
      </c>
      <c r="E44" s="593">
        <f t="shared" si="3"/>
        <v>868044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6433906</v>
      </c>
      <c r="D47" s="589">
        <v>6176473</v>
      </c>
      <c r="E47" s="590">
        <f t="shared" ref="E47:E55" si="4">D47-C47</f>
        <v>-257433</v>
      </c>
    </row>
    <row r="48" spans="1:5" s="421" customFormat="1" x14ac:dyDescent="0.2">
      <c r="A48" s="588">
        <v>2</v>
      </c>
      <c r="B48" s="587" t="s">
        <v>636</v>
      </c>
      <c r="C48" s="589">
        <v>14223185</v>
      </c>
      <c r="D48" s="591">
        <v>11165640</v>
      </c>
      <c r="E48" s="590">
        <f t="shared" si="4"/>
        <v>-3057545</v>
      </c>
    </row>
    <row r="49" spans="1:5" s="421" customFormat="1" x14ac:dyDescent="0.2">
      <c r="A49" s="588">
        <v>3</v>
      </c>
      <c r="B49" s="587" t="s">
        <v>778</v>
      </c>
      <c r="C49" s="589">
        <v>1544776</v>
      </c>
      <c r="D49" s="591">
        <v>1950318</v>
      </c>
      <c r="E49" s="590">
        <f t="shared" si="4"/>
        <v>405542</v>
      </c>
    </row>
    <row r="50" spans="1:5" s="421" customFormat="1" x14ac:dyDescent="0.2">
      <c r="A50" s="588">
        <v>4</v>
      </c>
      <c r="B50" s="587" t="s">
        <v>115</v>
      </c>
      <c r="C50" s="589">
        <v>1544776</v>
      </c>
      <c r="D50" s="591">
        <v>1950318</v>
      </c>
      <c r="E50" s="590">
        <f t="shared" si="4"/>
        <v>405542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40842</v>
      </c>
      <c r="D52" s="591">
        <v>149640</v>
      </c>
      <c r="E52" s="590">
        <f t="shared" si="4"/>
        <v>108798</v>
      </c>
    </row>
    <row r="53" spans="1:5" s="421" customFormat="1" x14ac:dyDescent="0.2">
      <c r="A53" s="588">
        <v>7</v>
      </c>
      <c r="B53" s="587" t="s">
        <v>759</v>
      </c>
      <c r="C53" s="589">
        <v>10675</v>
      </c>
      <c r="D53" s="591">
        <v>0</v>
      </c>
      <c r="E53" s="590">
        <f t="shared" si="4"/>
        <v>-10675</v>
      </c>
    </row>
    <row r="54" spans="1:5" s="421" customFormat="1" x14ac:dyDescent="0.2">
      <c r="A54" s="588"/>
      <c r="B54" s="592" t="s">
        <v>791</v>
      </c>
      <c r="C54" s="593">
        <f>SUM(C48+C49+C52)</f>
        <v>15808803</v>
      </c>
      <c r="D54" s="593">
        <f>SUM(D48+D49+D52)</f>
        <v>13265598</v>
      </c>
      <c r="E54" s="593">
        <f t="shared" si="4"/>
        <v>-2543205</v>
      </c>
    </row>
    <row r="55" spans="1:5" s="421" customFormat="1" x14ac:dyDescent="0.2">
      <c r="A55" s="588"/>
      <c r="B55" s="592" t="s">
        <v>466</v>
      </c>
      <c r="C55" s="593">
        <f>SUM(C47+C54)</f>
        <v>22242709</v>
      </c>
      <c r="D55" s="593">
        <f>SUM(D47+D54)</f>
        <v>19442071</v>
      </c>
      <c r="E55" s="593">
        <f t="shared" si="4"/>
        <v>-2800638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27427116</v>
      </c>
      <c r="D58" s="589">
        <v>28619130</v>
      </c>
      <c r="E58" s="590">
        <f t="shared" ref="E58:E66" si="5">D58-C58</f>
        <v>1192014</v>
      </c>
    </row>
    <row r="59" spans="1:5" s="421" customFormat="1" x14ac:dyDescent="0.2">
      <c r="A59" s="588">
        <v>2</v>
      </c>
      <c r="B59" s="587" t="s">
        <v>636</v>
      </c>
      <c r="C59" s="589">
        <v>9465425</v>
      </c>
      <c r="D59" s="591">
        <v>9313564</v>
      </c>
      <c r="E59" s="590">
        <f t="shared" si="5"/>
        <v>-151861</v>
      </c>
    </row>
    <row r="60" spans="1:5" s="421" customFormat="1" x14ac:dyDescent="0.2">
      <c r="A60" s="588">
        <v>3</v>
      </c>
      <c r="B60" s="587" t="s">
        <v>778</v>
      </c>
      <c r="C60" s="589">
        <f>C61+C62</f>
        <v>5886266</v>
      </c>
      <c r="D60" s="591">
        <f>D61+D62</f>
        <v>5945222</v>
      </c>
      <c r="E60" s="590">
        <f t="shared" si="5"/>
        <v>58956</v>
      </c>
    </row>
    <row r="61" spans="1:5" s="421" customFormat="1" x14ac:dyDescent="0.2">
      <c r="A61" s="588">
        <v>4</v>
      </c>
      <c r="B61" s="587" t="s">
        <v>115</v>
      </c>
      <c r="C61" s="589">
        <v>5886266</v>
      </c>
      <c r="D61" s="591">
        <v>5945222</v>
      </c>
      <c r="E61" s="590">
        <f t="shared" si="5"/>
        <v>58956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184187</v>
      </c>
      <c r="D63" s="591">
        <v>292819</v>
      </c>
      <c r="E63" s="590">
        <f t="shared" si="5"/>
        <v>108632</v>
      </c>
    </row>
    <row r="64" spans="1:5" s="421" customFormat="1" x14ac:dyDescent="0.2">
      <c r="A64" s="588">
        <v>7</v>
      </c>
      <c r="B64" s="587" t="s">
        <v>759</v>
      </c>
      <c r="C64" s="589">
        <v>186014</v>
      </c>
      <c r="D64" s="591">
        <v>0</v>
      </c>
      <c r="E64" s="590">
        <f t="shared" si="5"/>
        <v>-186014</v>
      </c>
    </row>
    <row r="65" spans="1:5" s="421" customFormat="1" x14ac:dyDescent="0.2">
      <c r="A65" s="588"/>
      <c r="B65" s="592" t="s">
        <v>793</v>
      </c>
      <c r="C65" s="593">
        <f>SUM(C59+C60+C63)</f>
        <v>15535878</v>
      </c>
      <c r="D65" s="593">
        <f>SUM(D59+D60+D63)</f>
        <v>15551605</v>
      </c>
      <c r="E65" s="593">
        <f t="shared" si="5"/>
        <v>15727</v>
      </c>
    </row>
    <row r="66" spans="1:5" s="421" customFormat="1" x14ac:dyDescent="0.2">
      <c r="A66" s="588"/>
      <c r="B66" s="592" t="s">
        <v>468</v>
      </c>
      <c r="C66" s="593">
        <f>SUM(C58+C65)</f>
        <v>42962994</v>
      </c>
      <c r="D66" s="593">
        <f>SUM(D58+D65)</f>
        <v>44170735</v>
      </c>
      <c r="E66" s="593">
        <f t="shared" si="5"/>
        <v>1207741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33861022</v>
      </c>
      <c r="D69" s="590">
        <f t="shared" si="6"/>
        <v>34795603</v>
      </c>
      <c r="E69" s="590">
        <f t="shared" ref="E69:E77" si="7">D69-C69</f>
        <v>934581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23688610</v>
      </c>
      <c r="D70" s="590">
        <f t="shared" si="6"/>
        <v>20479204</v>
      </c>
      <c r="E70" s="590">
        <f t="shared" si="7"/>
        <v>-3209406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7431042</v>
      </c>
      <c r="D71" s="590">
        <f t="shared" si="6"/>
        <v>7895540</v>
      </c>
      <c r="E71" s="590">
        <f t="shared" si="7"/>
        <v>464498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7431042</v>
      </c>
      <c r="D72" s="590">
        <f t="shared" si="6"/>
        <v>7895540</v>
      </c>
      <c r="E72" s="590">
        <f t="shared" si="7"/>
        <v>464498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225029</v>
      </c>
      <c r="D74" s="590">
        <f t="shared" si="6"/>
        <v>442459</v>
      </c>
      <c r="E74" s="590">
        <f t="shared" si="7"/>
        <v>217430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196689</v>
      </c>
      <c r="D75" s="590">
        <f t="shared" si="6"/>
        <v>0</v>
      </c>
      <c r="E75" s="590">
        <f t="shared" si="7"/>
        <v>-196689</v>
      </c>
    </row>
    <row r="76" spans="1:5" s="421" customFormat="1" x14ac:dyDescent="0.2">
      <c r="A76" s="588"/>
      <c r="B76" s="592" t="s">
        <v>794</v>
      </c>
      <c r="C76" s="593">
        <f>SUM(C70+C71+C74)</f>
        <v>31344681</v>
      </c>
      <c r="D76" s="593">
        <f>SUM(D70+D71+D74)</f>
        <v>28817203</v>
      </c>
      <c r="E76" s="593">
        <f t="shared" si="7"/>
        <v>-2527478</v>
      </c>
    </row>
    <row r="77" spans="1:5" s="421" customFormat="1" x14ac:dyDescent="0.2">
      <c r="A77" s="588"/>
      <c r="B77" s="592" t="s">
        <v>727</v>
      </c>
      <c r="C77" s="593">
        <f>SUM(C69+C76)</f>
        <v>65205703</v>
      </c>
      <c r="D77" s="593">
        <f>SUM(D69+D76)</f>
        <v>63612806</v>
      </c>
      <c r="E77" s="593">
        <f t="shared" si="7"/>
        <v>-1592897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6.0812407683932063E-2</v>
      </c>
      <c r="D83" s="599">
        <f t="shared" si="8"/>
        <v>6.2306279973561272E-2</v>
      </c>
      <c r="E83" s="599">
        <f t="shared" ref="E83:E91" si="9">D83-C83</f>
        <v>1.4938722896292098E-3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0.22562339535769274</v>
      </c>
      <c r="D84" s="599">
        <f t="shared" si="8"/>
        <v>0.20064976592779718</v>
      </c>
      <c r="E84" s="599">
        <f t="shared" si="9"/>
        <v>-2.4973629429895561E-2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4.0054200811701392E-2</v>
      </c>
      <c r="D85" s="599">
        <f t="shared" si="8"/>
        <v>4.5629797588164628E-2</v>
      </c>
      <c r="E85" s="599">
        <f t="shared" si="9"/>
        <v>5.5755967764632361E-3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4.0054200811701392E-2</v>
      </c>
      <c r="D86" s="599">
        <f t="shared" si="8"/>
        <v>4.5629797588164628E-2</v>
      </c>
      <c r="E86" s="599">
        <f t="shared" si="9"/>
        <v>5.5755967764632361E-3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1.4908462821582645E-3</v>
      </c>
      <c r="D88" s="599">
        <f t="shared" si="8"/>
        <v>1.3240645110048077E-3</v>
      </c>
      <c r="E88" s="599">
        <f t="shared" si="9"/>
        <v>-1.6678177115345681E-4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2.1067094513552227E-3</v>
      </c>
      <c r="D89" s="599">
        <f t="shared" si="8"/>
        <v>2.1161123083805579E-3</v>
      </c>
      <c r="E89" s="599">
        <f t="shared" si="9"/>
        <v>9.4028570253351824E-6</v>
      </c>
    </row>
    <row r="90" spans="1:5" s="421" customFormat="1" x14ac:dyDescent="0.2">
      <c r="A90" s="588"/>
      <c r="B90" s="592" t="s">
        <v>797</v>
      </c>
      <c r="C90" s="600">
        <f>SUM(C84+C85+C88)</f>
        <v>0.26716844245155241</v>
      </c>
      <c r="D90" s="600">
        <f>SUM(D84+D85+D88)</f>
        <v>0.24760362802696662</v>
      </c>
      <c r="E90" s="601">
        <f t="shared" si="9"/>
        <v>-1.9564814424585797E-2</v>
      </c>
    </row>
    <row r="91" spans="1:5" s="421" customFormat="1" x14ac:dyDescent="0.2">
      <c r="A91" s="588"/>
      <c r="B91" s="592" t="s">
        <v>798</v>
      </c>
      <c r="C91" s="600">
        <f>SUM(C83+C90)</f>
        <v>0.3279808501354845</v>
      </c>
      <c r="D91" s="600">
        <f>SUM(D83+D90)</f>
        <v>0.30990990800052787</v>
      </c>
      <c r="E91" s="601">
        <f t="shared" si="9"/>
        <v>-1.8070942134956636E-2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0.28333442536256814</v>
      </c>
      <c r="D95" s="599">
        <f t="shared" si="10"/>
        <v>0.29489396899978626</v>
      </c>
      <c r="E95" s="599">
        <f t="shared" ref="E95:E103" si="11">D95-C95</f>
        <v>1.1559543637218117E-2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0.22719949992123412</v>
      </c>
      <c r="D96" s="599">
        <f t="shared" si="10"/>
        <v>0.22784988782388138</v>
      </c>
      <c r="E96" s="599">
        <f t="shared" si="11"/>
        <v>6.5038790264726476E-4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0.15664825009839031</v>
      </c>
      <c r="D97" s="599">
        <f t="shared" si="10"/>
        <v>0.16357313957288183</v>
      </c>
      <c r="E97" s="599">
        <f t="shared" si="11"/>
        <v>6.924889474491519E-3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0.15664825009839031</v>
      </c>
      <c r="D98" s="599">
        <f t="shared" si="10"/>
        <v>0.16357313957288183</v>
      </c>
      <c r="E98" s="599">
        <f t="shared" si="11"/>
        <v>6.924889474491519E-3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4.8369744823229775E-3</v>
      </c>
      <c r="D100" s="599">
        <f t="shared" si="10"/>
        <v>3.77309560292263E-3</v>
      </c>
      <c r="E100" s="599">
        <f t="shared" si="11"/>
        <v>-1.0638788794003476E-3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1.3461441300477673E-2</v>
      </c>
      <c r="D101" s="599">
        <f t="shared" si="10"/>
        <v>1.4312560655637406E-2</v>
      </c>
      <c r="E101" s="599">
        <f t="shared" si="11"/>
        <v>8.5111935515973236E-4</v>
      </c>
    </row>
    <row r="102" spans="1:5" s="421" customFormat="1" x14ac:dyDescent="0.2">
      <c r="A102" s="588"/>
      <c r="B102" s="592" t="s">
        <v>800</v>
      </c>
      <c r="C102" s="600">
        <f>SUM(C96+C97+C100)</f>
        <v>0.38868472450194741</v>
      </c>
      <c r="D102" s="600">
        <f>SUM(D96+D97+D100)</f>
        <v>0.39519612299968582</v>
      </c>
      <c r="E102" s="601">
        <f t="shared" si="11"/>
        <v>6.5113984977384076E-3</v>
      </c>
    </row>
    <row r="103" spans="1:5" s="421" customFormat="1" x14ac:dyDescent="0.2">
      <c r="A103" s="588"/>
      <c r="B103" s="592" t="s">
        <v>801</v>
      </c>
      <c r="C103" s="600">
        <f>SUM(C95+C102)</f>
        <v>0.67201914986451561</v>
      </c>
      <c r="D103" s="600">
        <f>SUM(D95+D102)</f>
        <v>0.69009009199947213</v>
      </c>
      <c r="E103" s="601">
        <f t="shared" si="11"/>
        <v>1.8070942134956525E-2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9.8670909199460671E-2</v>
      </c>
      <c r="D109" s="599">
        <f t="shared" si="12"/>
        <v>9.7094805093175737E-2</v>
      </c>
      <c r="E109" s="599">
        <f t="shared" ref="E109:E117" si="13">D109-C109</f>
        <v>-1.576104106284934E-3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0.21812792969964606</v>
      </c>
      <c r="D110" s="599">
        <f t="shared" si="12"/>
        <v>0.17552503500631619</v>
      </c>
      <c r="E110" s="599">
        <f t="shared" si="13"/>
        <v>-4.2602894693329868E-2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2.3690811216313397E-2</v>
      </c>
      <c r="D111" s="599">
        <f t="shared" si="12"/>
        <v>3.0659204060264216E-2</v>
      </c>
      <c r="E111" s="599">
        <f t="shared" si="13"/>
        <v>6.9683928439508193E-3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2.3690811216313397E-2</v>
      </c>
      <c r="D112" s="599">
        <f t="shared" si="12"/>
        <v>3.0659204060264216E-2</v>
      </c>
      <c r="E112" s="599">
        <f t="shared" si="13"/>
        <v>6.9683928439508193E-3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6.2635625598576861E-4</v>
      </c>
      <c r="D114" s="599">
        <f t="shared" si="12"/>
        <v>2.352356536512475E-3</v>
      </c>
      <c r="E114" s="599">
        <f t="shared" si="13"/>
        <v>1.7260002805267064E-3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1.637126740279144E-4</v>
      </c>
      <c r="D115" s="599">
        <f t="shared" si="12"/>
        <v>0</v>
      </c>
      <c r="E115" s="599">
        <f t="shared" si="13"/>
        <v>-1.637126740279144E-4</v>
      </c>
    </row>
    <row r="116" spans="1:5" s="421" customFormat="1" x14ac:dyDescent="0.2">
      <c r="A116" s="588"/>
      <c r="B116" s="592" t="s">
        <v>797</v>
      </c>
      <c r="C116" s="600">
        <f>SUM(C110+C111+C114)</f>
        <v>0.24244509717194521</v>
      </c>
      <c r="D116" s="600">
        <f>SUM(D110+D111+D114)</f>
        <v>0.20853659560309287</v>
      </c>
      <c r="E116" s="601">
        <f t="shared" si="13"/>
        <v>-3.3908501568852334E-2</v>
      </c>
    </row>
    <row r="117" spans="1:5" s="421" customFormat="1" x14ac:dyDescent="0.2">
      <c r="A117" s="588"/>
      <c r="B117" s="592" t="s">
        <v>798</v>
      </c>
      <c r="C117" s="600">
        <f>SUM(C109+C116)</f>
        <v>0.34111600637140588</v>
      </c>
      <c r="D117" s="600">
        <f>SUM(D109+D116)</f>
        <v>0.3056314006962686</v>
      </c>
      <c r="E117" s="601">
        <f t="shared" si="13"/>
        <v>-3.5484605675137282E-2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0.42062449660269746</v>
      </c>
      <c r="D121" s="599">
        <f t="shared" si="14"/>
        <v>0.44989573325848886</v>
      </c>
      <c r="E121" s="599">
        <f t="shared" ref="E121:E129" si="15">D121-C121</f>
        <v>2.9271236655791399E-2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0.14516253279256877</v>
      </c>
      <c r="D122" s="599">
        <f t="shared" si="14"/>
        <v>0.14641020551742365</v>
      </c>
      <c r="E122" s="599">
        <f t="shared" si="15"/>
        <v>1.2476727248548758E-3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9.027225732080521E-2</v>
      </c>
      <c r="D123" s="599">
        <f t="shared" si="14"/>
        <v>9.3459515054248668E-2</v>
      </c>
      <c r="E123" s="599">
        <f t="shared" si="15"/>
        <v>3.1872577334434576E-3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9.027225732080521E-2</v>
      </c>
      <c r="D124" s="599">
        <f t="shared" si="14"/>
        <v>9.3459515054248668E-2</v>
      </c>
      <c r="E124" s="599">
        <f t="shared" si="15"/>
        <v>3.1872577334434576E-3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2.824706912522667E-3</v>
      </c>
      <c r="D126" s="599">
        <f t="shared" si="14"/>
        <v>4.603145473570212E-3</v>
      </c>
      <c r="E126" s="599">
        <f t="shared" si="15"/>
        <v>1.778438561047545E-3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2.8527259341103953E-3</v>
      </c>
      <c r="D127" s="599">
        <f t="shared" si="14"/>
        <v>0</v>
      </c>
      <c r="E127" s="599">
        <f t="shared" si="15"/>
        <v>-2.8527259341103953E-3</v>
      </c>
    </row>
    <row r="128" spans="1:5" s="421" customFormat="1" x14ac:dyDescent="0.2">
      <c r="A128" s="588"/>
      <c r="B128" s="592" t="s">
        <v>800</v>
      </c>
      <c r="C128" s="600">
        <f>SUM(C122+C123+C126)</f>
        <v>0.23825949702589666</v>
      </c>
      <c r="D128" s="600">
        <f>SUM(D122+D123+D126)</f>
        <v>0.24447286604524254</v>
      </c>
      <c r="E128" s="601">
        <f t="shared" si="15"/>
        <v>6.2133690193458824E-3</v>
      </c>
    </row>
    <row r="129" spans="1:5" s="421" customFormat="1" x14ac:dyDescent="0.2">
      <c r="A129" s="588"/>
      <c r="B129" s="592" t="s">
        <v>801</v>
      </c>
      <c r="C129" s="600">
        <f>SUM(C121+C128)</f>
        <v>0.65888399362859418</v>
      </c>
      <c r="D129" s="600">
        <f>SUM(D121+D128)</f>
        <v>0.6943685993037314</v>
      </c>
      <c r="E129" s="601">
        <f t="shared" si="15"/>
        <v>3.5484605675137226E-2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409</v>
      </c>
      <c r="D137" s="606">
        <v>446</v>
      </c>
      <c r="E137" s="607">
        <f t="shared" ref="E137:E145" si="16">D137-C137</f>
        <v>37</v>
      </c>
    </row>
    <row r="138" spans="1:5" s="421" customFormat="1" x14ac:dyDescent="0.2">
      <c r="A138" s="588">
        <v>2</v>
      </c>
      <c r="B138" s="587" t="s">
        <v>636</v>
      </c>
      <c r="C138" s="606">
        <v>1428</v>
      </c>
      <c r="D138" s="606">
        <v>1310</v>
      </c>
      <c r="E138" s="607">
        <f t="shared" si="16"/>
        <v>-118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266</v>
      </c>
      <c r="D139" s="606">
        <f>D140+D141</f>
        <v>295</v>
      </c>
      <c r="E139" s="607">
        <f t="shared" si="16"/>
        <v>29</v>
      </c>
    </row>
    <row r="140" spans="1:5" s="421" customFormat="1" x14ac:dyDescent="0.2">
      <c r="A140" s="588">
        <v>4</v>
      </c>
      <c r="B140" s="587" t="s">
        <v>115</v>
      </c>
      <c r="C140" s="606">
        <v>266</v>
      </c>
      <c r="D140" s="606">
        <v>295</v>
      </c>
      <c r="E140" s="607">
        <f t="shared" si="16"/>
        <v>29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9</v>
      </c>
      <c r="D142" s="606">
        <v>1</v>
      </c>
      <c r="E142" s="607">
        <f t="shared" si="16"/>
        <v>-8</v>
      </c>
    </row>
    <row r="143" spans="1:5" s="421" customFormat="1" x14ac:dyDescent="0.2">
      <c r="A143" s="588">
        <v>7</v>
      </c>
      <c r="B143" s="587" t="s">
        <v>759</v>
      </c>
      <c r="C143" s="606">
        <v>16</v>
      </c>
      <c r="D143" s="606">
        <v>16</v>
      </c>
      <c r="E143" s="607">
        <f t="shared" si="16"/>
        <v>0</v>
      </c>
    </row>
    <row r="144" spans="1:5" s="421" customFormat="1" x14ac:dyDescent="0.2">
      <c r="A144" s="588"/>
      <c r="B144" s="592" t="s">
        <v>808</v>
      </c>
      <c r="C144" s="608">
        <f>SUM(C138+C139+C142)</f>
        <v>1703</v>
      </c>
      <c r="D144" s="608">
        <f>SUM(D138+D139+D142)</f>
        <v>1606</v>
      </c>
      <c r="E144" s="609">
        <f t="shared" si="16"/>
        <v>-97</v>
      </c>
    </row>
    <row r="145" spans="1:5" s="421" customFormat="1" x14ac:dyDescent="0.2">
      <c r="A145" s="588"/>
      <c r="B145" s="592" t="s">
        <v>138</v>
      </c>
      <c r="C145" s="608">
        <f>SUM(C137+C144)</f>
        <v>2112</v>
      </c>
      <c r="D145" s="608">
        <f>SUM(D137+D144)</f>
        <v>2052</v>
      </c>
      <c r="E145" s="609">
        <f t="shared" si="16"/>
        <v>-60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1537</v>
      </c>
      <c r="D149" s="610">
        <v>1859</v>
      </c>
      <c r="E149" s="607">
        <f t="shared" ref="E149:E157" si="17">D149-C149</f>
        <v>322</v>
      </c>
    </row>
    <row r="150" spans="1:5" s="421" customFormat="1" x14ac:dyDescent="0.2">
      <c r="A150" s="588">
        <v>2</v>
      </c>
      <c r="B150" s="587" t="s">
        <v>636</v>
      </c>
      <c r="C150" s="610">
        <v>7024</v>
      </c>
      <c r="D150" s="610">
        <v>6739</v>
      </c>
      <c r="E150" s="607">
        <f t="shared" si="17"/>
        <v>-285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1250</v>
      </c>
      <c r="D151" s="610">
        <f>D152+D153</f>
        <v>1399</v>
      </c>
      <c r="E151" s="607">
        <f t="shared" si="17"/>
        <v>149</v>
      </c>
    </row>
    <row r="152" spans="1:5" s="421" customFormat="1" x14ac:dyDescent="0.2">
      <c r="A152" s="588">
        <v>4</v>
      </c>
      <c r="B152" s="587" t="s">
        <v>115</v>
      </c>
      <c r="C152" s="610">
        <v>1250</v>
      </c>
      <c r="D152" s="610">
        <v>1399</v>
      </c>
      <c r="E152" s="607">
        <f t="shared" si="17"/>
        <v>149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62</v>
      </c>
      <c r="D154" s="610">
        <v>13</v>
      </c>
      <c r="E154" s="607">
        <f t="shared" si="17"/>
        <v>-49</v>
      </c>
    </row>
    <row r="155" spans="1:5" s="421" customFormat="1" x14ac:dyDescent="0.2">
      <c r="A155" s="588">
        <v>7</v>
      </c>
      <c r="B155" s="587" t="s">
        <v>759</v>
      </c>
      <c r="C155" s="610">
        <v>53</v>
      </c>
      <c r="D155" s="610">
        <v>91</v>
      </c>
      <c r="E155" s="607">
        <f t="shared" si="17"/>
        <v>38</v>
      </c>
    </row>
    <row r="156" spans="1:5" s="421" customFormat="1" x14ac:dyDescent="0.2">
      <c r="A156" s="588"/>
      <c r="B156" s="592" t="s">
        <v>809</v>
      </c>
      <c r="C156" s="608">
        <f>SUM(C150+C151+C154)</f>
        <v>8336</v>
      </c>
      <c r="D156" s="608">
        <f>SUM(D150+D151+D154)</f>
        <v>8151</v>
      </c>
      <c r="E156" s="609">
        <f t="shared" si="17"/>
        <v>-185</v>
      </c>
    </row>
    <row r="157" spans="1:5" s="421" customFormat="1" x14ac:dyDescent="0.2">
      <c r="A157" s="588"/>
      <c r="B157" s="592" t="s">
        <v>140</v>
      </c>
      <c r="C157" s="608">
        <f>SUM(C149+C156)</f>
        <v>9873</v>
      </c>
      <c r="D157" s="608">
        <f>SUM(D149+D156)</f>
        <v>10010</v>
      </c>
      <c r="E157" s="609">
        <f t="shared" si="17"/>
        <v>137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3.7579462102689485</v>
      </c>
      <c r="D161" s="612">
        <f t="shared" si="18"/>
        <v>4.1681614349775788</v>
      </c>
      <c r="E161" s="613">
        <f t="shared" ref="E161:E169" si="19">D161-C161</f>
        <v>0.41021522470863037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4.9187675070028014</v>
      </c>
      <c r="D162" s="612">
        <f t="shared" si="18"/>
        <v>5.1442748091603052</v>
      </c>
      <c r="E162" s="613">
        <f t="shared" si="19"/>
        <v>0.22550730215750381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4.6992481203007515</v>
      </c>
      <c r="D163" s="612">
        <f t="shared" si="18"/>
        <v>4.7423728813559318</v>
      </c>
      <c r="E163" s="613">
        <f t="shared" si="19"/>
        <v>4.3124761055180372E-2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4.6992481203007515</v>
      </c>
      <c r="D164" s="612">
        <f t="shared" si="18"/>
        <v>4.7423728813559318</v>
      </c>
      <c r="E164" s="613">
        <f t="shared" si="19"/>
        <v>4.3124761055180372E-2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6.8888888888888893</v>
      </c>
      <c r="D166" s="612">
        <f t="shared" si="18"/>
        <v>13</v>
      </c>
      <c r="E166" s="613">
        <f t="shared" si="19"/>
        <v>6.1111111111111107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3.3125</v>
      </c>
      <c r="D167" s="612">
        <f t="shared" si="18"/>
        <v>5.6875</v>
      </c>
      <c r="E167" s="613">
        <f t="shared" si="19"/>
        <v>2.375</v>
      </c>
    </row>
    <row r="168" spans="1:5" s="421" customFormat="1" x14ac:dyDescent="0.2">
      <c r="A168" s="588"/>
      <c r="B168" s="592" t="s">
        <v>811</v>
      </c>
      <c r="C168" s="614">
        <f t="shared" si="18"/>
        <v>4.8948913681738109</v>
      </c>
      <c r="D168" s="614">
        <f t="shared" si="18"/>
        <v>5.0753424657534243</v>
      </c>
      <c r="E168" s="615">
        <f t="shared" si="19"/>
        <v>0.18045109757961342</v>
      </c>
    </row>
    <row r="169" spans="1:5" s="421" customFormat="1" x14ac:dyDescent="0.2">
      <c r="A169" s="588"/>
      <c r="B169" s="592" t="s">
        <v>745</v>
      </c>
      <c r="C169" s="614">
        <f t="shared" si="18"/>
        <v>4.6747159090909092</v>
      </c>
      <c r="D169" s="614">
        <f t="shared" si="18"/>
        <v>4.8781676413255362</v>
      </c>
      <c r="E169" s="615">
        <f t="shared" si="19"/>
        <v>0.20345173223462698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1.77478</v>
      </c>
      <c r="D173" s="617">
        <f t="shared" si="20"/>
        <v>1.7539</v>
      </c>
      <c r="E173" s="618">
        <f t="shared" ref="E173:E181" si="21">D173-C173</f>
        <v>-2.088000000000001E-2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1.7138199999999997</v>
      </c>
      <c r="D174" s="617">
        <f t="shared" si="20"/>
        <v>1.6565000000000003</v>
      </c>
      <c r="E174" s="618">
        <f t="shared" si="21"/>
        <v>-5.7319999999999371E-2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1.5228200000000001</v>
      </c>
      <c r="D175" s="617">
        <f t="shared" si="20"/>
        <v>1.5835999999999999</v>
      </c>
      <c r="E175" s="618">
        <f t="shared" si="21"/>
        <v>6.0779999999999834E-2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1.5228200000000001</v>
      </c>
      <c r="D176" s="617">
        <f t="shared" si="20"/>
        <v>1.5835999999999999</v>
      </c>
      <c r="E176" s="618">
        <f t="shared" si="21"/>
        <v>6.0779999999999834E-2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1.0293000000000001</v>
      </c>
      <c r="D178" s="617">
        <f t="shared" si="20"/>
        <v>1.6971000000000001</v>
      </c>
      <c r="E178" s="618">
        <f t="shared" si="21"/>
        <v>0.66779999999999995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1.05498</v>
      </c>
      <c r="D179" s="617">
        <f t="shared" si="20"/>
        <v>1.2977000000000001</v>
      </c>
      <c r="E179" s="618">
        <f t="shared" si="21"/>
        <v>0.24272000000000005</v>
      </c>
    </row>
    <row r="180" spans="1:5" s="421" customFormat="1" x14ac:dyDescent="0.2">
      <c r="A180" s="588"/>
      <c r="B180" s="592" t="s">
        <v>813</v>
      </c>
      <c r="C180" s="619">
        <f t="shared" si="20"/>
        <v>1.6803692190252493</v>
      </c>
      <c r="D180" s="619">
        <f t="shared" si="20"/>
        <v>1.6431345579078456</v>
      </c>
      <c r="E180" s="620">
        <f t="shared" si="21"/>
        <v>-3.72346611174037E-2</v>
      </c>
    </row>
    <row r="181" spans="1:5" s="421" customFormat="1" x14ac:dyDescent="0.2">
      <c r="A181" s="588"/>
      <c r="B181" s="592" t="s">
        <v>724</v>
      </c>
      <c r="C181" s="619">
        <f t="shared" si="20"/>
        <v>1.6986523674242422</v>
      </c>
      <c r="D181" s="619">
        <f t="shared" si="20"/>
        <v>1.6672093079922028</v>
      </c>
      <c r="E181" s="620">
        <f t="shared" si="21"/>
        <v>-3.14430594320394E-2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78292359</v>
      </c>
      <c r="D185" s="589">
        <v>77680331</v>
      </c>
      <c r="E185" s="590">
        <f>D185-C185</f>
        <v>-612028</v>
      </c>
    </row>
    <row r="186" spans="1:5" s="421" customFormat="1" ht="25.5" x14ac:dyDescent="0.2">
      <c r="A186" s="588">
        <v>2</v>
      </c>
      <c r="B186" s="587" t="s">
        <v>816</v>
      </c>
      <c r="C186" s="589">
        <v>33861022</v>
      </c>
      <c r="D186" s="589">
        <v>31870120</v>
      </c>
      <c r="E186" s="590">
        <f>D186-C186</f>
        <v>-1990902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44431337</v>
      </c>
      <c r="D188" s="622">
        <f>+D185-D186</f>
        <v>45810211</v>
      </c>
      <c r="E188" s="590">
        <f t="shared" ref="E188:E197" si="22">D188-C188</f>
        <v>1378874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0.56750540624277268</v>
      </c>
      <c r="D189" s="623">
        <f>IF(D185=0,0,+D188/D185)</f>
        <v>0.58972728888088799</v>
      </c>
      <c r="E189" s="599">
        <f t="shared" si="22"/>
        <v>2.2221882638115309E-2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797362</v>
      </c>
      <c r="D193" s="589">
        <v>1508204</v>
      </c>
      <c r="E193" s="622">
        <f t="shared" si="22"/>
        <v>710842</v>
      </c>
    </row>
    <row r="194" spans="1:5" s="421" customFormat="1" x14ac:dyDescent="0.2">
      <c r="A194" s="588">
        <v>9</v>
      </c>
      <c r="B194" s="587" t="s">
        <v>819</v>
      </c>
      <c r="C194" s="589">
        <v>3610628</v>
      </c>
      <c r="D194" s="589">
        <v>1985773</v>
      </c>
      <c r="E194" s="622">
        <f t="shared" si="22"/>
        <v>-1624855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4407990</v>
      </c>
      <c r="D195" s="589">
        <f>+D193+D194</f>
        <v>3493977</v>
      </c>
      <c r="E195" s="625">
        <f t="shared" si="22"/>
        <v>-914013</v>
      </c>
    </row>
    <row r="196" spans="1:5" s="421" customFormat="1" x14ac:dyDescent="0.2">
      <c r="A196" s="588">
        <v>11</v>
      </c>
      <c r="B196" s="587" t="s">
        <v>821</v>
      </c>
      <c r="C196" s="589">
        <v>2225773</v>
      </c>
      <c r="D196" s="589">
        <v>1294537</v>
      </c>
      <c r="E196" s="622">
        <f t="shared" si="22"/>
        <v>-931236</v>
      </c>
    </row>
    <row r="197" spans="1:5" s="421" customFormat="1" x14ac:dyDescent="0.2">
      <c r="A197" s="588">
        <v>12</v>
      </c>
      <c r="B197" s="587" t="s">
        <v>711</v>
      </c>
      <c r="C197" s="589">
        <v>68867915</v>
      </c>
      <c r="D197" s="589">
        <v>69446518</v>
      </c>
      <c r="E197" s="622">
        <f t="shared" si="22"/>
        <v>578603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725.88502000000005</v>
      </c>
      <c r="D203" s="629">
        <v>782.23940000000005</v>
      </c>
      <c r="E203" s="630">
        <f t="shared" ref="E203:E211" si="23">D203-C203</f>
        <v>56.354379999999992</v>
      </c>
    </row>
    <row r="204" spans="1:5" s="421" customFormat="1" x14ac:dyDescent="0.2">
      <c r="A204" s="588">
        <v>2</v>
      </c>
      <c r="B204" s="587" t="s">
        <v>636</v>
      </c>
      <c r="C204" s="629">
        <v>2447.3349599999997</v>
      </c>
      <c r="D204" s="629">
        <v>2170.0150000000003</v>
      </c>
      <c r="E204" s="630">
        <f t="shared" si="23"/>
        <v>-277.31995999999936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405.07012000000003</v>
      </c>
      <c r="D205" s="629">
        <f>D206+D207</f>
        <v>467.16199999999998</v>
      </c>
      <c r="E205" s="630">
        <f t="shared" si="23"/>
        <v>62.091879999999946</v>
      </c>
    </row>
    <row r="206" spans="1:5" s="421" customFormat="1" x14ac:dyDescent="0.2">
      <c r="A206" s="588">
        <v>4</v>
      </c>
      <c r="B206" s="587" t="s">
        <v>115</v>
      </c>
      <c r="C206" s="629">
        <v>405.07012000000003</v>
      </c>
      <c r="D206" s="629">
        <v>467.16199999999998</v>
      </c>
      <c r="E206" s="630">
        <f t="shared" si="23"/>
        <v>62.091879999999946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9.2637</v>
      </c>
      <c r="D208" s="629">
        <v>1.6971000000000001</v>
      </c>
      <c r="E208" s="630">
        <f t="shared" si="23"/>
        <v>-7.5666000000000002</v>
      </c>
    </row>
    <row r="209" spans="1:5" s="421" customFormat="1" x14ac:dyDescent="0.2">
      <c r="A209" s="588">
        <v>7</v>
      </c>
      <c r="B209" s="587" t="s">
        <v>759</v>
      </c>
      <c r="C209" s="629">
        <v>16.87968</v>
      </c>
      <c r="D209" s="629">
        <v>20.763200000000001</v>
      </c>
      <c r="E209" s="630">
        <f t="shared" si="23"/>
        <v>3.8835200000000007</v>
      </c>
    </row>
    <row r="210" spans="1:5" s="421" customFormat="1" x14ac:dyDescent="0.2">
      <c r="A210" s="588"/>
      <c r="B210" s="592" t="s">
        <v>824</v>
      </c>
      <c r="C210" s="631">
        <f>C204+C205+C208</f>
        <v>2861.6687799999995</v>
      </c>
      <c r="D210" s="631">
        <f>D204+D205+D208</f>
        <v>2638.8741</v>
      </c>
      <c r="E210" s="632">
        <f t="shared" si="23"/>
        <v>-222.79467999999952</v>
      </c>
    </row>
    <row r="211" spans="1:5" s="421" customFormat="1" x14ac:dyDescent="0.2">
      <c r="A211" s="588"/>
      <c r="B211" s="592" t="s">
        <v>725</v>
      </c>
      <c r="C211" s="631">
        <f>C210+C203</f>
        <v>3587.5537999999997</v>
      </c>
      <c r="D211" s="631">
        <f>D210+D203</f>
        <v>3421.1134999999999</v>
      </c>
      <c r="E211" s="632">
        <f t="shared" si="23"/>
        <v>-166.44029999999975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1905.5943414637954</v>
      </c>
      <c r="D215" s="633">
        <f>IF(D14*D137=0,0,D25/D14*D137)</f>
        <v>2110.9061595350313</v>
      </c>
      <c r="E215" s="633">
        <f t="shared" ref="E215:E223" si="24">D215-C215</f>
        <v>205.31181807123585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1437.9753720715398</v>
      </c>
      <c r="D216" s="633">
        <f>IF(D15*D138=0,0,D26/D15*D138)</f>
        <v>1487.5838587157505</v>
      </c>
      <c r="E216" s="633">
        <f t="shared" si="24"/>
        <v>49.608486644210643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1040.30123387205</v>
      </c>
      <c r="D217" s="633">
        <f>D218+D219</f>
        <v>1057.5123871799992</v>
      </c>
      <c r="E217" s="633">
        <f t="shared" si="24"/>
        <v>17.211153307949189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1040.30123387205</v>
      </c>
      <c r="D218" s="633">
        <f t="shared" si="25"/>
        <v>1057.5123871799992</v>
      </c>
      <c r="E218" s="633">
        <f t="shared" si="24"/>
        <v>17.211153307949189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29.200039509026634</v>
      </c>
      <c r="D220" s="633">
        <f t="shared" si="25"/>
        <v>2.8496312464860933</v>
      </c>
      <c r="E220" s="633">
        <f t="shared" si="24"/>
        <v>-26.35040826254054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102.23671834247919</v>
      </c>
      <c r="D221" s="633">
        <f t="shared" si="25"/>
        <v>108.21777728113632</v>
      </c>
      <c r="E221" s="633">
        <f t="shared" si="24"/>
        <v>5.981058938657128</v>
      </c>
    </row>
    <row r="222" spans="1:5" s="421" customFormat="1" x14ac:dyDescent="0.2">
      <c r="A222" s="588"/>
      <c r="B222" s="592" t="s">
        <v>826</v>
      </c>
      <c r="C222" s="634">
        <f>C216+C218+C219+C220</f>
        <v>2507.4766454526166</v>
      </c>
      <c r="D222" s="634">
        <f>D216+D218+D219+D220</f>
        <v>2547.945877142236</v>
      </c>
      <c r="E222" s="634">
        <f t="shared" si="24"/>
        <v>40.469231689619392</v>
      </c>
    </row>
    <row r="223" spans="1:5" s="421" customFormat="1" x14ac:dyDescent="0.2">
      <c r="A223" s="588"/>
      <c r="B223" s="592" t="s">
        <v>827</v>
      </c>
      <c r="C223" s="634">
        <f>C215+C222</f>
        <v>4413.070986916412</v>
      </c>
      <c r="D223" s="634">
        <f>D215+D222</f>
        <v>4658.8520366772673</v>
      </c>
      <c r="E223" s="634">
        <f t="shared" si="24"/>
        <v>245.78104976085524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8863.5332356080307</v>
      </c>
      <c r="D227" s="636">
        <f t="shared" si="26"/>
        <v>7895.885837507034</v>
      </c>
      <c r="E227" s="636">
        <f t="shared" ref="E227:E235" si="27">D227-C227</f>
        <v>-967.64739810099672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5811.7034376038182</v>
      </c>
      <c r="D228" s="636">
        <f t="shared" si="26"/>
        <v>5145.4206537742821</v>
      </c>
      <c r="E228" s="636">
        <f t="shared" si="27"/>
        <v>-666.28278382953613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3813.6014574464289</v>
      </c>
      <c r="D229" s="636">
        <f t="shared" si="26"/>
        <v>4174.8215822348566</v>
      </c>
      <c r="E229" s="636">
        <f t="shared" si="27"/>
        <v>361.22012478842771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3813.6014574464289</v>
      </c>
      <c r="D230" s="636">
        <f t="shared" si="26"/>
        <v>4174.8215822348566</v>
      </c>
      <c r="E230" s="636">
        <f t="shared" si="27"/>
        <v>361.22012478842771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4408.821529194598</v>
      </c>
      <c r="D232" s="636">
        <f t="shared" si="26"/>
        <v>88173.943786459247</v>
      </c>
      <c r="E232" s="636">
        <f t="shared" si="27"/>
        <v>83765.122257264651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632.41720222184301</v>
      </c>
      <c r="D233" s="636">
        <f t="shared" si="26"/>
        <v>0</v>
      </c>
      <c r="E233" s="636">
        <f t="shared" si="27"/>
        <v>-632.41720222184301</v>
      </c>
    </row>
    <row r="234" spans="1:5" x14ac:dyDescent="0.2">
      <c r="A234" s="588"/>
      <c r="B234" s="592" t="s">
        <v>829</v>
      </c>
      <c r="C234" s="637">
        <f t="shared" si="26"/>
        <v>5524.3301078330951</v>
      </c>
      <c r="D234" s="637">
        <f t="shared" si="26"/>
        <v>5026.9916249509588</v>
      </c>
      <c r="E234" s="637">
        <f t="shared" si="27"/>
        <v>-497.3384828821363</v>
      </c>
    </row>
    <row r="235" spans="1:5" s="421" customFormat="1" x14ac:dyDescent="0.2">
      <c r="A235" s="588"/>
      <c r="B235" s="592" t="s">
        <v>830</v>
      </c>
      <c r="C235" s="637">
        <f t="shared" si="26"/>
        <v>6199.9652799631886</v>
      </c>
      <c r="D235" s="637">
        <f t="shared" si="26"/>
        <v>5682.9657946162852</v>
      </c>
      <c r="E235" s="637">
        <f t="shared" si="27"/>
        <v>-516.99948534690338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14392.945761442423</v>
      </c>
      <c r="D239" s="636">
        <f t="shared" si="28"/>
        <v>13557.746217531492</v>
      </c>
      <c r="E239" s="638">
        <f t="shared" ref="E239:E247" si="29">D239-C239</f>
        <v>-835.19954391093052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6582.466698552812</v>
      </c>
      <c r="D240" s="636">
        <f t="shared" si="28"/>
        <v>6260.866535645604</v>
      </c>
      <c r="E240" s="638">
        <f t="shared" si="29"/>
        <v>-321.60016290720796</v>
      </c>
    </row>
    <row r="241" spans="1:5" x14ac:dyDescent="0.2">
      <c r="A241" s="588">
        <v>3</v>
      </c>
      <c r="B241" s="587" t="s">
        <v>778</v>
      </c>
      <c r="C241" s="636">
        <f t="shared" si="28"/>
        <v>5658.2322584498352</v>
      </c>
      <c r="D241" s="636">
        <f t="shared" si="28"/>
        <v>5621.8934851947633</v>
      </c>
      <c r="E241" s="638">
        <f t="shared" si="29"/>
        <v>-36.338773255071828</v>
      </c>
    </row>
    <row r="242" spans="1:5" x14ac:dyDescent="0.2">
      <c r="A242" s="588">
        <v>4</v>
      </c>
      <c r="B242" s="587" t="s">
        <v>115</v>
      </c>
      <c r="C242" s="636">
        <f t="shared" si="28"/>
        <v>5658.2322584498352</v>
      </c>
      <c r="D242" s="636">
        <f t="shared" si="28"/>
        <v>5621.8934851947633</v>
      </c>
      <c r="E242" s="638">
        <f t="shared" si="29"/>
        <v>-36.338773255071828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6307.7654378879215</v>
      </c>
      <c r="D244" s="636">
        <f t="shared" si="28"/>
        <v>102756.80418688482</v>
      </c>
      <c r="E244" s="638">
        <f t="shared" si="29"/>
        <v>96449.0387489969</v>
      </c>
    </row>
    <row r="245" spans="1:5" x14ac:dyDescent="0.2">
      <c r="A245" s="588">
        <v>7</v>
      </c>
      <c r="B245" s="587" t="s">
        <v>759</v>
      </c>
      <c r="C245" s="636">
        <f t="shared" si="28"/>
        <v>1819.4441587696333</v>
      </c>
      <c r="D245" s="636">
        <f t="shared" si="28"/>
        <v>0</v>
      </c>
      <c r="E245" s="638">
        <f t="shared" si="29"/>
        <v>-1819.4441587696333</v>
      </c>
    </row>
    <row r="246" spans="1:5" ht="25.5" x14ac:dyDescent="0.2">
      <c r="A246" s="588"/>
      <c r="B246" s="592" t="s">
        <v>832</v>
      </c>
      <c r="C246" s="637">
        <f t="shared" si="28"/>
        <v>6195.8216153976055</v>
      </c>
      <c r="D246" s="637">
        <f t="shared" si="28"/>
        <v>6103.5852996385493</v>
      </c>
      <c r="E246" s="639">
        <f t="shared" si="29"/>
        <v>-92.236315759056197</v>
      </c>
    </row>
    <row r="247" spans="1:5" x14ac:dyDescent="0.2">
      <c r="A247" s="588"/>
      <c r="B247" s="592" t="s">
        <v>833</v>
      </c>
      <c r="C247" s="637">
        <f t="shared" si="28"/>
        <v>9735.396082993886</v>
      </c>
      <c r="D247" s="637">
        <f t="shared" si="28"/>
        <v>9481.0340942922376</v>
      </c>
      <c r="E247" s="639">
        <f t="shared" si="29"/>
        <v>-254.36198870164844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961482.22842617007</v>
      </c>
      <c r="D251" s="622">
        <f>((IF((IF(D15=0,0,D26/D15)*D138)=0,0,D59/(IF(D15=0,0,D26/D15)*D138)))-(IF((IF(D17=0,0,D28/D17)*D140)=0,0,D61/(IF(D17=0,0,D28/D17)*D140))))*(IF(D17=0,0,D28/D17)*D140)</f>
        <v>675721.91592595458</v>
      </c>
      <c r="E251" s="622">
        <f>D251-C251</f>
        <v>-285760.31250021548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574380.48814034509</v>
      </c>
      <c r="D253" s="622">
        <f>IF(D233=0,0,(D228-D233)*D209+IF(D221=0,0,(D240-D245)*D221))</f>
        <v>0</v>
      </c>
      <c r="E253" s="622">
        <f>D253-C253</f>
        <v>-574380.48814034509</v>
      </c>
    </row>
    <row r="254" spans="1:5" ht="15" customHeight="1" x14ac:dyDescent="0.2">
      <c r="A254" s="588"/>
      <c r="B254" s="592" t="s">
        <v>760</v>
      </c>
      <c r="C254" s="640">
        <f>+C251+C252+C253</f>
        <v>1535862.7165665152</v>
      </c>
      <c r="D254" s="640">
        <f>+D251+D252+D253</f>
        <v>675721.91592595458</v>
      </c>
      <c r="E254" s="640">
        <f>D254-C254</f>
        <v>-860140.80064056057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227496962</v>
      </c>
      <c r="D258" s="625">
        <f>+D44</f>
        <v>228365006</v>
      </c>
      <c r="E258" s="622">
        <f t="shared" ref="E258:E271" si="30">D258-C258</f>
        <v>868044</v>
      </c>
    </row>
    <row r="259" spans="1:5" x14ac:dyDescent="0.2">
      <c r="A259" s="588">
        <v>2</v>
      </c>
      <c r="B259" s="587" t="s">
        <v>743</v>
      </c>
      <c r="C259" s="622">
        <f>+(C43-C76)</f>
        <v>117859922</v>
      </c>
      <c r="D259" s="625">
        <f>+(D43-D76)</f>
        <v>117975766</v>
      </c>
      <c r="E259" s="622">
        <f t="shared" si="30"/>
        <v>115844</v>
      </c>
    </row>
    <row r="260" spans="1:5" x14ac:dyDescent="0.2">
      <c r="A260" s="588">
        <v>3</v>
      </c>
      <c r="B260" s="587" t="s">
        <v>747</v>
      </c>
      <c r="C260" s="622">
        <f>C195</f>
        <v>4407990</v>
      </c>
      <c r="D260" s="622">
        <f>D195</f>
        <v>3493977</v>
      </c>
      <c r="E260" s="622">
        <f t="shared" si="30"/>
        <v>-914013</v>
      </c>
    </row>
    <row r="261" spans="1:5" x14ac:dyDescent="0.2">
      <c r="A261" s="588">
        <v>4</v>
      </c>
      <c r="B261" s="587" t="s">
        <v>748</v>
      </c>
      <c r="C261" s="622">
        <f>C188</f>
        <v>44431337</v>
      </c>
      <c r="D261" s="622">
        <f>D188</f>
        <v>45810211</v>
      </c>
      <c r="E261" s="622">
        <f t="shared" si="30"/>
        <v>1378874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166699249</v>
      </c>
      <c r="D263" s="622">
        <f>+D259+D260+D261+D262</f>
        <v>167279954</v>
      </c>
      <c r="E263" s="622">
        <f t="shared" si="30"/>
        <v>580705</v>
      </c>
    </row>
    <row r="264" spans="1:5" x14ac:dyDescent="0.2">
      <c r="A264" s="588">
        <v>7</v>
      </c>
      <c r="B264" s="587" t="s">
        <v>655</v>
      </c>
      <c r="C264" s="622">
        <f>+C258-C263</f>
        <v>60797713</v>
      </c>
      <c r="D264" s="622">
        <f>+D258-D263</f>
        <v>61085052</v>
      </c>
      <c r="E264" s="622">
        <f t="shared" si="30"/>
        <v>287339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60797713</v>
      </c>
      <c r="D266" s="622">
        <f>+D264+D265</f>
        <v>61085052</v>
      </c>
      <c r="E266" s="641">
        <f t="shared" si="30"/>
        <v>287339</v>
      </c>
    </row>
    <row r="267" spans="1:5" x14ac:dyDescent="0.2">
      <c r="A267" s="588">
        <v>10</v>
      </c>
      <c r="B267" s="587" t="s">
        <v>838</v>
      </c>
      <c r="C267" s="642">
        <f>IF(C258=0,0,C266/C258)</f>
        <v>0.26724626327097939</v>
      </c>
      <c r="D267" s="642">
        <f>IF(D258=0,0,D266/D258)</f>
        <v>0.26748867118458597</v>
      </c>
      <c r="E267" s="643">
        <f t="shared" si="30"/>
        <v>2.4240791360657932E-4</v>
      </c>
    </row>
    <row r="268" spans="1:5" x14ac:dyDescent="0.2">
      <c r="A268" s="588">
        <v>11</v>
      </c>
      <c r="B268" s="587" t="s">
        <v>717</v>
      </c>
      <c r="C268" s="622">
        <f>+C260*C267</f>
        <v>1178018.8560358444</v>
      </c>
      <c r="D268" s="644">
        <f>+D260*D267</f>
        <v>934599.26487950608</v>
      </c>
      <c r="E268" s="622">
        <f t="shared" si="30"/>
        <v>-243419.59115633834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4528017.1568283439</v>
      </c>
      <c r="D269" s="644">
        <f>((D17+D18+D28+D29)*D267)-(D50+D51+D61+D62)</f>
        <v>4883632.2950352561</v>
      </c>
      <c r="E269" s="622">
        <f t="shared" si="30"/>
        <v>355615.1382069122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5706036.0128641883</v>
      </c>
      <c r="D271" s="622">
        <f>+D268+D269+D270</f>
        <v>5818231.5599147622</v>
      </c>
      <c r="E271" s="625">
        <f t="shared" si="30"/>
        <v>112195.54705057386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0.46505777744238774</v>
      </c>
      <c r="D276" s="623">
        <f t="shared" si="31"/>
        <v>0.43408938942159631</v>
      </c>
      <c r="E276" s="650">
        <f t="shared" ref="E276:E284" si="32">D276-C276</f>
        <v>-3.0968388020791437E-2</v>
      </c>
    </row>
    <row r="277" spans="1:5" x14ac:dyDescent="0.2">
      <c r="A277" s="588">
        <v>2</v>
      </c>
      <c r="B277" s="587" t="s">
        <v>636</v>
      </c>
      <c r="C277" s="623">
        <f t="shared" si="31"/>
        <v>0.27710038355392136</v>
      </c>
      <c r="D277" s="623">
        <f t="shared" si="31"/>
        <v>0.24367748814227244</v>
      </c>
      <c r="E277" s="650">
        <f t="shared" si="32"/>
        <v>-3.3422895411648917E-2</v>
      </c>
    </row>
    <row r="278" spans="1:5" x14ac:dyDescent="0.2">
      <c r="A278" s="588">
        <v>3</v>
      </c>
      <c r="B278" s="587" t="s">
        <v>778</v>
      </c>
      <c r="C278" s="623">
        <f t="shared" si="31"/>
        <v>0.16952815722290829</v>
      </c>
      <c r="D278" s="623">
        <f t="shared" si="31"/>
        <v>0.18716616080863327</v>
      </c>
      <c r="E278" s="650">
        <f t="shared" si="32"/>
        <v>1.7638003585724982E-2</v>
      </c>
    </row>
    <row r="279" spans="1:5" x14ac:dyDescent="0.2">
      <c r="A279" s="588">
        <v>4</v>
      </c>
      <c r="B279" s="587" t="s">
        <v>115</v>
      </c>
      <c r="C279" s="623">
        <f t="shared" si="31"/>
        <v>0.16952815722290829</v>
      </c>
      <c r="D279" s="623">
        <f t="shared" si="31"/>
        <v>0.18716616080863327</v>
      </c>
      <c r="E279" s="650">
        <f t="shared" si="32"/>
        <v>1.7638003585724982E-2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0.1204199750562414</v>
      </c>
      <c r="D281" s="623">
        <f t="shared" si="31"/>
        <v>0.49489036610774878</v>
      </c>
      <c r="E281" s="650">
        <f t="shared" si="32"/>
        <v>0.37447039105150737</v>
      </c>
    </row>
    <row r="282" spans="1:5" x14ac:dyDescent="0.2">
      <c r="A282" s="588">
        <v>7</v>
      </c>
      <c r="B282" s="587" t="s">
        <v>759</v>
      </c>
      <c r="C282" s="623">
        <f t="shared" si="31"/>
        <v>2.2273457550023995E-2</v>
      </c>
      <c r="D282" s="623">
        <f t="shared" si="31"/>
        <v>0</v>
      </c>
      <c r="E282" s="650">
        <f t="shared" si="32"/>
        <v>-2.2273457550023995E-2</v>
      </c>
    </row>
    <row r="283" spans="1:5" ht="29.25" customHeight="1" x14ac:dyDescent="0.2">
      <c r="A283" s="588"/>
      <c r="B283" s="592" t="s">
        <v>845</v>
      </c>
      <c r="C283" s="651">
        <f t="shared" si="31"/>
        <v>0.26009872752733548</v>
      </c>
      <c r="D283" s="651">
        <f t="shared" si="31"/>
        <v>0.23460662601820698</v>
      </c>
      <c r="E283" s="652">
        <f t="shared" si="32"/>
        <v>-2.5492101509128506E-2</v>
      </c>
    </row>
    <row r="284" spans="1:5" x14ac:dyDescent="0.2">
      <c r="A284" s="588"/>
      <c r="B284" s="592" t="s">
        <v>846</v>
      </c>
      <c r="C284" s="651">
        <f t="shared" si="31"/>
        <v>0.29810110875415652</v>
      </c>
      <c r="D284" s="651">
        <f t="shared" si="31"/>
        <v>0.27471192302758846</v>
      </c>
      <c r="E284" s="652">
        <f t="shared" si="32"/>
        <v>-2.3389185726568062E-2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0.4255055185708474</v>
      </c>
      <c r="D287" s="623">
        <f t="shared" si="33"/>
        <v>0.42497265102033732</v>
      </c>
      <c r="E287" s="650">
        <f t="shared" ref="E287:E295" si="34">D287-C287</f>
        <v>-5.3286755051007439E-4</v>
      </c>
    </row>
    <row r="288" spans="1:5" x14ac:dyDescent="0.2">
      <c r="A288" s="588">
        <v>2</v>
      </c>
      <c r="B288" s="587" t="s">
        <v>636</v>
      </c>
      <c r="C288" s="623">
        <f t="shared" si="33"/>
        <v>0.18312900935852663</v>
      </c>
      <c r="D288" s="623">
        <f t="shared" si="33"/>
        <v>0.17899361098962291</v>
      </c>
      <c r="E288" s="650">
        <f t="shared" si="34"/>
        <v>-4.1353983689037255E-3</v>
      </c>
    </row>
    <row r="289" spans="1:5" x14ac:dyDescent="0.2">
      <c r="A289" s="588">
        <v>3</v>
      </c>
      <c r="B289" s="587" t="s">
        <v>778</v>
      </c>
      <c r="C289" s="623">
        <f t="shared" si="33"/>
        <v>0.16517287748203055</v>
      </c>
      <c r="D289" s="623">
        <f t="shared" si="33"/>
        <v>0.15915728867251205</v>
      </c>
      <c r="E289" s="650">
        <f t="shared" si="34"/>
        <v>-6.0155888095184962E-3</v>
      </c>
    </row>
    <row r="290" spans="1:5" x14ac:dyDescent="0.2">
      <c r="A290" s="588">
        <v>4</v>
      </c>
      <c r="B290" s="587" t="s">
        <v>115</v>
      </c>
      <c r="C290" s="623">
        <f t="shared" si="33"/>
        <v>0.16517287748203055</v>
      </c>
      <c r="D290" s="623">
        <f t="shared" si="33"/>
        <v>0.15915728867251205</v>
      </c>
      <c r="E290" s="650">
        <f t="shared" si="34"/>
        <v>-6.0155888095184962E-3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0.16738231747269394</v>
      </c>
      <c r="D292" s="623">
        <f t="shared" si="33"/>
        <v>0.33983796073315747</v>
      </c>
      <c r="E292" s="650">
        <f t="shared" si="34"/>
        <v>0.17245564326046353</v>
      </c>
    </row>
    <row r="293" spans="1:5" x14ac:dyDescent="0.2">
      <c r="A293" s="588">
        <v>7</v>
      </c>
      <c r="B293" s="587" t="s">
        <v>759</v>
      </c>
      <c r="C293" s="623">
        <f t="shared" si="33"/>
        <v>6.0740514825284572E-2</v>
      </c>
      <c r="D293" s="623">
        <f t="shared" si="33"/>
        <v>0</v>
      </c>
      <c r="E293" s="650">
        <f t="shared" si="34"/>
        <v>-6.0740514825284572E-2</v>
      </c>
    </row>
    <row r="294" spans="1:5" ht="29.25" customHeight="1" x14ac:dyDescent="0.2">
      <c r="A294" s="588"/>
      <c r="B294" s="592" t="s">
        <v>848</v>
      </c>
      <c r="C294" s="651">
        <f t="shared" si="33"/>
        <v>0.17569634529506575</v>
      </c>
      <c r="D294" s="651">
        <f t="shared" si="33"/>
        <v>0.17231892908688759</v>
      </c>
      <c r="E294" s="652">
        <f t="shared" si="34"/>
        <v>-3.3774162081781633E-3</v>
      </c>
    </row>
    <row r="295" spans="1:5" x14ac:dyDescent="0.2">
      <c r="A295" s="588"/>
      <c r="B295" s="592" t="s">
        <v>849</v>
      </c>
      <c r="C295" s="651">
        <f t="shared" si="33"/>
        <v>0.28102003819081361</v>
      </c>
      <c r="D295" s="651">
        <f t="shared" si="33"/>
        <v>0.28028462763452061</v>
      </c>
      <c r="E295" s="652">
        <f t="shared" si="34"/>
        <v>-7.3541055629300356E-4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65205703</v>
      </c>
      <c r="D301" s="590">
        <f>+D48+D47+D50+D51+D52+D59+D58+D61+D62+D63</f>
        <v>63612806</v>
      </c>
      <c r="E301" s="590">
        <f>D301-C301</f>
        <v>-1592897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65205703</v>
      </c>
      <c r="D303" s="593">
        <f>+D301+D302</f>
        <v>63612806</v>
      </c>
      <c r="E303" s="593">
        <f>D303-C303</f>
        <v>-1592897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-2203222</v>
      </c>
      <c r="D305" s="654">
        <v>-3640891</v>
      </c>
      <c r="E305" s="655">
        <f>D305-C305</f>
        <v>-1437669</v>
      </c>
    </row>
    <row r="306" spans="1:5" x14ac:dyDescent="0.2">
      <c r="A306" s="588">
        <v>4</v>
      </c>
      <c r="B306" s="592" t="s">
        <v>856</v>
      </c>
      <c r="C306" s="593">
        <f>+C303+C305+C194+C190-C191</f>
        <v>66613109</v>
      </c>
      <c r="D306" s="593">
        <f>+D303+D305</f>
        <v>59971915</v>
      </c>
      <c r="E306" s="656">
        <f>D306-C306</f>
        <v>-6641194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63002481</v>
      </c>
      <c r="D308" s="589">
        <v>59971916</v>
      </c>
      <c r="E308" s="590">
        <f>D308-C308</f>
        <v>-3030565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3610628</v>
      </c>
      <c r="D310" s="658">
        <f>D306-D308</f>
        <v>-1</v>
      </c>
      <c r="E310" s="656">
        <f>D310-C310</f>
        <v>-3610629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227496962</v>
      </c>
      <c r="D314" s="590">
        <f>+D14+D15+D16+D19+D25+D26+D27+D30</f>
        <v>228365006</v>
      </c>
      <c r="E314" s="590">
        <f>D314-C314</f>
        <v>868044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227496962</v>
      </c>
      <c r="D316" s="657">
        <f>D314+D315</f>
        <v>228365006</v>
      </c>
      <c r="E316" s="593">
        <f>D316-C316</f>
        <v>868044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227496962</v>
      </c>
      <c r="D318" s="589">
        <v>228365004</v>
      </c>
      <c r="E318" s="590">
        <f>D318-C318</f>
        <v>868042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2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4407990</v>
      </c>
      <c r="D324" s="589">
        <f>+D193+D194</f>
        <v>3493977</v>
      </c>
      <c r="E324" s="590">
        <f>D324-C324</f>
        <v>-914013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4407990</v>
      </c>
      <c r="D326" s="657">
        <f>D324+D325</f>
        <v>3493977</v>
      </c>
      <c r="E326" s="593">
        <f>D326-C326</f>
        <v>-914013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4407990</v>
      </c>
      <c r="D328" s="589">
        <v>3493977</v>
      </c>
      <c r="E328" s="590">
        <f>D328-C328</f>
        <v>-914013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14228574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45821385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10420249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10420249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302370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483246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56544004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70772578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67343463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52032941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37354381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37354381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861643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3268488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90248965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157592428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81572037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146792969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228365006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6176473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11165640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1950318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1950318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149640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13265598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19442071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28619130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9313564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5945222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5945222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292819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15551605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44170735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34795603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28817203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63612806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446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1310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295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295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1606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2052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1.7539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1.6565000000000001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1.5835999999999999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1.5835999999999999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1.6971000000000001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1.2977000000000001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1.6431345579078456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1.6672093079922028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77680331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31870120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45810211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0.58972728888088799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1508204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1985773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3493977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1294537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69446518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63612806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63612806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-3640891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59971915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59971916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228365006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228365006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228365004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3493977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3493977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3493977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349</v>
      </c>
      <c r="D12" s="185">
        <v>564</v>
      </c>
      <c r="E12" s="185">
        <f>+D12-C12</f>
        <v>215</v>
      </c>
      <c r="F12" s="77">
        <f>IF(C12=0,0,+E12/C12)</f>
        <v>0.61604584527220629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322</v>
      </c>
      <c r="D13" s="185">
        <v>529</v>
      </c>
      <c r="E13" s="185">
        <f>+D13-C13</f>
        <v>207</v>
      </c>
      <c r="F13" s="77">
        <f>IF(C13=0,0,+E13/C13)</f>
        <v>0.6428571428571429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797362</v>
      </c>
      <c r="D15" s="76">
        <v>1508204</v>
      </c>
      <c r="E15" s="76">
        <f>+D15-C15</f>
        <v>710842</v>
      </c>
      <c r="F15" s="77">
        <f>IF(C15=0,0,+E15/C15)</f>
        <v>0.89149219551470971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2476.2795031055903</v>
      </c>
      <c r="D16" s="79">
        <f>IF(D13=0,0,+D15/+D13)</f>
        <v>2851.0472589792062</v>
      </c>
      <c r="E16" s="79">
        <f>+D16-C16</f>
        <v>374.7677558736159</v>
      </c>
      <c r="F16" s="80">
        <f>IF(C16=0,0,+E16/C16)</f>
        <v>0.15134307553069284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0.30878100000000003</v>
      </c>
      <c r="D18" s="704">
        <v>0.29978700000000003</v>
      </c>
      <c r="E18" s="704">
        <f>+D18-C18</f>
        <v>-8.994000000000002E-3</v>
      </c>
      <c r="F18" s="77">
        <f>IF(C18=0,0,+E18/C18)</f>
        <v>-2.9127439836000277E-2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246210.23572200001</v>
      </c>
      <c r="D19" s="79">
        <f>+D15*D18</f>
        <v>452139.95254800003</v>
      </c>
      <c r="E19" s="79">
        <f>+D19-C19</f>
        <v>205929.71682600002</v>
      </c>
      <c r="F19" s="80">
        <f>IF(C19=0,0,+E19/C19)</f>
        <v>0.83639787038959101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764.62806124844724</v>
      </c>
      <c r="D20" s="79">
        <f>IF(D13=0,0,+D19/D13)</f>
        <v>854.70690462759933</v>
      </c>
      <c r="E20" s="79">
        <f>+D20-C20</f>
        <v>90.07884337915209</v>
      </c>
      <c r="F20" s="80">
        <f>IF(C20=0,0,+E20/C20)</f>
        <v>0.11780739936757718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163974</v>
      </c>
      <c r="D22" s="76">
        <v>259338</v>
      </c>
      <c r="E22" s="76">
        <f>+D22-C22</f>
        <v>95364</v>
      </c>
      <c r="F22" s="77">
        <f>IF(C22=0,0,+E22/C22)</f>
        <v>0.58158000658641007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539804</v>
      </c>
      <c r="D23" s="185">
        <v>127682</v>
      </c>
      <c r="E23" s="185">
        <f>+D23-C23</f>
        <v>-412122</v>
      </c>
      <c r="F23" s="77">
        <f>IF(C23=0,0,+E23/C23)</f>
        <v>-0.76346599876992394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93584</v>
      </c>
      <c r="D24" s="185">
        <v>1121184</v>
      </c>
      <c r="E24" s="185">
        <f>+D24-C24</f>
        <v>1027600</v>
      </c>
      <c r="F24" s="77">
        <f>IF(C24=0,0,+E24/C24)</f>
        <v>10.980509488801504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797362</v>
      </c>
      <c r="D25" s="79">
        <f>+D22+D23+D24</f>
        <v>1508204</v>
      </c>
      <c r="E25" s="79">
        <f>+E22+E23+E24</f>
        <v>710842</v>
      </c>
      <c r="F25" s="80">
        <f>IF(C25=0,0,+E25/C25)</f>
        <v>0.89149219551470971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134</v>
      </c>
      <c r="D27" s="185">
        <v>569</v>
      </c>
      <c r="E27" s="185">
        <f>+D27-C27</f>
        <v>435</v>
      </c>
      <c r="F27" s="77">
        <f>IF(C27=0,0,+E27/C27)</f>
        <v>3.2462686567164178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27</v>
      </c>
      <c r="D28" s="185">
        <v>42</v>
      </c>
      <c r="E28" s="185">
        <f>+D28-C28</f>
        <v>15</v>
      </c>
      <c r="F28" s="77">
        <f>IF(C28=0,0,+E28/C28)</f>
        <v>0.55555555555555558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264</v>
      </c>
      <c r="D29" s="185">
        <v>1535</v>
      </c>
      <c r="E29" s="185">
        <f>+D29-C29</f>
        <v>1271</v>
      </c>
      <c r="F29" s="77">
        <f>IF(C29=0,0,+E29/C29)</f>
        <v>4.8143939393939394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191</v>
      </c>
      <c r="D30" s="185">
        <v>268</v>
      </c>
      <c r="E30" s="185">
        <f>+D30-C30</f>
        <v>77</v>
      </c>
      <c r="F30" s="77">
        <f>IF(C30=0,0,+E30/C30)</f>
        <v>0.40314136125654448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638016</v>
      </c>
      <c r="D33" s="76">
        <v>341457</v>
      </c>
      <c r="E33" s="76">
        <f>+D33-C33</f>
        <v>-296559</v>
      </c>
      <c r="F33" s="77">
        <f>IF(C33=0,0,+E33/C33)</f>
        <v>-0.46481436202226906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1231210</v>
      </c>
      <c r="D34" s="185">
        <v>168112</v>
      </c>
      <c r="E34" s="185">
        <f>+D34-C34</f>
        <v>-1063098</v>
      </c>
      <c r="F34" s="77">
        <f>IF(C34=0,0,+E34/C34)</f>
        <v>-0.86345789913987059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1741402</v>
      </c>
      <c r="D35" s="185">
        <v>1476204</v>
      </c>
      <c r="E35" s="185">
        <f>+D35-C35</f>
        <v>-265198</v>
      </c>
      <c r="F35" s="77">
        <f>IF(C35=0,0,+E35/C35)</f>
        <v>-0.15228993649944125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3610628</v>
      </c>
      <c r="D36" s="79">
        <f>+D33+D34+D35</f>
        <v>1985773</v>
      </c>
      <c r="E36" s="79">
        <f>+E33+E34+E35</f>
        <v>-1624855</v>
      </c>
      <c r="F36" s="80">
        <f>IF(C36=0,0,+E36/C36)</f>
        <v>-0.45002005191340677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797362</v>
      </c>
      <c r="D39" s="76">
        <f>+D25</f>
        <v>1508204</v>
      </c>
      <c r="E39" s="76">
        <f>+D39-C39</f>
        <v>710842</v>
      </c>
      <c r="F39" s="77">
        <f>IF(C39=0,0,+E39/C39)</f>
        <v>0.89149219551470971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3610628</v>
      </c>
      <c r="D40" s="185">
        <f>+D36</f>
        <v>1985773</v>
      </c>
      <c r="E40" s="185">
        <f>+D40-C40</f>
        <v>-1624855</v>
      </c>
      <c r="F40" s="77">
        <f>IF(C40=0,0,+E40/C40)</f>
        <v>-0.45002005191340677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4407990</v>
      </c>
      <c r="D41" s="79">
        <f>+D39+D40</f>
        <v>3493977</v>
      </c>
      <c r="E41" s="79">
        <f>+E39+E40</f>
        <v>-914013</v>
      </c>
      <c r="F41" s="80">
        <f>IF(C41=0,0,+E41/C41)</f>
        <v>-0.2073536918187201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801990</v>
      </c>
      <c r="D43" s="76">
        <f t="shared" si="0"/>
        <v>600795</v>
      </c>
      <c r="E43" s="76">
        <f>+D43-C43</f>
        <v>-201195</v>
      </c>
      <c r="F43" s="77">
        <f>IF(C43=0,0,+E43/C43)</f>
        <v>-0.25086971159241389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1771014</v>
      </c>
      <c r="D44" s="185">
        <f t="shared" si="0"/>
        <v>295794</v>
      </c>
      <c r="E44" s="185">
        <f>+D44-C44</f>
        <v>-1475220</v>
      </c>
      <c r="F44" s="77">
        <f>IF(C44=0,0,+E44/C44)</f>
        <v>-0.83298042816149387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1834986</v>
      </c>
      <c r="D45" s="185">
        <f t="shared" si="0"/>
        <v>2597388</v>
      </c>
      <c r="E45" s="185">
        <f>+D45-C45</f>
        <v>762402</v>
      </c>
      <c r="F45" s="77">
        <f>IF(C45=0,0,+E45/C45)</f>
        <v>0.41548109903835778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4407990</v>
      </c>
      <c r="D46" s="79">
        <f>+D43+D44+D45</f>
        <v>3493977</v>
      </c>
      <c r="E46" s="79">
        <f>+E43+E44+E45</f>
        <v>-914013</v>
      </c>
      <c r="F46" s="80">
        <f>IF(C46=0,0,+E46/C46)</f>
        <v>-0.2073536918187201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78292359</v>
      </c>
      <c r="D15" s="76">
        <v>77680331</v>
      </c>
      <c r="E15" s="76">
        <f>+D15-C15</f>
        <v>-612028</v>
      </c>
      <c r="F15" s="77">
        <f>IF(C15=0,0,E15/C15)</f>
        <v>-7.8172124051083969E-3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44431337</v>
      </c>
      <c r="D17" s="76">
        <v>45810211</v>
      </c>
      <c r="E17" s="76">
        <f>+D17-C17</f>
        <v>1378874</v>
      </c>
      <c r="F17" s="77">
        <f>IF(C17=0,0,E17/C17)</f>
        <v>3.103381741584774E-2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33861022</v>
      </c>
      <c r="D19" s="79">
        <f>+D15-D17</f>
        <v>31870120</v>
      </c>
      <c r="E19" s="79">
        <f>+D19-C19</f>
        <v>-1990902</v>
      </c>
      <c r="F19" s="80">
        <f>IF(C19=0,0,E19/C19)</f>
        <v>-5.879627614311228E-2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0.56750540624277268</v>
      </c>
      <c r="D21" s="720">
        <f>IF(D15=0,0,D17/D15)</f>
        <v>0.58972728888088799</v>
      </c>
      <c r="E21" s="720">
        <f>+D21-C21</f>
        <v>2.2221882638115309E-2</v>
      </c>
      <c r="F21" s="80">
        <f>IF(C21=0,0,E21/C21)</f>
        <v>3.9157129418797162E-2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76888784</v>
      </c>
      <c r="D10" s="744">
        <v>74614647</v>
      </c>
      <c r="E10" s="744">
        <v>70772578</v>
      </c>
    </row>
    <row r="11" spans="1:6" ht="26.1" customHeight="1" x14ac:dyDescent="0.25">
      <c r="A11" s="742">
        <v>2</v>
      </c>
      <c r="B11" s="743" t="s">
        <v>933</v>
      </c>
      <c r="C11" s="744">
        <v>150411288</v>
      </c>
      <c r="D11" s="744">
        <v>152882315</v>
      </c>
      <c r="E11" s="744">
        <v>157592428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227300072</v>
      </c>
      <c r="D12" s="744">
        <f>+D11+D10</f>
        <v>227496962</v>
      </c>
      <c r="E12" s="744">
        <f>+E11+E10</f>
        <v>228365006</v>
      </c>
    </row>
    <row r="13" spans="1:6" ht="26.1" customHeight="1" x14ac:dyDescent="0.25">
      <c r="A13" s="742">
        <v>4</v>
      </c>
      <c r="B13" s="743" t="s">
        <v>507</v>
      </c>
      <c r="C13" s="744">
        <v>68528682</v>
      </c>
      <c r="D13" s="744">
        <v>63002481</v>
      </c>
      <c r="E13" s="744">
        <v>57986143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72159655</v>
      </c>
      <c r="D16" s="744">
        <v>68867915</v>
      </c>
      <c r="E16" s="744">
        <v>69446518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11155</v>
      </c>
      <c r="D19" s="747">
        <v>9873</v>
      </c>
      <c r="E19" s="747">
        <v>10010</v>
      </c>
    </row>
    <row r="20" spans="1:5" ht="26.1" customHeight="1" x14ac:dyDescent="0.25">
      <c r="A20" s="742">
        <v>2</v>
      </c>
      <c r="B20" s="743" t="s">
        <v>381</v>
      </c>
      <c r="C20" s="748">
        <v>2341</v>
      </c>
      <c r="D20" s="748">
        <v>2112</v>
      </c>
      <c r="E20" s="748">
        <v>2052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4.7650576676633918</v>
      </c>
      <c r="D21" s="749">
        <f>IF(D20=0,0,+D19/D20)</f>
        <v>4.6747159090909092</v>
      </c>
      <c r="E21" s="749">
        <f>IF(E20=0,0,+E19/E20)</f>
        <v>4.8781676413255362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32976.621182616182</v>
      </c>
      <c r="D22" s="748">
        <f>IF(D10=0,0,D19*(D12/D10))</f>
        <v>30102.367244677844</v>
      </c>
      <c r="E22" s="748">
        <f>IF(E10=0,0,E19*(E12/E10))</f>
        <v>32299.709501326914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6920.5083091442839</v>
      </c>
      <c r="D23" s="748">
        <f>IF(D10=0,0,D20*(D12/D10))</f>
        <v>6439.4003464762091</v>
      </c>
      <c r="E23" s="748">
        <f>IF(E10=0,0,E20*(E12/E10))</f>
        <v>6621.2791105617207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1.5519986544211875</v>
      </c>
      <c r="D26" s="750">
        <v>1.6986523674242422</v>
      </c>
      <c r="E26" s="750">
        <v>1.6672093079922028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17312.544990068345</v>
      </c>
      <c r="D27" s="748">
        <f>D19*D26</f>
        <v>16770.794823579545</v>
      </c>
      <c r="E27" s="748">
        <f>E19*E26</f>
        <v>16688.76517300195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3633.22885</v>
      </c>
      <c r="D28" s="748">
        <f>D20*D26</f>
        <v>3587.5537999999997</v>
      </c>
      <c r="E28" s="748">
        <f>E20*E26</f>
        <v>3421.1134999999999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51179.671702777538</v>
      </c>
      <c r="D29" s="748">
        <f>D22*D26</f>
        <v>51133.45738524598</v>
      </c>
      <c r="E29" s="748">
        <f>E22*E26</f>
        <v>53850.376326056423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10740.619583702575</v>
      </c>
      <c r="D30" s="748">
        <f>D23*D26</f>
        <v>10938.302643334298</v>
      </c>
      <c r="E30" s="748">
        <f>E23*E26</f>
        <v>11039.058163942835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20376.519229045272</v>
      </c>
      <c r="D33" s="744">
        <f>IF(D19=0,0,D12/D19)</f>
        <v>23042.333839765015</v>
      </c>
      <c r="E33" s="744">
        <f>IF(E19=0,0,E12/E19)</f>
        <v>22813.686913086913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97095.289192652708</v>
      </c>
      <c r="D34" s="744">
        <f>IF(D20=0,0,D12/D20)</f>
        <v>107716.36458333333</v>
      </c>
      <c r="E34" s="744">
        <f>IF(E20=0,0,E12/E20)</f>
        <v>111288.98927875243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6892.7641416405195</v>
      </c>
      <c r="D35" s="744">
        <f>IF(D22=0,0,D12/D22)</f>
        <v>7557.4442418717717</v>
      </c>
      <c r="E35" s="744">
        <f>IF(E22=0,0,E12/E22)</f>
        <v>7070.1876123876118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32844.418624519429</v>
      </c>
      <c r="D36" s="744">
        <f>IF(D23=0,0,D12/D23)</f>
        <v>35328.904829545449</v>
      </c>
      <c r="E36" s="744">
        <f>IF(E23=0,0,E12/E23)</f>
        <v>34489.560428849902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4441.2178593100343</v>
      </c>
      <c r="D37" s="744">
        <f>IF(D29=0,0,D12/D29)</f>
        <v>4449.0823353877468</v>
      </c>
      <c r="E37" s="744">
        <f>IF(E29=0,0,E12/E29)</f>
        <v>4240.7318496212938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21162.659214268871</v>
      </c>
      <c r="D38" s="744">
        <f>IF(D30=0,0,D12/D30)</f>
        <v>20798.195974092432</v>
      </c>
      <c r="E38" s="744">
        <f>IF(E30=0,0,E12/E30)</f>
        <v>20687.000884361187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2331.6149818445429</v>
      </c>
      <c r="D39" s="744">
        <f>IF(D22=0,0,D10/D22)</f>
        <v>2478.6969873006256</v>
      </c>
      <c r="E39" s="744">
        <f>IF(E22=0,0,E10/E22)</f>
        <v>2191.1211925015168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11110.279847277179</v>
      </c>
      <c r="D40" s="744">
        <f>IF(D23=0,0,D10/D23)</f>
        <v>11587.20424034994</v>
      </c>
      <c r="E40" s="744">
        <f>IF(E23=0,0,E10/E23)</f>
        <v>10688.656499483521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6143.3152846257281</v>
      </c>
      <c r="D43" s="744">
        <f>IF(D19=0,0,D13/D19)</f>
        <v>6381.2904892130055</v>
      </c>
      <c r="E43" s="744">
        <f>IF(E19=0,0,E13/E19)</f>
        <v>5792.8214785214786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29273.25160187954</v>
      </c>
      <c r="D44" s="744">
        <f>IF(D20=0,0,D13/D20)</f>
        <v>29830.720170454544</v>
      </c>
      <c r="E44" s="744">
        <f>IF(E20=0,0,E13/E20)</f>
        <v>28258.354288499024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2078.0989544230592</v>
      </c>
      <c r="D45" s="744">
        <f>IF(D22=0,0,D13/D22)</f>
        <v>2092.941079613563</v>
      </c>
      <c r="E45" s="744">
        <f>IF(E22=0,0,E13/E22)</f>
        <v>1795.2527714720734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9902.261356936875</v>
      </c>
      <c r="D46" s="744">
        <f>IF(D23=0,0,D13/D23)</f>
        <v>9783.9049616594239</v>
      </c>
      <c r="E46" s="744">
        <f>IF(E23=0,0,E13/E23)</f>
        <v>8757.543977795056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1338.9824459597096</v>
      </c>
      <c r="D47" s="744">
        <f>IF(D29=0,0,D13/D29)</f>
        <v>1232.1185427641101</v>
      </c>
      <c r="E47" s="744">
        <f>IF(E29=0,0,E13/E29)</f>
        <v>1076.8010728263457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6380.3285709869961</v>
      </c>
      <c r="D48" s="744">
        <f>IF(D30=0,0,D13/D30)</f>
        <v>5759.8041537452918</v>
      </c>
      <c r="E48" s="744">
        <f>IF(E30=0,0,E13/E30)</f>
        <v>5252.8161496061011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6468.8171223666513</v>
      </c>
      <c r="D51" s="744">
        <f>IF(D19=0,0,D16/D19)</f>
        <v>6975.3788108984099</v>
      </c>
      <c r="E51" s="744">
        <f>IF(E19=0,0,E16/E19)</f>
        <v>6937.7140859140864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30824.286629645452</v>
      </c>
      <c r="D52" s="744">
        <f>IF(D20=0,0,D16/D20)</f>
        <v>32607.914299242424</v>
      </c>
      <c r="E52" s="744">
        <f>IF(E20=0,0,E16/E20)</f>
        <v>33843.332358674466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2188.2064448142851</v>
      </c>
      <c r="D53" s="744">
        <f>IF(D22=0,0,D16/D22)</f>
        <v>2287.790672415505</v>
      </c>
      <c r="E53" s="744">
        <f>IF(E22=0,0,E16/E22)</f>
        <v>2150.0663340996007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10426.929898292759</v>
      </c>
      <c r="D54" s="744">
        <f>IF(D23=0,0,D16/D23)</f>
        <v>10694.77145301055</v>
      </c>
      <c r="E54" s="744">
        <f>IF(E23=0,0,E16/E23)</f>
        <v>10488.384017708091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1409.9280554018067</v>
      </c>
      <c r="D55" s="744">
        <f>IF(D29=0,0,D16/D29)</f>
        <v>1346.8268824683682</v>
      </c>
      <c r="E55" s="744">
        <f>IF(E29=0,0,E16/E29)</f>
        <v>1289.6199198221223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6718.3884912461135</v>
      </c>
      <c r="D56" s="744">
        <f>IF(D30=0,0,D16/D30)</f>
        <v>6296.0330542661914</v>
      </c>
      <c r="E56" s="744">
        <f>IF(E30=0,0,E16/E30)</f>
        <v>6290.9821624851102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9189889</v>
      </c>
      <c r="D59" s="752">
        <v>8525609</v>
      </c>
      <c r="E59" s="752">
        <v>8523715</v>
      </c>
    </row>
    <row r="60" spans="1:6" ht="26.1" customHeight="1" x14ac:dyDescent="0.25">
      <c r="A60" s="742">
        <v>2</v>
      </c>
      <c r="B60" s="743" t="s">
        <v>969</v>
      </c>
      <c r="C60" s="752">
        <v>2915782</v>
      </c>
      <c r="D60" s="752">
        <v>3040436</v>
      </c>
      <c r="E60" s="752">
        <v>2857848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12105671</v>
      </c>
      <c r="D61" s="755">
        <f>D59+D60</f>
        <v>11566045</v>
      </c>
      <c r="E61" s="755">
        <f>E59+E60</f>
        <v>11381563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4326903</v>
      </c>
      <c r="D64" s="744">
        <v>3935827</v>
      </c>
      <c r="E64" s="752">
        <v>3657020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1304736</v>
      </c>
      <c r="D65" s="752">
        <v>1302546</v>
      </c>
      <c r="E65" s="752">
        <v>1333779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5631639</v>
      </c>
      <c r="D66" s="757">
        <f>D64+D65</f>
        <v>5238373</v>
      </c>
      <c r="E66" s="757">
        <f>E64+E65</f>
        <v>4990799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18943461</v>
      </c>
      <c r="D69" s="752">
        <v>18217122</v>
      </c>
      <c r="E69" s="752">
        <v>15865046</v>
      </c>
    </row>
    <row r="70" spans="1:6" ht="26.1" customHeight="1" x14ac:dyDescent="0.25">
      <c r="A70" s="742">
        <v>2</v>
      </c>
      <c r="B70" s="743" t="s">
        <v>977</v>
      </c>
      <c r="C70" s="752">
        <v>5140279</v>
      </c>
      <c r="D70" s="752">
        <v>5356227</v>
      </c>
      <c r="E70" s="752">
        <v>5780729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24083740</v>
      </c>
      <c r="D71" s="755">
        <f>D69+D70</f>
        <v>23573349</v>
      </c>
      <c r="E71" s="755">
        <f>E69+E70</f>
        <v>21645775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32460253</v>
      </c>
      <c r="D75" s="744">
        <f t="shared" si="0"/>
        <v>30678558</v>
      </c>
      <c r="E75" s="744">
        <f t="shared" si="0"/>
        <v>28045781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9360797</v>
      </c>
      <c r="D76" s="744">
        <f t="shared" si="0"/>
        <v>9699209</v>
      </c>
      <c r="E76" s="744">
        <f t="shared" si="0"/>
        <v>9972356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41821050</v>
      </c>
      <c r="D77" s="757">
        <f>D75+D76</f>
        <v>40377767</v>
      </c>
      <c r="E77" s="757">
        <f>E75+E76</f>
        <v>38018137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112.3</v>
      </c>
      <c r="D80" s="749">
        <v>102.9</v>
      </c>
      <c r="E80" s="749">
        <v>88.4</v>
      </c>
    </row>
    <row r="81" spans="1:5" ht="26.1" customHeight="1" x14ac:dyDescent="0.25">
      <c r="A81" s="742">
        <v>2</v>
      </c>
      <c r="B81" s="743" t="s">
        <v>617</v>
      </c>
      <c r="C81" s="749">
        <v>6</v>
      </c>
      <c r="D81" s="749">
        <v>4.5999999999999996</v>
      </c>
      <c r="E81" s="749">
        <v>5.6</v>
      </c>
    </row>
    <row r="82" spans="1:5" ht="26.1" customHeight="1" x14ac:dyDescent="0.25">
      <c r="A82" s="742">
        <v>3</v>
      </c>
      <c r="B82" s="743" t="s">
        <v>983</v>
      </c>
      <c r="C82" s="749">
        <v>304.39999999999998</v>
      </c>
      <c r="D82" s="749">
        <v>273.60000000000002</v>
      </c>
      <c r="E82" s="749">
        <v>249.7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422.7</v>
      </c>
      <c r="D83" s="759">
        <f>D80+D81+D82</f>
        <v>381.1</v>
      </c>
      <c r="E83" s="759">
        <f>E80+E81+E82</f>
        <v>343.7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81833.38379341051</v>
      </c>
      <c r="D86" s="752">
        <f>IF(D80=0,0,D59/D80)</f>
        <v>82853.343051506308</v>
      </c>
      <c r="E86" s="752">
        <f>IF(E80=0,0,E59/E80)</f>
        <v>96422.115384615376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25964.220837043635</v>
      </c>
      <c r="D87" s="752">
        <f>IF(D80=0,0,D60/D80)</f>
        <v>29547.482993197278</v>
      </c>
      <c r="E87" s="752">
        <f>IF(E80=0,0,E60/E80)</f>
        <v>32328.59728506787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107797.60463045415</v>
      </c>
      <c r="D88" s="755">
        <f>+D86+D87</f>
        <v>112400.82604470359</v>
      </c>
      <c r="E88" s="755">
        <f>+E86+E87</f>
        <v>128750.71266968324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721150.5</v>
      </c>
      <c r="D91" s="744">
        <f>IF(D81=0,0,D64/D81)</f>
        <v>855614.56521739135</v>
      </c>
      <c r="E91" s="744">
        <f>IF(E81=0,0,E64/E81)</f>
        <v>653039.2857142858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217456</v>
      </c>
      <c r="D92" s="744">
        <f>IF(D81=0,0,D65/D81)</f>
        <v>283162.17391304352</v>
      </c>
      <c r="E92" s="744">
        <f>IF(E81=0,0,E65/E81)</f>
        <v>238174.82142857145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938606.5</v>
      </c>
      <c r="D93" s="757">
        <f>+D91+D92</f>
        <v>1138776.7391304348</v>
      </c>
      <c r="E93" s="757">
        <f>+E91+E92</f>
        <v>891214.10714285728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62232.132063074903</v>
      </c>
      <c r="D96" s="752">
        <f>IF(D82=0,0,D69/D82)</f>
        <v>66583.048245614031</v>
      </c>
      <c r="E96" s="752">
        <f>IF(E82=0,0,E69/E82)</f>
        <v>63536.427713255907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16886.593298291722</v>
      </c>
      <c r="D97" s="752">
        <f>IF(D82=0,0,D70/D82)</f>
        <v>19576.853070175435</v>
      </c>
      <c r="E97" s="752">
        <f>IF(E82=0,0,E70/E82)</f>
        <v>23150.696836203446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79118.725361366625</v>
      </c>
      <c r="D98" s="757">
        <f>+D96+D97</f>
        <v>86159.901315789466</v>
      </c>
      <c r="E98" s="757">
        <f>+E96+E97</f>
        <v>86687.124549459346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76792.649633309673</v>
      </c>
      <c r="D101" s="744">
        <f>IF(D83=0,0,D75/D83)</f>
        <v>80500.020991865647</v>
      </c>
      <c r="E101" s="744">
        <f>IF(E83=0,0,E75/E83)</f>
        <v>81599.595577538552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22145.249585994796</v>
      </c>
      <c r="D102" s="761">
        <f>IF(D83=0,0,D76/D83)</f>
        <v>25450.561532406191</v>
      </c>
      <c r="E102" s="761">
        <f>IF(E83=0,0,E76/E83)</f>
        <v>29014.710503345941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98937.899219304469</v>
      </c>
      <c r="D103" s="757">
        <f>+D101+D102</f>
        <v>105950.58252427184</v>
      </c>
      <c r="E103" s="757">
        <f>+E101+E102</f>
        <v>110614.30608088449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3749.0856118332586</v>
      </c>
      <c r="D108" s="744">
        <f>IF(D19=0,0,D77/D19)</f>
        <v>4089.7160943988656</v>
      </c>
      <c r="E108" s="744">
        <f>IF(E19=0,0,E77/E19)</f>
        <v>3798.0156843156842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17864.609141392568</v>
      </c>
      <c r="D109" s="744">
        <f>IF(D20=0,0,D77/D20)</f>
        <v>19118.260890151516</v>
      </c>
      <c r="E109" s="744">
        <f>IF(E20=0,0,E77/E20)</f>
        <v>18527.357212475632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1268.2030026182977</v>
      </c>
      <c r="D110" s="744">
        <f>IF(D22=0,0,D77/D22)</f>
        <v>1341.348561453713</v>
      </c>
      <c r="E110" s="744">
        <f>IF(E22=0,0,E77/E22)</f>
        <v>1177.0426913108356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6043.060441780055</v>
      </c>
      <c r="D111" s="744">
        <f>IF(D23=0,0,D77/D23)</f>
        <v>6270.4234598638768</v>
      </c>
      <c r="E111" s="744">
        <f>IF(E23=0,0,E77/E23)</f>
        <v>5741.8115692112406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817.14181839369553</v>
      </c>
      <c r="D112" s="744">
        <f>IF(D29=0,0,D77/D29)</f>
        <v>789.65454449498225</v>
      </c>
      <c r="E112" s="744">
        <f>IF(E29=0,0,E77/E29)</f>
        <v>705.99575330366406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3893.7278873052851</v>
      </c>
      <c r="D113" s="744">
        <f>IF(D30=0,0,D77/D30)</f>
        <v>3691.4106618366282</v>
      </c>
      <c r="E113" s="744">
        <f>IF(E30=0,0,E77/E30)</f>
        <v>3443.9656386791798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227496962</v>
      </c>
      <c r="D12" s="76">
        <v>228365004</v>
      </c>
      <c r="E12" s="76">
        <f t="shared" ref="E12:E21" si="0">D12-C12</f>
        <v>868042</v>
      </c>
      <c r="F12" s="77">
        <f t="shared" ref="F12:F21" si="1">IF(C12=0,0,E12/C12)</f>
        <v>3.8156201839741489E-3</v>
      </c>
    </row>
    <row r="13" spans="1:8" ht="23.1" customHeight="1" x14ac:dyDescent="0.2">
      <c r="A13" s="74">
        <v>2</v>
      </c>
      <c r="B13" s="75" t="s">
        <v>72</v>
      </c>
      <c r="C13" s="76">
        <v>160647774</v>
      </c>
      <c r="D13" s="76">
        <v>166884884</v>
      </c>
      <c r="E13" s="76">
        <f t="shared" si="0"/>
        <v>6237110</v>
      </c>
      <c r="F13" s="77">
        <f t="shared" si="1"/>
        <v>3.8824752093981708E-2</v>
      </c>
    </row>
    <row r="14" spans="1:8" ht="23.1" customHeight="1" x14ac:dyDescent="0.2">
      <c r="A14" s="74">
        <v>3</v>
      </c>
      <c r="B14" s="75" t="s">
        <v>73</v>
      </c>
      <c r="C14" s="76">
        <v>236079</v>
      </c>
      <c r="D14" s="76">
        <v>1508204</v>
      </c>
      <c r="E14" s="76">
        <f t="shared" si="0"/>
        <v>1272125</v>
      </c>
      <c r="F14" s="77">
        <f t="shared" si="1"/>
        <v>5.3885563730785035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66613109</v>
      </c>
      <c r="D16" s="79">
        <f>D12-D13-D14-D15</f>
        <v>59971916</v>
      </c>
      <c r="E16" s="79">
        <f t="shared" si="0"/>
        <v>-6641193</v>
      </c>
      <c r="F16" s="80">
        <f t="shared" si="1"/>
        <v>-9.969798887483243E-2</v>
      </c>
    </row>
    <row r="17" spans="1:7" ht="23.1" customHeight="1" x14ac:dyDescent="0.2">
      <c r="A17" s="74">
        <v>5</v>
      </c>
      <c r="B17" s="75" t="s">
        <v>76</v>
      </c>
      <c r="C17" s="76">
        <v>3610628</v>
      </c>
      <c r="D17" s="76">
        <v>1985773</v>
      </c>
      <c r="E17" s="76">
        <f t="shared" si="0"/>
        <v>-1624855</v>
      </c>
      <c r="F17" s="77">
        <f t="shared" si="1"/>
        <v>-0.45002005191340677</v>
      </c>
      <c r="G17" s="65"/>
    </row>
    <row r="18" spans="1:7" ht="31.5" customHeight="1" x14ac:dyDescent="0.25">
      <c r="A18" s="71"/>
      <c r="B18" s="81" t="s">
        <v>77</v>
      </c>
      <c r="C18" s="79">
        <f>C16-C17</f>
        <v>63002481</v>
      </c>
      <c r="D18" s="79">
        <f>D16-D17</f>
        <v>57986143</v>
      </c>
      <c r="E18" s="79">
        <f t="shared" si="0"/>
        <v>-5016338</v>
      </c>
      <c r="F18" s="80">
        <f t="shared" si="1"/>
        <v>-7.9621277136689261E-2</v>
      </c>
    </row>
    <row r="19" spans="1:7" ht="23.1" customHeight="1" x14ac:dyDescent="0.2">
      <c r="A19" s="74">
        <v>6</v>
      </c>
      <c r="B19" s="75" t="s">
        <v>78</v>
      </c>
      <c r="C19" s="76">
        <v>2175391</v>
      </c>
      <c r="D19" s="76">
        <v>1135866</v>
      </c>
      <c r="E19" s="76">
        <f t="shared" si="0"/>
        <v>-1039525</v>
      </c>
      <c r="F19" s="77">
        <f t="shared" si="1"/>
        <v>-0.4778566243953386</v>
      </c>
      <c r="G19" s="65"/>
    </row>
    <row r="20" spans="1:7" ht="33" customHeight="1" x14ac:dyDescent="0.2">
      <c r="A20" s="74">
        <v>7</v>
      </c>
      <c r="B20" s="82" t="s">
        <v>79</v>
      </c>
      <c r="C20" s="76">
        <v>50382</v>
      </c>
      <c r="D20" s="76">
        <v>158671</v>
      </c>
      <c r="E20" s="76">
        <f t="shared" si="0"/>
        <v>108289</v>
      </c>
      <c r="F20" s="77">
        <f t="shared" si="1"/>
        <v>2.1493588980191336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65228254</v>
      </c>
      <c r="D21" s="79">
        <f>SUM(D18:D20)</f>
        <v>59280680</v>
      </c>
      <c r="E21" s="79">
        <f t="shared" si="0"/>
        <v>-5947574</v>
      </c>
      <c r="F21" s="80">
        <f t="shared" si="1"/>
        <v>-9.1180947446485389E-2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30678558</v>
      </c>
      <c r="D24" s="76">
        <v>28045781</v>
      </c>
      <c r="E24" s="76">
        <f t="shared" ref="E24:E33" si="2">D24-C24</f>
        <v>-2632777</v>
      </c>
      <c r="F24" s="77">
        <f t="shared" ref="F24:F33" si="3">IF(C24=0,0,E24/C24)</f>
        <v>-8.5818146993740713E-2</v>
      </c>
    </row>
    <row r="25" spans="1:7" ht="23.1" customHeight="1" x14ac:dyDescent="0.2">
      <c r="A25" s="74">
        <v>2</v>
      </c>
      <c r="B25" s="75" t="s">
        <v>83</v>
      </c>
      <c r="C25" s="76">
        <v>9699209</v>
      </c>
      <c r="D25" s="76">
        <v>9972356</v>
      </c>
      <c r="E25" s="76">
        <f t="shared" si="2"/>
        <v>273147</v>
      </c>
      <c r="F25" s="77">
        <f t="shared" si="3"/>
        <v>2.8161781027710612E-2</v>
      </c>
    </row>
    <row r="26" spans="1:7" ht="23.1" customHeight="1" x14ac:dyDescent="0.2">
      <c r="A26" s="74">
        <v>3</v>
      </c>
      <c r="B26" s="75" t="s">
        <v>84</v>
      </c>
      <c r="C26" s="76">
        <v>4225295</v>
      </c>
      <c r="D26" s="76">
        <v>4496578</v>
      </c>
      <c r="E26" s="76">
        <f t="shared" si="2"/>
        <v>271283</v>
      </c>
      <c r="F26" s="77">
        <f t="shared" si="3"/>
        <v>6.4204511164309239E-2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9555437</v>
      </c>
      <c r="D27" s="76">
        <v>8262777</v>
      </c>
      <c r="E27" s="76">
        <f t="shared" si="2"/>
        <v>-1292660</v>
      </c>
      <c r="F27" s="77">
        <f t="shared" si="3"/>
        <v>-0.13528005050946387</v>
      </c>
    </row>
    <row r="28" spans="1:7" ht="23.1" customHeight="1" x14ac:dyDescent="0.2">
      <c r="A28" s="74">
        <v>5</v>
      </c>
      <c r="B28" s="75" t="s">
        <v>86</v>
      </c>
      <c r="C28" s="76">
        <v>3138917</v>
      </c>
      <c r="D28" s="76">
        <v>3073437</v>
      </c>
      <c r="E28" s="76">
        <f t="shared" si="2"/>
        <v>-65480</v>
      </c>
      <c r="F28" s="77">
        <f t="shared" si="3"/>
        <v>-2.0860698132508761E-2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697473</v>
      </c>
      <c r="D30" s="76">
        <v>678065</v>
      </c>
      <c r="E30" s="76">
        <f t="shared" si="2"/>
        <v>-19408</v>
      </c>
      <c r="F30" s="77">
        <f t="shared" si="3"/>
        <v>-2.7826166747673388E-2</v>
      </c>
    </row>
    <row r="31" spans="1:7" ht="23.1" customHeight="1" x14ac:dyDescent="0.2">
      <c r="A31" s="74">
        <v>8</v>
      </c>
      <c r="B31" s="75" t="s">
        <v>89</v>
      </c>
      <c r="C31" s="76">
        <v>1134624</v>
      </c>
      <c r="D31" s="76">
        <v>3035790</v>
      </c>
      <c r="E31" s="76">
        <f t="shared" si="2"/>
        <v>1901166</v>
      </c>
      <c r="F31" s="77">
        <f t="shared" si="3"/>
        <v>1.6755912090701413</v>
      </c>
    </row>
    <row r="32" spans="1:7" ht="23.1" customHeight="1" x14ac:dyDescent="0.2">
      <c r="A32" s="74">
        <v>9</v>
      </c>
      <c r="B32" s="75" t="s">
        <v>90</v>
      </c>
      <c r="C32" s="76">
        <v>9738402</v>
      </c>
      <c r="D32" s="76">
        <v>11881734</v>
      </c>
      <c r="E32" s="76">
        <f t="shared" si="2"/>
        <v>2143332</v>
      </c>
      <c r="F32" s="77">
        <f t="shared" si="3"/>
        <v>0.22009072946464933</v>
      </c>
    </row>
    <row r="33" spans="1:6" ht="23.1" customHeight="1" x14ac:dyDescent="0.25">
      <c r="A33" s="71"/>
      <c r="B33" s="78" t="s">
        <v>91</v>
      </c>
      <c r="C33" s="79">
        <f>SUM(C24:C32)</f>
        <v>68867915</v>
      </c>
      <c r="D33" s="79">
        <f>SUM(D24:D32)</f>
        <v>69446518</v>
      </c>
      <c r="E33" s="79">
        <f t="shared" si="2"/>
        <v>578603</v>
      </c>
      <c r="F33" s="80">
        <f t="shared" si="3"/>
        <v>8.4016337651575488E-3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-3639661</v>
      </c>
      <c r="D35" s="79">
        <f>+D21-D33</f>
        <v>-10165838</v>
      </c>
      <c r="E35" s="79">
        <f>D35-C35</f>
        <v>-6526177</v>
      </c>
      <c r="F35" s="80">
        <f>IF(C35=0,0,E35/C35)</f>
        <v>1.7930727614467392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-546692</v>
      </c>
      <c r="D40" s="76">
        <v>-1635175</v>
      </c>
      <c r="E40" s="76">
        <f>D40-C40</f>
        <v>-1088483</v>
      </c>
      <c r="F40" s="77">
        <f>IF(C40=0,0,E40/C40)</f>
        <v>1.991035171540831</v>
      </c>
    </row>
    <row r="41" spans="1:6" ht="23.1" customHeight="1" x14ac:dyDescent="0.25">
      <c r="A41" s="83"/>
      <c r="B41" s="78" t="s">
        <v>97</v>
      </c>
      <c r="C41" s="79">
        <f>SUM(C38:C40)</f>
        <v>-546692</v>
      </c>
      <c r="D41" s="79">
        <f>SUM(D38:D40)</f>
        <v>-1635175</v>
      </c>
      <c r="E41" s="79">
        <f>D41-C41</f>
        <v>-1088483</v>
      </c>
      <c r="F41" s="80">
        <f>IF(C41=0,0,E41/C41)</f>
        <v>1.991035171540831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-4186353</v>
      </c>
      <c r="D43" s="79">
        <f>D35+D41</f>
        <v>-11801013</v>
      </c>
      <c r="E43" s="79">
        <f>D43-C43</f>
        <v>-7614660</v>
      </c>
      <c r="F43" s="80">
        <f>IF(C43=0,0,E43/C43)</f>
        <v>1.8189244910785116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-4186353</v>
      </c>
      <c r="D50" s="79">
        <f>D43+D48</f>
        <v>-11801013</v>
      </c>
      <c r="E50" s="79">
        <f>D50-C50</f>
        <v>-7614660</v>
      </c>
      <c r="F50" s="80">
        <f>IF(C50=0,0,E50/C50)</f>
        <v>1.8189244910785116</v>
      </c>
    </row>
    <row r="51" spans="1:6" ht="23.1" customHeight="1" x14ac:dyDescent="0.2">
      <c r="A51" s="85"/>
      <c r="B51" s="75" t="s">
        <v>104</v>
      </c>
      <c r="C51" s="76">
        <v>960529</v>
      </c>
      <c r="D51" s="76">
        <v>22704631</v>
      </c>
      <c r="E51" s="76">
        <f>D51-C51</f>
        <v>21744102</v>
      </c>
      <c r="F51" s="77">
        <f>IF(C51=0,0,E51/C51)</f>
        <v>22.637631971549013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36444351</v>
      </c>
      <c r="D14" s="113">
        <v>31970587</v>
      </c>
      <c r="E14" s="113">
        <f t="shared" ref="E14:E25" si="0">D14-C14</f>
        <v>-4473764</v>
      </c>
      <c r="F14" s="114">
        <f t="shared" ref="F14:F25" si="1">IF(C14=0,0,E14/C14)</f>
        <v>-0.12275603426166101</v>
      </c>
    </row>
    <row r="15" spans="1:6" x14ac:dyDescent="0.2">
      <c r="A15" s="115">
        <v>2</v>
      </c>
      <c r="B15" s="116" t="s">
        <v>114</v>
      </c>
      <c r="C15" s="113">
        <v>14884286</v>
      </c>
      <c r="D15" s="113">
        <v>13850798</v>
      </c>
      <c r="E15" s="113">
        <f t="shared" si="0"/>
        <v>-1033488</v>
      </c>
      <c r="F15" s="114">
        <f t="shared" si="1"/>
        <v>-6.9434838862945797E-2</v>
      </c>
    </row>
    <row r="16" spans="1:6" x14ac:dyDescent="0.2">
      <c r="A16" s="115">
        <v>3</v>
      </c>
      <c r="B16" s="116" t="s">
        <v>115</v>
      </c>
      <c r="C16" s="113">
        <v>9112209</v>
      </c>
      <c r="D16" s="113">
        <v>10420249</v>
      </c>
      <c r="E16" s="113">
        <f t="shared" si="0"/>
        <v>1308040</v>
      </c>
      <c r="F16" s="114">
        <f t="shared" si="1"/>
        <v>0.143548068311427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339163</v>
      </c>
      <c r="D18" s="113">
        <v>302370</v>
      </c>
      <c r="E18" s="113">
        <f t="shared" si="0"/>
        <v>-36793</v>
      </c>
      <c r="F18" s="114">
        <f t="shared" si="1"/>
        <v>-0.10848176245640002</v>
      </c>
    </row>
    <row r="19" spans="1:6" x14ac:dyDescent="0.2">
      <c r="A19" s="115">
        <v>6</v>
      </c>
      <c r="B19" s="116" t="s">
        <v>118</v>
      </c>
      <c r="C19" s="113">
        <v>1276261</v>
      </c>
      <c r="D19" s="113">
        <v>1419357</v>
      </c>
      <c r="E19" s="113">
        <f t="shared" si="0"/>
        <v>143096</v>
      </c>
      <c r="F19" s="114">
        <f t="shared" si="1"/>
        <v>0.11212126673149145</v>
      </c>
    </row>
    <row r="20" spans="1:6" x14ac:dyDescent="0.2">
      <c r="A20" s="115">
        <v>7</v>
      </c>
      <c r="B20" s="116" t="s">
        <v>119</v>
      </c>
      <c r="C20" s="113">
        <v>11717968</v>
      </c>
      <c r="D20" s="113">
        <v>11879077</v>
      </c>
      <c r="E20" s="113">
        <f t="shared" si="0"/>
        <v>161109</v>
      </c>
      <c r="F20" s="114">
        <f t="shared" si="1"/>
        <v>1.374888547229349E-2</v>
      </c>
    </row>
    <row r="21" spans="1:6" x14ac:dyDescent="0.2">
      <c r="A21" s="115">
        <v>8</v>
      </c>
      <c r="B21" s="116" t="s">
        <v>120</v>
      </c>
      <c r="C21" s="113">
        <v>361139</v>
      </c>
      <c r="D21" s="113">
        <v>446894</v>
      </c>
      <c r="E21" s="113">
        <f t="shared" si="0"/>
        <v>85755</v>
      </c>
      <c r="F21" s="114">
        <f t="shared" si="1"/>
        <v>0.23745704562509173</v>
      </c>
    </row>
    <row r="22" spans="1:6" x14ac:dyDescent="0.2">
      <c r="A22" s="115">
        <v>9</v>
      </c>
      <c r="B22" s="116" t="s">
        <v>121</v>
      </c>
      <c r="C22" s="113">
        <v>479270</v>
      </c>
      <c r="D22" s="113">
        <v>483246</v>
      </c>
      <c r="E22" s="113">
        <f t="shared" si="0"/>
        <v>3976</v>
      </c>
      <c r="F22" s="114">
        <f t="shared" si="1"/>
        <v>8.2959500907630358E-3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74614647</v>
      </c>
      <c r="D25" s="119">
        <f>SUM(D14:D24)</f>
        <v>70772578</v>
      </c>
      <c r="E25" s="119">
        <f t="shared" si="0"/>
        <v>-3842069</v>
      </c>
      <c r="F25" s="120">
        <f t="shared" si="1"/>
        <v>-5.1492155420905496E-2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37117247</v>
      </c>
      <c r="D27" s="113">
        <v>30062472</v>
      </c>
      <c r="E27" s="113">
        <f t="shared" ref="E27:E38" si="2">D27-C27</f>
        <v>-7054775</v>
      </c>
      <c r="F27" s="114">
        <f t="shared" ref="F27:F38" si="3">IF(C27=0,0,E27/C27)</f>
        <v>-0.19006730213585074</v>
      </c>
    </row>
    <row r="28" spans="1:6" x14ac:dyDescent="0.2">
      <c r="A28" s="115">
        <v>2</v>
      </c>
      <c r="B28" s="116" t="s">
        <v>114</v>
      </c>
      <c r="C28" s="113">
        <v>14569949</v>
      </c>
      <c r="D28" s="113">
        <v>21970469</v>
      </c>
      <c r="E28" s="113">
        <f t="shared" si="2"/>
        <v>7400520</v>
      </c>
      <c r="F28" s="114">
        <f t="shared" si="3"/>
        <v>0.50793039838368681</v>
      </c>
    </row>
    <row r="29" spans="1:6" x14ac:dyDescent="0.2">
      <c r="A29" s="115">
        <v>3</v>
      </c>
      <c r="B29" s="116" t="s">
        <v>115</v>
      </c>
      <c r="C29" s="113">
        <v>35637001</v>
      </c>
      <c r="D29" s="113">
        <v>37354381</v>
      </c>
      <c r="E29" s="113">
        <f t="shared" si="2"/>
        <v>1717380</v>
      </c>
      <c r="F29" s="114">
        <f t="shared" si="3"/>
        <v>4.8190923809778491E-2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1100397</v>
      </c>
      <c r="D31" s="113">
        <v>861643</v>
      </c>
      <c r="E31" s="113">
        <f t="shared" si="2"/>
        <v>-238754</v>
      </c>
      <c r="F31" s="114">
        <f t="shared" si="3"/>
        <v>-0.21697078418061844</v>
      </c>
    </row>
    <row r="32" spans="1:6" x14ac:dyDescent="0.2">
      <c r="A32" s="115">
        <v>6</v>
      </c>
      <c r="B32" s="116" t="s">
        <v>118</v>
      </c>
      <c r="C32" s="113">
        <v>3052062</v>
      </c>
      <c r="D32" s="113">
        <v>4516547</v>
      </c>
      <c r="E32" s="113">
        <f t="shared" si="2"/>
        <v>1464485</v>
      </c>
      <c r="F32" s="114">
        <f t="shared" si="3"/>
        <v>0.47983461672796951</v>
      </c>
    </row>
    <row r="33" spans="1:6" x14ac:dyDescent="0.2">
      <c r="A33" s="115">
        <v>7</v>
      </c>
      <c r="B33" s="116" t="s">
        <v>119</v>
      </c>
      <c r="C33" s="113">
        <v>56083347</v>
      </c>
      <c r="D33" s="113">
        <v>57415454</v>
      </c>
      <c r="E33" s="113">
        <f t="shared" si="2"/>
        <v>1332107</v>
      </c>
      <c r="F33" s="114">
        <f t="shared" si="3"/>
        <v>2.3752273558138391E-2</v>
      </c>
    </row>
    <row r="34" spans="1:6" x14ac:dyDescent="0.2">
      <c r="A34" s="115">
        <v>8</v>
      </c>
      <c r="B34" s="116" t="s">
        <v>120</v>
      </c>
      <c r="C34" s="113">
        <v>2259875</v>
      </c>
      <c r="D34" s="113">
        <v>2142974</v>
      </c>
      <c r="E34" s="113">
        <f t="shared" si="2"/>
        <v>-116901</v>
      </c>
      <c r="F34" s="114">
        <f t="shared" si="3"/>
        <v>-5.1728967310138832E-2</v>
      </c>
    </row>
    <row r="35" spans="1:6" x14ac:dyDescent="0.2">
      <c r="A35" s="115">
        <v>9</v>
      </c>
      <c r="B35" s="116" t="s">
        <v>121</v>
      </c>
      <c r="C35" s="113">
        <v>3062437</v>
      </c>
      <c r="D35" s="113">
        <v>3268488</v>
      </c>
      <c r="E35" s="113">
        <f t="shared" si="2"/>
        <v>206051</v>
      </c>
      <c r="F35" s="114">
        <f t="shared" si="3"/>
        <v>6.7283343298164169E-2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152882315</v>
      </c>
      <c r="D38" s="119">
        <f>SUM(D27:D37)</f>
        <v>157592428</v>
      </c>
      <c r="E38" s="119">
        <f t="shared" si="2"/>
        <v>4710113</v>
      </c>
      <c r="F38" s="120">
        <f t="shared" si="3"/>
        <v>3.0808749854422338E-2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73561598</v>
      </c>
      <c r="D41" s="119">
        <f t="shared" si="4"/>
        <v>62033059</v>
      </c>
      <c r="E41" s="123">
        <f t="shared" ref="E41:E52" si="5">D41-C41</f>
        <v>-11528539</v>
      </c>
      <c r="F41" s="124">
        <f t="shared" ref="F41:F52" si="6">IF(C41=0,0,E41/C41)</f>
        <v>-0.15671952912170287</v>
      </c>
    </row>
    <row r="42" spans="1:6" ht="15.75" x14ac:dyDescent="0.25">
      <c r="A42" s="121">
        <v>2</v>
      </c>
      <c r="B42" s="122" t="s">
        <v>114</v>
      </c>
      <c r="C42" s="119">
        <f t="shared" si="4"/>
        <v>29454235</v>
      </c>
      <c r="D42" s="119">
        <f t="shared" si="4"/>
        <v>35821267</v>
      </c>
      <c r="E42" s="123">
        <f t="shared" si="5"/>
        <v>6367032</v>
      </c>
      <c r="F42" s="124">
        <f t="shared" si="6"/>
        <v>0.21616694509295523</v>
      </c>
    </row>
    <row r="43" spans="1:6" ht="15.75" x14ac:dyDescent="0.25">
      <c r="A43" s="121">
        <v>3</v>
      </c>
      <c r="B43" s="122" t="s">
        <v>115</v>
      </c>
      <c r="C43" s="119">
        <f t="shared" si="4"/>
        <v>44749210</v>
      </c>
      <c r="D43" s="119">
        <f t="shared" si="4"/>
        <v>47774630</v>
      </c>
      <c r="E43" s="123">
        <f t="shared" si="5"/>
        <v>3025420</v>
      </c>
      <c r="F43" s="124">
        <f t="shared" si="6"/>
        <v>6.7608344370772136E-2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1439560</v>
      </c>
      <c r="D45" s="119">
        <f t="shared" si="4"/>
        <v>1164013</v>
      </c>
      <c r="E45" s="123">
        <f t="shared" si="5"/>
        <v>-275547</v>
      </c>
      <c r="F45" s="124">
        <f t="shared" si="6"/>
        <v>-0.19141056989635721</v>
      </c>
    </row>
    <row r="46" spans="1:6" ht="15.75" x14ac:dyDescent="0.25">
      <c r="A46" s="121">
        <v>6</v>
      </c>
      <c r="B46" s="122" t="s">
        <v>118</v>
      </c>
      <c r="C46" s="119">
        <f t="shared" si="4"/>
        <v>4328323</v>
      </c>
      <c r="D46" s="119">
        <f t="shared" si="4"/>
        <v>5935904</v>
      </c>
      <c r="E46" s="123">
        <f t="shared" si="5"/>
        <v>1607581</v>
      </c>
      <c r="F46" s="124">
        <f t="shared" si="6"/>
        <v>0.3714096660531111</v>
      </c>
    </row>
    <row r="47" spans="1:6" ht="15.75" x14ac:dyDescent="0.25">
      <c r="A47" s="121">
        <v>7</v>
      </c>
      <c r="B47" s="122" t="s">
        <v>119</v>
      </c>
      <c r="C47" s="119">
        <f t="shared" si="4"/>
        <v>67801315</v>
      </c>
      <c r="D47" s="119">
        <f t="shared" si="4"/>
        <v>69294531</v>
      </c>
      <c r="E47" s="123">
        <f t="shared" si="5"/>
        <v>1493216</v>
      </c>
      <c r="F47" s="124">
        <f t="shared" si="6"/>
        <v>2.2023407658096308E-2</v>
      </c>
    </row>
    <row r="48" spans="1:6" ht="15.75" x14ac:dyDescent="0.25">
      <c r="A48" s="121">
        <v>8</v>
      </c>
      <c r="B48" s="122" t="s">
        <v>120</v>
      </c>
      <c r="C48" s="119">
        <f t="shared" si="4"/>
        <v>2621014</v>
      </c>
      <c r="D48" s="119">
        <f t="shared" si="4"/>
        <v>2589868</v>
      </c>
      <c r="E48" s="123">
        <f t="shared" si="5"/>
        <v>-31146</v>
      </c>
      <c r="F48" s="124">
        <f t="shared" si="6"/>
        <v>-1.1883187193963862E-2</v>
      </c>
    </row>
    <row r="49" spans="1:6" ht="15.75" x14ac:dyDescent="0.25">
      <c r="A49" s="121">
        <v>9</v>
      </c>
      <c r="B49" s="122" t="s">
        <v>121</v>
      </c>
      <c r="C49" s="119">
        <f t="shared" si="4"/>
        <v>3541707</v>
      </c>
      <c r="D49" s="119">
        <f t="shared" si="4"/>
        <v>3751734</v>
      </c>
      <c r="E49" s="123">
        <f t="shared" si="5"/>
        <v>210027</v>
      </c>
      <c r="F49" s="124">
        <f t="shared" si="6"/>
        <v>5.930106584197959E-2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227496962</v>
      </c>
      <c r="D52" s="128">
        <f>SUM(D41:D51)</f>
        <v>228365006</v>
      </c>
      <c r="E52" s="127">
        <f t="shared" si="5"/>
        <v>868044</v>
      </c>
      <c r="F52" s="129">
        <f t="shared" si="6"/>
        <v>3.8156289753003385E-3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10332773</v>
      </c>
      <c r="D57" s="113">
        <v>7921662</v>
      </c>
      <c r="E57" s="113">
        <f t="shared" ref="E57:E68" si="7">D57-C57</f>
        <v>-2411111</v>
      </c>
      <c r="F57" s="114">
        <f t="shared" ref="F57:F68" si="8">IF(C57=0,0,E57/C57)</f>
        <v>-0.23334597595437354</v>
      </c>
    </row>
    <row r="58" spans="1:6" x14ac:dyDescent="0.2">
      <c r="A58" s="115">
        <v>2</v>
      </c>
      <c r="B58" s="116" t="s">
        <v>114</v>
      </c>
      <c r="C58" s="113">
        <v>3890412</v>
      </c>
      <c r="D58" s="113">
        <v>3243978</v>
      </c>
      <c r="E58" s="113">
        <f t="shared" si="7"/>
        <v>-646434</v>
      </c>
      <c r="F58" s="114">
        <f t="shared" si="8"/>
        <v>-0.16616080764710781</v>
      </c>
    </row>
    <row r="59" spans="1:6" x14ac:dyDescent="0.2">
      <c r="A59" s="115">
        <v>3</v>
      </c>
      <c r="B59" s="116" t="s">
        <v>115</v>
      </c>
      <c r="C59" s="113">
        <v>1544776</v>
      </c>
      <c r="D59" s="113">
        <v>1950318</v>
      </c>
      <c r="E59" s="113">
        <f t="shared" si="7"/>
        <v>405542</v>
      </c>
      <c r="F59" s="114">
        <f t="shared" si="8"/>
        <v>0.26252479323863137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40842</v>
      </c>
      <c r="D61" s="113">
        <v>149640</v>
      </c>
      <c r="E61" s="113">
        <f t="shared" si="7"/>
        <v>108798</v>
      </c>
      <c r="F61" s="114">
        <f t="shared" si="8"/>
        <v>2.6638754223593359</v>
      </c>
    </row>
    <row r="62" spans="1:6" x14ac:dyDescent="0.2">
      <c r="A62" s="115">
        <v>6</v>
      </c>
      <c r="B62" s="116" t="s">
        <v>118</v>
      </c>
      <c r="C62" s="113">
        <v>556684</v>
      </c>
      <c r="D62" s="113">
        <v>846950</v>
      </c>
      <c r="E62" s="113">
        <f t="shared" si="7"/>
        <v>290266</v>
      </c>
      <c r="F62" s="114">
        <f t="shared" si="8"/>
        <v>0.52141969232095764</v>
      </c>
    </row>
    <row r="63" spans="1:6" x14ac:dyDescent="0.2">
      <c r="A63" s="115">
        <v>7</v>
      </c>
      <c r="B63" s="116" t="s">
        <v>119</v>
      </c>
      <c r="C63" s="113">
        <v>5711976</v>
      </c>
      <c r="D63" s="113">
        <v>5072647</v>
      </c>
      <c r="E63" s="113">
        <f t="shared" si="7"/>
        <v>-639329</v>
      </c>
      <c r="F63" s="114">
        <f t="shared" si="8"/>
        <v>-0.11192781622331746</v>
      </c>
    </row>
    <row r="64" spans="1:6" x14ac:dyDescent="0.2">
      <c r="A64" s="115">
        <v>8</v>
      </c>
      <c r="B64" s="116" t="s">
        <v>120</v>
      </c>
      <c r="C64" s="113">
        <v>154571</v>
      </c>
      <c r="D64" s="113">
        <v>256876</v>
      </c>
      <c r="E64" s="113">
        <f t="shared" si="7"/>
        <v>102305</v>
      </c>
      <c r="F64" s="114">
        <f t="shared" si="8"/>
        <v>0.66186412716486276</v>
      </c>
    </row>
    <row r="65" spans="1:6" x14ac:dyDescent="0.2">
      <c r="A65" s="115">
        <v>9</v>
      </c>
      <c r="B65" s="116" t="s">
        <v>121</v>
      </c>
      <c r="C65" s="113">
        <v>10675</v>
      </c>
      <c r="D65" s="113">
        <v>0</v>
      </c>
      <c r="E65" s="113">
        <f t="shared" si="7"/>
        <v>-10675</v>
      </c>
      <c r="F65" s="114">
        <f t="shared" si="8"/>
        <v>-1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22242709</v>
      </c>
      <c r="D68" s="119">
        <f>SUM(D57:D67)</f>
        <v>19442071</v>
      </c>
      <c r="E68" s="119">
        <f t="shared" si="7"/>
        <v>-2800638</v>
      </c>
      <c r="F68" s="120">
        <f t="shared" si="8"/>
        <v>-0.12591263051636381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6772232</v>
      </c>
      <c r="D70" s="113">
        <v>5665785</v>
      </c>
      <c r="E70" s="113">
        <f t="shared" ref="E70:E81" si="9">D70-C70</f>
        <v>-1106447</v>
      </c>
      <c r="F70" s="114">
        <f t="shared" ref="F70:F81" si="10">IF(C70=0,0,E70/C70)</f>
        <v>-0.16337996099365762</v>
      </c>
    </row>
    <row r="71" spans="1:6" x14ac:dyDescent="0.2">
      <c r="A71" s="115">
        <v>2</v>
      </c>
      <c r="B71" s="116" t="s">
        <v>114</v>
      </c>
      <c r="C71" s="113">
        <v>2693193</v>
      </c>
      <c r="D71" s="113">
        <v>3647779</v>
      </c>
      <c r="E71" s="113">
        <f t="shared" si="9"/>
        <v>954586</v>
      </c>
      <c r="F71" s="114">
        <f t="shared" si="10"/>
        <v>0.35444396298371489</v>
      </c>
    </row>
    <row r="72" spans="1:6" x14ac:dyDescent="0.2">
      <c r="A72" s="115">
        <v>3</v>
      </c>
      <c r="B72" s="116" t="s">
        <v>115</v>
      </c>
      <c r="C72" s="113">
        <v>5886266</v>
      </c>
      <c r="D72" s="113">
        <v>5945222</v>
      </c>
      <c r="E72" s="113">
        <f t="shared" si="9"/>
        <v>58956</v>
      </c>
      <c r="F72" s="114">
        <f t="shared" si="10"/>
        <v>1.0015857251439197E-2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184187</v>
      </c>
      <c r="D74" s="113">
        <v>292819</v>
      </c>
      <c r="E74" s="113">
        <f t="shared" si="9"/>
        <v>108632</v>
      </c>
      <c r="F74" s="114">
        <f t="shared" si="10"/>
        <v>0.58979189627932482</v>
      </c>
    </row>
    <row r="75" spans="1:6" x14ac:dyDescent="0.2">
      <c r="A75" s="115">
        <v>6</v>
      </c>
      <c r="B75" s="116" t="s">
        <v>118</v>
      </c>
      <c r="C75" s="113">
        <v>1359465</v>
      </c>
      <c r="D75" s="113">
        <v>2429579</v>
      </c>
      <c r="E75" s="113">
        <f t="shared" si="9"/>
        <v>1070114</v>
      </c>
      <c r="F75" s="114">
        <f t="shared" si="10"/>
        <v>0.78715818355014655</v>
      </c>
    </row>
    <row r="76" spans="1:6" x14ac:dyDescent="0.2">
      <c r="A76" s="115">
        <v>7</v>
      </c>
      <c r="B76" s="116" t="s">
        <v>119</v>
      </c>
      <c r="C76" s="113">
        <v>24822595</v>
      </c>
      <c r="D76" s="113">
        <v>25386425</v>
      </c>
      <c r="E76" s="113">
        <f t="shared" si="9"/>
        <v>563830</v>
      </c>
      <c r="F76" s="114">
        <f t="shared" si="10"/>
        <v>2.2714385824689161E-2</v>
      </c>
    </row>
    <row r="77" spans="1:6" x14ac:dyDescent="0.2">
      <c r="A77" s="115">
        <v>8</v>
      </c>
      <c r="B77" s="116" t="s">
        <v>120</v>
      </c>
      <c r="C77" s="113">
        <v>1059042</v>
      </c>
      <c r="D77" s="113">
        <v>803126</v>
      </c>
      <c r="E77" s="113">
        <f t="shared" si="9"/>
        <v>-255916</v>
      </c>
      <c r="F77" s="114">
        <f t="shared" si="10"/>
        <v>-0.24164858428655331</v>
      </c>
    </row>
    <row r="78" spans="1:6" x14ac:dyDescent="0.2">
      <c r="A78" s="115">
        <v>9</v>
      </c>
      <c r="B78" s="116" t="s">
        <v>121</v>
      </c>
      <c r="C78" s="113">
        <v>186014</v>
      </c>
      <c r="D78" s="113">
        <v>0</v>
      </c>
      <c r="E78" s="113">
        <f t="shared" si="9"/>
        <v>-186014</v>
      </c>
      <c r="F78" s="114">
        <f t="shared" si="10"/>
        <v>-1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42962994</v>
      </c>
      <c r="D81" s="119">
        <f>SUM(D70:D80)</f>
        <v>44170735</v>
      </c>
      <c r="E81" s="119">
        <f t="shared" si="9"/>
        <v>1207741</v>
      </c>
      <c r="F81" s="120">
        <f t="shared" si="10"/>
        <v>2.811119262312119E-2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17105005</v>
      </c>
      <c r="D84" s="119">
        <f t="shared" si="11"/>
        <v>13587447</v>
      </c>
      <c r="E84" s="119">
        <f t="shared" ref="E84:E95" si="12">D84-C84</f>
        <v>-3517558</v>
      </c>
      <c r="F84" s="120">
        <f t="shared" ref="F84:F95" si="13">IF(C84=0,0,E84/C84)</f>
        <v>-0.20564495596464311</v>
      </c>
    </row>
    <row r="85" spans="1:6" ht="15.75" x14ac:dyDescent="0.25">
      <c r="A85" s="130">
        <v>2</v>
      </c>
      <c r="B85" s="122" t="s">
        <v>114</v>
      </c>
      <c r="C85" s="119">
        <f t="shared" si="11"/>
        <v>6583605</v>
      </c>
      <c r="D85" s="119">
        <f t="shared" si="11"/>
        <v>6891757</v>
      </c>
      <c r="E85" s="119">
        <f t="shared" si="12"/>
        <v>308152</v>
      </c>
      <c r="F85" s="120">
        <f t="shared" si="13"/>
        <v>4.6805967247427513E-2</v>
      </c>
    </row>
    <row r="86" spans="1:6" ht="15.75" x14ac:dyDescent="0.25">
      <c r="A86" s="130">
        <v>3</v>
      </c>
      <c r="B86" s="122" t="s">
        <v>115</v>
      </c>
      <c r="C86" s="119">
        <f t="shared" si="11"/>
        <v>7431042</v>
      </c>
      <c r="D86" s="119">
        <f t="shared" si="11"/>
        <v>7895540</v>
      </c>
      <c r="E86" s="119">
        <f t="shared" si="12"/>
        <v>464498</v>
      </c>
      <c r="F86" s="120">
        <f t="shared" si="13"/>
        <v>6.2507788275184023E-2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225029</v>
      </c>
      <c r="D88" s="119">
        <f t="shared" si="11"/>
        <v>442459</v>
      </c>
      <c r="E88" s="119">
        <f t="shared" si="12"/>
        <v>217430</v>
      </c>
      <c r="F88" s="120">
        <f t="shared" si="13"/>
        <v>0.96623101911309206</v>
      </c>
    </row>
    <row r="89" spans="1:6" ht="15.75" x14ac:dyDescent="0.25">
      <c r="A89" s="130">
        <v>6</v>
      </c>
      <c r="B89" s="122" t="s">
        <v>118</v>
      </c>
      <c r="C89" s="119">
        <f t="shared" si="11"/>
        <v>1916149</v>
      </c>
      <c r="D89" s="119">
        <f t="shared" si="11"/>
        <v>3276529</v>
      </c>
      <c r="E89" s="119">
        <f t="shared" si="12"/>
        <v>1360380</v>
      </c>
      <c r="F89" s="120">
        <f t="shared" si="13"/>
        <v>0.70995522790764187</v>
      </c>
    </row>
    <row r="90" spans="1:6" ht="15.75" x14ac:dyDescent="0.25">
      <c r="A90" s="130">
        <v>7</v>
      </c>
      <c r="B90" s="122" t="s">
        <v>119</v>
      </c>
      <c r="C90" s="119">
        <f t="shared" si="11"/>
        <v>30534571</v>
      </c>
      <c r="D90" s="119">
        <f t="shared" si="11"/>
        <v>30459072</v>
      </c>
      <c r="E90" s="119">
        <f t="shared" si="12"/>
        <v>-75499</v>
      </c>
      <c r="F90" s="120">
        <f t="shared" si="13"/>
        <v>-2.4725744468458389E-3</v>
      </c>
    </row>
    <row r="91" spans="1:6" ht="15.75" x14ac:dyDescent="0.25">
      <c r="A91" s="130">
        <v>8</v>
      </c>
      <c r="B91" s="122" t="s">
        <v>120</v>
      </c>
      <c r="C91" s="119">
        <f t="shared" si="11"/>
        <v>1213613</v>
      </c>
      <c r="D91" s="119">
        <f t="shared" si="11"/>
        <v>1060002</v>
      </c>
      <c r="E91" s="119">
        <f t="shared" si="12"/>
        <v>-153611</v>
      </c>
      <c r="F91" s="120">
        <f t="shared" si="13"/>
        <v>-0.1265732980777233</v>
      </c>
    </row>
    <row r="92" spans="1:6" ht="15.75" x14ac:dyDescent="0.25">
      <c r="A92" s="130">
        <v>9</v>
      </c>
      <c r="B92" s="122" t="s">
        <v>121</v>
      </c>
      <c r="C92" s="119">
        <f t="shared" si="11"/>
        <v>196689</v>
      </c>
      <c r="D92" s="119">
        <f t="shared" si="11"/>
        <v>0</v>
      </c>
      <c r="E92" s="119">
        <f t="shared" si="12"/>
        <v>-196689</v>
      </c>
      <c r="F92" s="120">
        <f t="shared" si="13"/>
        <v>-1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65205703</v>
      </c>
      <c r="D95" s="128">
        <f>SUM(D84:D94)</f>
        <v>63612806</v>
      </c>
      <c r="E95" s="128">
        <f t="shared" si="12"/>
        <v>-1592897</v>
      </c>
      <c r="F95" s="129">
        <f t="shared" si="13"/>
        <v>-2.4428798812275668E-2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1027</v>
      </c>
      <c r="D100" s="133">
        <v>928</v>
      </c>
      <c r="E100" s="133">
        <f t="shared" ref="E100:E111" si="14">D100-C100</f>
        <v>-99</v>
      </c>
      <c r="F100" s="114">
        <f t="shared" ref="F100:F111" si="15">IF(C100=0,0,E100/C100)</f>
        <v>-9.6397273612463488E-2</v>
      </c>
    </row>
    <row r="101" spans="1:6" x14ac:dyDescent="0.2">
      <c r="A101" s="115">
        <v>2</v>
      </c>
      <c r="B101" s="116" t="s">
        <v>114</v>
      </c>
      <c r="C101" s="133">
        <v>401</v>
      </c>
      <c r="D101" s="133">
        <v>382</v>
      </c>
      <c r="E101" s="133">
        <f t="shared" si="14"/>
        <v>-19</v>
      </c>
      <c r="F101" s="114">
        <f t="shared" si="15"/>
        <v>-4.738154613466334E-2</v>
      </c>
    </row>
    <row r="102" spans="1:6" x14ac:dyDescent="0.2">
      <c r="A102" s="115">
        <v>3</v>
      </c>
      <c r="B102" s="116" t="s">
        <v>115</v>
      </c>
      <c r="C102" s="133">
        <v>266</v>
      </c>
      <c r="D102" s="133">
        <v>295</v>
      </c>
      <c r="E102" s="133">
        <f t="shared" si="14"/>
        <v>29</v>
      </c>
      <c r="F102" s="114">
        <f t="shared" si="15"/>
        <v>0.10902255639097744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9</v>
      </c>
      <c r="D104" s="133">
        <v>1</v>
      </c>
      <c r="E104" s="133">
        <f t="shared" si="14"/>
        <v>-8</v>
      </c>
      <c r="F104" s="114">
        <f t="shared" si="15"/>
        <v>-0.88888888888888884</v>
      </c>
    </row>
    <row r="105" spans="1:6" x14ac:dyDescent="0.2">
      <c r="A105" s="115">
        <v>6</v>
      </c>
      <c r="B105" s="116" t="s">
        <v>118</v>
      </c>
      <c r="C105" s="133">
        <v>53</v>
      </c>
      <c r="D105" s="133">
        <v>52</v>
      </c>
      <c r="E105" s="133">
        <f t="shared" si="14"/>
        <v>-1</v>
      </c>
      <c r="F105" s="114">
        <f t="shared" si="15"/>
        <v>-1.8867924528301886E-2</v>
      </c>
    </row>
    <row r="106" spans="1:6" x14ac:dyDescent="0.2">
      <c r="A106" s="115">
        <v>7</v>
      </c>
      <c r="B106" s="116" t="s">
        <v>119</v>
      </c>
      <c r="C106" s="133">
        <v>331</v>
      </c>
      <c r="D106" s="133">
        <v>365</v>
      </c>
      <c r="E106" s="133">
        <f t="shared" si="14"/>
        <v>34</v>
      </c>
      <c r="F106" s="114">
        <f t="shared" si="15"/>
        <v>0.1027190332326284</v>
      </c>
    </row>
    <row r="107" spans="1:6" x14ac:dyDescent="0.2">
      <c r="A107" s="115">
        <v>8</v>
      </c>
      <c r="B107" s="116" t="s">
        <v>120</v>
      </c>
      <c r="C107" s="133">
        <v>9</v>
      </c>
      <c r="D107" s="133">
        <v>13</v>
      </c>
      <c r="E107" s="133">
        <f t="shared" si="14"/>
        <v>4</v>
      </c>
      <c r="F107" s="114">
        <f t="shared" si="15"/>
        <v>0.44444444444444442</v>
      </c>
    </row>
    <row r="108" spans="1:6" x14ac:dyDescent="0.2">
      <c r="A108" s="115">
        <v>9</v>
      </c>
      <c r="B108" s="116" t="s">
        <v>121</v>
      </c>
      <c r="C108" s="133">
        <v>16</v>
      </c>
      <c r="D108" s="133">
        <v>16</v>
      </c>
      <c r="E108" s="133">
        <f t="shared" si="14"/>
        <v>0</v>
      </c>
      <c r="F108" s="114">
        <f t="shared" si="15"/>
        <v>0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2112</v>
      </c>
      <c r="D111" s="134">
        <f>SUM(D100:D110)</f>
        <v>2052</v>
      </c>
      <c r="E111" s="134">
        <f t="shared" si="14"/>
        <v>-60</v>
      </c>
      <c r="F111" s="120">
        <f t="shared" si="15"/>
        <v>-2.8409090909090908E-2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5130</v>
      </c>
      <c r="D113" s="133">
        <v>4723</v>
      </c>
      <c r="E113" s="133">
        <f t="shared" ref="E113:E124" si="16">D113-C113</f>
        <v>-407</v>
      </c>
      <c r="F113" s="114">
        <f t="shared" ref="F113:F124" si="17">IF(C113=0,0,E113/C113)</f>
        <v>-7.9337231968810915E-2</v>
      </c>
    </row>
    <row r="114" spans="1:6" x14ac:dyDescent="0.2">
      <c r="A114" s="115">
        <v>2</v>
      </c>
      <c r="B114" s="116" t="s">
        <v>114</v>
      </c>
      <c r="C114" s="133">
        <v>1894</v>
      </c>
      <c r="D114" s="133">
        <v>2016</v>
      </c>
      <c r="E114" s="133">
        <f t="shared" si="16"/>
        <v>122</v>
      </c>
      <c r="F114" s="114">
        <f t="shared" si="17"/>
        <v>6.4413938753959871E-2</v>
      </c>
    </row>
    <row r="115" spans="1:6" x14ac:dyDescent="0.2">
      <c r="A115" s="115">
        <v>3</v>
      </c>
      <c r="B115" s="116" t="s">
        <v>115</v>
      </c>
      <c r="C115" s="133">
        <v>1250</v>
      </c>
      <c r="D115" s="133">
        <v>1399</v>
      </c>
      <c r="E115" s="133">
        <f t="shared" si="16"/>
        <v>149</v>
      </c>
      <c r="F115" s="114">
        <f t="shared" si="17"/>
        <v>0.1192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62</v>
      </c>
      <c r="D117" s="133">
        <v>13</v>
      </c>
      <c r="E117" s="133">
        <f t="shared" si="16"/>
        <v>-49</v>
      </c>
      <c r="F117" s="114">
        <f t="shared" si="17"/>
        <v>-0.79032258064516125</v>
      </c>
    </row>
    <row r="118" spans="1:6" x14ac:dyDescent="0.2">
      <c r="A118" s="115">
        <v>6</v>
      </c>
      <c r="B118" s="116" t="s">
        <v>118</v>
      </c>
      <c r="C118" s="133">
        <v>214</v>
      </c>
      <c r="D118" s="133">
        <v>152</v>
      </c>
      <c r="E118" s="133">
        <f t="shared" si="16"/>
        <v>-62</v>
      </c>
      <c r="F118" s="114">
        <f t="shared" si="17"/>
        <v>-0.28971962616822428</v>
      </c>
    </row>
    <row r="119" spans="1:6" x14ac:dyDescent="0.2">
      <c r="A119" s="115">
        <v>7</v>
      </c>
      <c r="B119" s="116" t="s">
        <v>119</v>
      </c>
      <c r="C119" s="133">
        <v>1257</v>
      </c>
      <c r="D119" s="133">
        <v>1584</v>
      </c>
      <c r="E119" s="133">
        <f t="shared" si="16"/>
        <v>327</v>
      </c>
      <c r="F119" s="114">
        <f t="shared" si="17"/>
        <v>0.26014319809069214</v>
      </c>
    </row>
    <row r="120" spans="1:6" x14ac:dyDescent="0.2">
      <c r="A120" s="115">
        <v>8</v>
      </c>
      <c r="B120" s="116" t="s">
        <v>120</v>
      </c>
      <c r="C120" s="133">
        <v>13</v>
      </c>
      <c r="D120" s="133">
        <v>32</v>
      </c>
      <c r="E120" s="133">
        <f t="shared" si="16"/>
        <v>19</v>
      </c>
      <c r="F120" s="114">
        <f t="shared" si="17"/>
        <v>1.4615384615384615</v>
      </c>
    </row>
    <row r="121" spans="1:6" x14ac:dyDescent="0.2">
      <c r="A121" s="115">
        <v>9</v>
      </c>
      <c r="B121" s="116" t="s">
        <v>121</v>
      </c>
      <c r="C121" s="133">
        <v>53</v>
      </c>
      <c r="D121" s="133">
        <v>91</v>
      </c>
      <c r="E121" s="133">
        <f t="shared" si="16"/>
        <v>38</v>
      </c>
      <c r="F121" s="114">
        <f t="shared" si="17"/>
        <v>0.71698113207547165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9873</v>
      </c>
      <c r="D124" s="134">
        <f>SUM(D113:D123)</f>
        <v>10010</v>
      </c>
      <c r="E124" s="134">
        <f t="shared" si="16"/>
        <v>137</v>
      </c>
      <c r="F124" s="120">
        <f t="shared" si="17"/>
        <v>1.3876228096829738E-2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26726</v>
      </c>
      <c r="D126" s="133">
        <v>16469</v>
      </c>
      <c r="E126" s="133">
        <f t="shared" ref="E126:E137" si="18">D126-C126</f>
        <v>-10257</v>
      </c>
      <c r="F126" s="114">
        <f t="shared" ref="F126:F137" si="19">IF(C126=0,0,E126/C126)</f>
        <v>-0.38378358153109332</v>
      </c>
    </row>
    <row r="127" spans="1:6" x14ac:dyDescent="0.2">
      <c r="A127" s="115">
        <v>2</v>
      </c>
      <c r="B127" s="116" t="s">
        <v>114</v>
      </c>
      <c r="C127" s="133">
        <v>10673</v>
      </c>
      <c r="D127" s="133">
        <v>7675</v>
      </c>
      <c r="E127" s="133">
        <f t="shared" si="18"/>
        <v>-2998</v>
      </c>
      <c r="F127" s="114">
        <f t="shared" si="19"/>
        <v>-0.28089571816733816</v>
      </c>
    </row>
    <row r="128" spans="1:6" x14ac:dyDescent="0.2">
      <c r="A128" s="115">
        <v>3</v>
      </c>
      <c r="B128" s="116" t="s">
        <v>115</v>
      </c>
      <c r="C128" s="133">
        <v>22687</v>
      </c>
      <c r="D128" s="133">
        <v>11150</v>
      </c>
      <c r="E128" s="133">
        <f t="shared" si="18"/>
        <v>-11537</v>
      </c>
      <c r="F128" s="114">
        <f t="shared" si="19"/>
        <v>-0.50852911358928021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646</v>
      </c>
      <c r="D130" s="133">
        <v>181</v>
      </c>
      <c r="E130" s="133">
        <f t="shared" si="18"/>
        <v>-465</v>
      </c>
      <c r="F130" s="114">
        <f t="shared" si="19"/>
        <v>-0.7198142414860681</v>
      </c>
    </row>
    <row r="131" spans="1:6" x14ac:dyDescent="0.2">
      <c r="A131" s="115">
        <v>6</v>
      </c>
      <c r="B131" s="116" t="s">
        <v>118</v>
      </c>
      <c r="C131" s="133">
        <v>2402</v>
      </c>
      <c r="D131" s="133">
        <v>1588</v>
      </c>
      <c r="E131" s="133">
        <f t="shared" si="18"/>
        <v>-814</v>
      </c>
      <c r="F131" s="114">
        <f t="shared" si="19"/>
        <v>-0.3388842631140716</v>
      </c>
    </row>
    <row r="132" spans="1:6" x14ac:dyDescent="0.2">
      <c r="A132" s="115">
        <v>7</v>
      </c>
      <c r="B132" s="116" t="s">
        <v>119</v>
      </c>
      <c r="C132" s="133">
        <v>55587</v>
      </c>
      <c r="D132" s="133">
        <v>29416</v>
      </c>
      <c r="E132" s="133">
        <f t="shared" si="18"/>
        <v>-26171</v>
      </c>
      <c r="F132" s="114">
        <f t="shared" si="19"/>
        <v>-0.47081152067929549</v>
      </c>
    </row>
    <row r="133" spans="1:6" x14ac:dyDescent="0.2">
      <c r="A133" s="115">
        <v>8</v>
      </c>
      <c r="B133" s="116" t="s">
        <v>120</v>
      </c>
      <c r="C133" s="133">
        <v>1174</v>
      </c>
      <c r="D133" s="133">
        <v>976</v>
      </c>
      <c r="E133" s="133">
        <f t="shared" si="18"/>
        <v>-198</v>
      </c>
      <c r="F133" s="114">
        <f t="shared" si="19"/>
        <v>-0.1686541737649063</v>
      </c>
    </row>
    <row r="134" spans="1:6" x14ac:dyDescent="0.2">
      <c r="A134" s="115">
        <v>9</v>
      </c>
      <c r="B134" s="116" t="s">
        <v>121</v>
      </c>
      <c r="C134" s="133">
        <v>4365</v>
      </c>
      <c r="D134" s="133">
        <v>268</v>
      </c>
      <c r="E134" s="133">
        <f t="shared" si="18"/>
        <v>-4097</v>
      </c>
      <c r="F134" s="114">
        <f t="shared" si="19"/>
        <v>-0.93860252004581901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124260</v>
      </c>
      <c r="D137" s="134">
        <f>SUM(D126:D136)</f>
        <v>67723</v>
      </c>
      <c r="E137" s="134">
        <f t="shared" si="18"/>
        <v>-56537</v>
      </c>
      <c r="F137" s="120">
        <f t="shared" si="19"/>
        <v>-0.45498953806534687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12698943</v>
      </c>
      <c r="D142" s="113">
        <v>12957177</v>
      </c>
      <c r="E142" s="113">
        <f t="shared" ref="E142:E153" si="20">D142-C142</f>
        <v>258234</v>
      </c>
      <c r="F142" s="114">
        <f t="shared" ref="F142:F153" si="21">IF(C142=0,0,E142/C142)</f>
        <v>2.0335078281712108E-2</v>
      </c>
    </row>
    <row r="143" spans="1:6" x14ac:dyDescent="0.2">
      <c r="A143" s="115">
        <v>2</v>
      </c>
      <c r="B143" s="116" t="s">
        <v>114</v>
      </c>
      <c r="C143" s="113">
        <v>4576389</v>
      </c>
      <c r="D143" s="113">
        <v>5413373</v>
      </c>
      <c r="E143" s="113">
        <f t="shared" si="20"/>
        <v>836984</v>
      </c>
      <c r="F143" s="114">
        <f t="shared" si="21"/>
        <v>0.18289179525604138</v>
      </c>
    </row>
    <row r="144" spans="1:6" x14ac:dyDescent="0.2">
      <c r="A144" s="115">
        <v>3</v>
      </c>
      <c r="B144" s="116" t="s">
        <v>115</v>
      </c>
      <c r="C144" s="113">
        <v>24582106</v>
      </c>
      <c r="D144" s="113">
        <v>25276721</v>
      </c>
      <c r="E144" s="113">
        <f t="shared" si="20"/>
        <v>694615</v>
      </c>
      <c r="F144" s="114">
        <f t="shared" si="21"/>
        <v>2.8256936163240043E-2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441684</v>
      </c>
      <c r="D146" s="113">
        <v>528612</v>
      </c>
      <c r="E146" s="113">
        <f t="shared" si="20"/>
        <v>86928</v>
      </c>
      <c r="F146" s="114">
        <f t="shared" si="21"/>
        <v>0.19681038932811692</v>
      </c>
    </row>
    <row r="147" spans="1:6" x14ac:dyDescent="0.2">
      <c r="A147" s="115">
        <v>6</v>
      </c>
      <c r="B147" s="116" t="s">
        <v>118</v>
      </c>
      <c r="C147" s="113">
        <v>2214831</v>
      </c>
      <c r="D147" s="113">
        <v>1853645</v>
      </c>
      <c r="E147" s="113">
        <f t="shared" si="20"/>
        <v>-361186</v>
      </c>
      <c r="F147" s="114">
        <f t="shared" si="21"/>
        <v>-0.16307609925994354</v>
      </c>
    </row>
    <row r="148" spans="1:6" x14ac:dyDescent="0.2">
      <c r="A148" s="115">
        <v>7</v>
      </c>
      <c r="B148" s="116" t="s">
        <v>119</v>
      </c>
      <c r="C148" s="113">
        <v>21121617</v>
      </c>
      <c r="D148" s="113">
        <v>22436899</v>
      </c>
      <c r="E148" s="113">
        <f t="shared" si="20"/>
        <v>1315282</v>
      </c>
      <c r="F148" s="114">
        <f t="shared" si="21"/>
        <v>6.2271842160569427E-2</v>
      </c>
    </row>
    <row r="149" spans="1:6" x14ac:dyDescent="0.2">
      <c r="A149" s="115">
        <v>8</v>
      </c>
      <c r="B149" s="116" t="s">
        <v>120</v>
      </c>
      <c r="C149" s="113">
        <v>1037423</v>
      </c>
      <c r="D149" s="113">
        <v>1029324</v>
      </c>
      <c r="E149" s="113">
        <f t="shared" si="20"/>
        <v>-8099</v>
      </c>
      <c r="F149" s="114">
        <f t="shared" si="21"/>
        <v>-7.8068444597815933E-3</v>
      </c>
    </row>
    <row r="150" spans="1:6" x14ac:dyDescent="0.2">
      <c r="A150" s="115">
        <v>9</v>
      </c>
      <c r="B150" s="116" t="s">
        <v>121</v>
      </c>
      <c r="C150" s="113">
        <v>2502098</v>
      </c>
      <c r="D150" s="113">
        <v>2607858</v>
      </c>
      <c r="E150" s="113">
        <f t="shared" si="20"/>
        <v>105760</v>
      </c>
      <c r="F150" s="114">
        <f t="shared" si="21"/>
        <v>4.2268528251091682E-2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69175091</v>
      </c>
      <c r="D153" s="119">
        <f>SUM(D142:D152)</f>
        <v>72103609</v>
      </c>
      <c r="E153" s="119">
        <f t="shared" si="20"/>
        <v>2928518</v>
      </c>
      <c r="F153" s="120">
        <f t="shared" si="21"/>
        <v>4.2334862992807629E-2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2004031</v>
      </c>
      <c r="D155" s="113">
        <v>1785811</v>
      </c>
      <c r="E155" s="113">
        <f t="shared" ref="E155:E166" si="22">D155-C155</f>
        <v>-218220</v>
      </c>
      <c r="F155" s="114">
        <f t="shared" ref="F155:F166" si="23">IF(C155=0,0,E155/C155)</f>
        <v>-0.10889053113449843</v>
      </c>
    </row>
    <row r="156" spans="1:6" x14ac:dyDescent="0.2">
      <c r="A156" s="115">
        <v>2</v>
      </c>
      <c r="B156" s="116" t="s">
        <v>114</v>
      </c>
      <c r="C156" s="113">
        <v>760236</v>
      </c>
      <c r="D156" s="113">
        <v>774169</v>
      </c>
      <c r="E156" s="113">
        <f t="shared" si="22"/>
        <v>13933</v>
      </c>
      <c r="F156" s="114">
        <f t="shared" si="23"/>
        <v>1.8327203657811521E-2</v>
      </c>
    </row>
    <row r="157" spans="1:6" x14ac:dyDescent="0.2">
      <c r="A157" s="115">
        <v>3</v>
      </c>
      <c r="B157" s="116" t="s">
        <v>115</v>
      </c>
      <c r="C157" s="113">
        <v>2787438</v>
      </c>
      <c r="D157" s="113">
        <v>2785062</v>
      </c>
      <c r="E157" s="113">
        <f t="shared" si="22"/>
        <v>-2376</v>
      </c>
      <c r="F157" s="114">
        <f t="shared" si="23"/>
        <v>-8.5239564072815254E-4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85348</v>
      </c>
      <c r="D159" s="113">
        <v>63636</v>
      </c>
      <c r="E159" s="113">
        <f t="shared" si="22"/>
        <v>-21712</v>
      </c>
      <c r="F159" s="114">
        <f t="shared" si="23"/>
        <v>-0.25439377606973801</v>
      </c>
    </row>
    <row r="160" spans="1:6" x14ac:dyDescent="0.2">
      <c r="A160" s="115">
        <v>6</v>
      </c>
      <c r="B160" s="116" t="s">
        <v>118</v>
      </c>
      <c r="C160" s="113">
        <v>971580</v>
      </c>
      <c r="D160" s="113">
        <v>769219</v>
      </c>
      <c r="E160" s="113">
        <f t="shared" si="22"/>
        <v>-202361</v>
      </c>
      <c r="F160" s="114">
        <f t="shared" si="23"/>
        <v>-0.20828032689022005</v>
      </c>
    </row>
    <row r="161" spans="1:6" x14ac:dyDescent="0.2">
      <c r="A161" s="115">
        <v>7</v>
      </c>
      <c r="B161" s="116" t="s">
        <v>119</v>
      </c>
      <c r="C161" s="113">
        <v>11425281</v>
      </c>
      <c r="D161" s="113">
        <v>9893041</v>
      </c>
      <c r="E161" s="113">
        <f t="shared" si="22"/>
        <v>-1532240</v>
      </c>
      <c r="F161" s="114">
        <f t="shared" si="23"/>
        <v>-0.13410961183361705</v>
      </c>
    </row>
    <row r="162" spans="1:6" x14ac:dyDescent="0.2">
      <c r="A162" s="115">
        <v>8</v>
      </c>
      <c r="B162" s="116" t="s">
        <v>120</v>
      </c>
      <c r="C162" s="113">
        <v>589538</v>
      </c>
      <c r="D162" s="113">
        <v>373085</v>
      </c>
      <c r="E162" s="113">
        <f t="shared" si="22"/>
        <v>-216453</v>
      </c>
      <c r="F162" s="114">
        <f t="shared" si="23"/>
        <v>-0.36715699412082003</v>
      </c>
    </row>
    <row r="163" spans="1:6" x14ac:dyDescent="0.2">
      <c r="A163" s="115">
        <v>9</v>
      </c>
      <c r="B163" s="116" t="s">
        <v>121</v>
      </c>
      <c r="C163" s="113">
        <v>99965</v>
      </c>
      <c r="D163" s="113">
        <v>81620</v>
      </c>
      <c r="E163" s="113">
        <f t="shared" si="22"/>
        <v>-18345</v>
      </c>
      <c r="F163" s="114">
        <f t="shared" si="23"/>
        <v>-0.18351422998049316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18723417</v>
      </c>
      <c r="D166" s="119">
        <f>SUM(D155:D165)</f>
        <v>16525643</v>
      </c>
      <c r="E166" s="119">
        <f t="shared" si="22"/>
        <v>-2197774</v>
      </c>
      <c r="F166" s="120">
        <f t="shared" si="23"/>
        <v>-0.11738103146450245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2730</v>
      </c>
      <c r="D168" s="133">
        <v>2781</v>
      </c>
      <c r="E168" s="133">
        <f t="shared" ref="E168:E179" si="24">D168-C168</f>
        <v>51</v>
      </c>
      <c r="F168" s="114">
        <f t="shared" ref="F168:F179" si="25">IF(C168=0,0,E168/C168)</f>
        <v>1.8681318681318681E-2</v>
      </c>
    </row>
    <row r="169" spans="1:6" x14ac:dyDescent="0.2">
      <c r="A169" s="115">
        <v>2</v>
      </c>
      <c r="B169" s="116" t="s">
        <v>114</v>
      </c>
      <c r="C169" s="133">
        <v>957</v>
      </c>
      <c r="D169" s="133">
        <v>1097</v>
      </c>
      <c r="E169" s="133">
        <f t="shared" si="24"/>
        <v>140</v>
      </c>
      <c r="F169" s="114">
        <f t="shared" si="25"/>
        <v>0.14629049111807732</v>
      </c>
    </row>
    <row r="170" spans="1:6" x14ac:dyDescent="0.2">
      <c r="A170" s="115">
        <v>3</v>
      </c>
      <c r="B170" s="116" t="s">
        <v>115</v>
      </c>
      <c r="C170" s="133">
        <v>6856</v>
      </c>
      <c r="D170" s="133">
        <v>6638</v>
      </c>
      <c r="E170" s="133">
        <f t="shared" si="24"/>
        <v>-218</v>
      </c>
      <c r="F170" s="114">
        <f t="shared" si="25"/>
        <v>-3.1796966161026841E-2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129</v>
      </c>
      <c r="D172" s="133">
        <v>122</v>
      </c>
      <c r="E172" s="133">
        <f t="shared" si="24"/>
        <v>-7</v>
      </c>
      <c r="F172" s="114">
        <f t="shared" si="25"/>
        <v>-5.4263565891472867E-2</v>
      </c>
    </row>
    <row r="173" spans="1:6" x14ac:dyDescent="0.2">
      <c r="A173" s="115">
        <v>6</v>
      </c>
      <c r="B173" s="116" t="s">
        <v>118</v>
      </c>
      <c r="C173" s="133">
        <v>602</v>
      </c>
      <c r="D173" s="133">
        <v>461</v>
      </c>
      <c r="E173" s="133">
        <f t="shared" si="24"/>
        <v>-141</v>
      </c>
      <c r="F173" s="114">
        <f t="shared" si="25"/>
        <v>-0.23421926910299004</v>
      </c>
    </row>
    <row r="174" spans="1:6" x14ac:dyDescent="0.2">
      <c r="A174" s="115">
        <v>7</v>
      </c>
      <c r="B174" s="116" t="s">
        <v>119</v>
      </c>
      <c r="C174" s="133">
        <v>6680</v>
      </c>
      <c r="D174" s="133">
        <v>6614</v>
      </c>
      <c r="E174" s="133">
        <f t="shared" si="24"/>
        <v>-66</v>
      </c>
      <c r="F174" s="114">
        <f t="shared" si="25"/>
        <v>-9.8802395209580847E-3</v>
      </c>
    </row>
    <row r="175" spans="1:6" x14ac:dyDescent="0.2">
      <c r="A175" s="115">
        <v>8</v>
      </c>
      <c r="B175" s="116" t="s">
        <v>120</v>
      </c>
      <c r="C175" s="133">
        <v>336</v>
      </c>
      <c r="D175" s="133">
        <v>286</v>
      </c>
      <c r="E175" s="133">
        <f t="shared" si="24"/>
        <v>-50</v>
      </c>
      <c r="F175" s="114">
        <f t="shared" si="25"/>
        <v>-0.14880952380952381</v>
      </c>
    </row>
    <row r="176" spans="1:6" x14ac:dyDescent="0.2">
      <c r="A176" s="115">
        <v>9</v>
      </c>
      <c r="B176" s="116" t="s">
        <v>121</v>
      </c>
      <c r="C176" s="133">
        <v>706</v>
      </c>
      <c r="D176" s="133">
        <v>662</v>
      </c>
      <c r="E176" s="133">
        <f t="shared" si="24"/>
        <v>-44</v>
      </c>
      <c r="F176" s="114">
        <f t="shared" si="25"/>
        <v>-6.2322946175637391E-2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18996</v>
      </c>
      <c r="D179" s="134">
        <f>SUM(D168:D178)</f>
        <v>18661</v>
      </c>
      <c r="E179" s="134">
        <f t="shared" si="24"/>
        <v>-335</v>
      </c>
      <c r="F179" s="120">
        <f t="shared" si="25"/>
        <v>-1.7635291640345337E-2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8525609</v>
      </c>
      <c r="D15" s="157">
        <v>8523715</v>
      </c>
      <c r="E15" s="157">
        <f>+D15-C15</f>
        <v>-1894</v>
      </c>
      <c r="F15" s="161">
        <f>IF(C15=0,0,E15/C15)</f>
        <v>-2.2215421795674655E-4</v>
      </c>
    </row>
    <row r="16" spans="1:6" ht="15" customHeight="1" x14ac:dyDescent="0.2">
      <c r="A16" s="147">
        <v>2</v>
      </c>
      <c r="B16" s="160" t="s">
        <v>157</v>
      </c>
      <c r="C16" s="157">
        <v>3935827</v>
      </c>
      <c r="D16" s="157">
        <v>3657020</v>
      </c>
      <c r="E16" s="157">
        <f>+D16-C16</f>
        <v>-278807</v>
      </c>
      <c r="F16" s="161">
        <f>IF(C16=0,0,E16/C16)</f>
        <v>-7.083822535899062E-2</v>
      </c>
    </row>
    <row r="17" spans="1:6" ht="15" customHeight="1" x14ac:dyDescent="0.2">
      <c r="A17" s="147">
        <v>3</v>
      </c>
      <c r="B17" s="160" t="s">
        <v>158</v>
      </c>
      <c r="C17" s="157">
        <v>18217122</v>
      </c>
      <c r="D17" s="157">
        <v>15865046</v>
      </c>
      <c r="E17" s="157">
        <f>+D17-C17</f>
        <v>-2352076</v>
      </c>
      <c r="F17" s="161">
        <f>IF(C17=0,0,E17/C17)</f>
        <v>-0.12911347906656168</v>
      </c>
    </row>
    <row r="18" spans="1:6" ht="15.75" customHeight="1" x14ac:dyDescent="0.25">
      <c r="A18" s="147"/>
      <c r="B18" s="162" t="s">
        <v>159</v>
      </c>
      <c r="C18" s="158">
        <f>SUM(C15:C17)</f>
        <v>30678558</v>
      </c>
      <c r="D18" s="158">
        <f>SUM(D15:D17)</f>
        <v>28045781</v>
      </c>
      <c r="E18" s="158">
        <f>+D18-C18</f>
        <v>-2632777</v>
      </c>
      <c r="F18" s="159">
        <f>IF(C18=0,0,E18/C18)</f>
        <v>-8.5818146993740713E-2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3040436</v>
      </c>
      <c r="D21" s="157">
        <v>2857848</v>
      </c>
      <c r="E21" s="157">
        <f>+D21-C21</f>
        <v>-182588</v>
      </c>
      <c r="F21" s="161">
        <f>IF(C21=0,0,E21/C21)</f>
        <v>-6.0053229207916232E-2</v>
      </c>
    </row>
    <row r="22" spans="1:6" ht="15" customHeight="1" x14ac:dyDescent="0.2">
      <c r="A22" s="147">
        <v>2</v>
      </c>
      <c r="B22" s="160" t="s">
        <v>162</v>
      </c>
      <c r="C22" s="157">
        <v>1302546</v>
      </c>
      <c r="D22" s="157">
        <v>1333779</v>
      </c>
      <c r="E22" s="157">
        <f>+D22-C22</f>
        <v>31233</v>
      </c>
      <c r="F22" s="161">
        <f>IF(C22=0,0,E22/C22)</f>
        <v>2.3978423794629902E-2</v>
      </c>
    </row>
    <row r="23" spans="1:6" ht="15" customHeight="1" x14ac:dyDescent="0.2">
      <c r="A23" s="147">
        <v>3</v>
      </c>
      <c r="B23" s="160" t="s">
        <v>163</v>
      </c>
      <c r="C23" s="157">
        <v>5356227</v>
      </c>
      <c r="D23" s="157">
        <v>5780729</v>
      </c>
      <c r="E23" s="157">
        <f>+D23-C23</f>
        <v>424502</v>
      </c>
      <c r="F23" s="161">
        <f>IF(C23=0,0,E23/C23)</f>
        <v>7.9253922583938277E-2</v>
      </c>
    </row>
    <row r="24" spans="1:6" ht="15.75" customHeight="1" x14ac:dyDescent="0.25">
      <c r="A24" s="147"/>
      <c r="B24" s="162" t="s">
        <v>164</v>
      </c>
      <c r="C24" s="158">
        <f>SUM(C21:C23)</f>
        <v>9699209</v>
      </c>
      <c r="D24" s="158">
        <f>SUM(D21:D23)</f>
        <v>9972356</v>
      </c>
      <c r="E24" s="158">
        <f>+D24-C24</f>
        <v>273147</v>
      </c>
      <c r="F24" s="159">
        <f>IF(C24=0,0,E24/C24)</f>
        <v>2.8161781027710612E-2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4225295</v>
      </c>
      <c r="D28" s="157">
        <v>4496578</v>
      </c>
      <c r="E28" s="157">
        <f>+D28-C28</f>
        <v>271283</v>
      </c>
      <c r="F28" s="161">
        <f>IF(C28=0,0,E28/C28)</f>
        <v>6.4204511164309239E-2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4225295</v>
      </c>
      <c r="D30" s="158">
        <f>SUM(D27:D29)</f>
        <v>4496578</v>
      </c>
      <c r="E30" s="158">
        <f>+D30-C30</f>
        <v>271283</v>
      </c>
      <c r="F30" s="159">
        <f>IF(C30=0,0,E30/C30)</f>
        <v>6.4204511164309239E-2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8171482</v>
      </c>
      <c r="D33" s="157">
        <v>7163955</v>
      </c>
      <c r="E33" s="157">
        <f>+D33-C33</f>
        <v>-1007527</v>
      </c>
      <c r="F33" s="161">
        <f>IF(C33=0,0,E33/C33)</f>
        <v>-0.12329795256233814</v>
      </c>
    </row>
    <row r="34" spans="1:6" ht="15" customHeight="1" x14ac:dyDescent="0.2">
      <c r="A34" s="147">
        <v>2</v>
      </c>
      <c r="B34" s="160" t="s">
        <v>173</v>
      </c>
      <c r="C34" s="157">
        <v>1383955</v>
      </c>
      <c r="D34" s="157">
        <v>1098822</v>
      </c>
      <c r="E34" s="157">
        <f>+D34-C34</f>
        <v>-285133</v>
      </c>
      <c r="F34" s="161">
        <f>IF(C34=0,0,E34/C34)</f>
        <v>-0.20602765263321424</v>
      </c>
    </row>
    <row r="35" spans="1:6" ht="15.75" customHeight="1" x14ac:dyDescent="0.25">
      <c r="A35" s="147"/>
      <c r="B35" s="162" t="s">
        <v>174</v>
      </c>
      <c r="C35" s="158">
        <f>SUM(C33:C34)</f>
        <v>9555437</v>
      </c>
      <c r="D35" s="158">
        <f>SUM(D33:D34)</f>
        <v>8262777</v>
      </c>
      <c r="E35" s="158">
        <f>+D35-C35</f>
        <v>-1292660</v>
      </c>
      <c r="F35" s="159">
        <f>IF(C35=0,0,E35/C35)</f>
        <v>-0.13528005050946387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1935607</v>
      </c>
      <c r="D38" s="157">
        <v>1676237</v>
      </c>
      <c r="E38" s="157">
        <f>+D38-C38</f>
        <v>-259370</v>
      </c>
      <c r="F38" s="161">
        <f>IF(C38=0,0,E38/C38)</f>
        <v>-0.13399930874397539</v>
      </c>
    </row>
    <row r="39" spans="1:6" ht="15" customHeight="1" x14ac:dyDescent="0.2">
      <c r="A39" s="147">
        <v>2</v>
      </c>
      <c r="B39" s="160" t="s">
        <v>178</v>
      </c>
      <c r="C39" s="157">
        <v>1163621</v>
      </c>
      <c r="D39" s="157">
        <v>1357511</v>
      </c>
      <c r="E39" s="157">
        <f>+D39-C39</f>
        <v>193890</v>
      </c>
      <c r="F39" s="161">
        <f>IF(C39=0,0,E39/C39)</f>
        <v>0.16662641873943493</v>
      </c>
    </row>
    <row r="40" spans="1:6" ht="15" customHeight="1" x14ac:dyDescent="0.2">
      <c r="A40" s="147">
        <v>3</v>
      </c>
      <c r="B40" s="160" t="s">
        <v>179</v>
      </c>
      <c r="C40" s="157">
        <v>39689</v>
      </c>
      <c r="D40" s="157">
        <v>39689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3138917</v>
      </c>
      <c r="D41" s="158">
        <f>SUM(D38:D40)</f>
        <v>3073437</v>
      </c>
      <c r="E41" s="158">
        <f>+D41-C41</f>
        <v>-65480</v>
      </c>
      <c r="F41" s="159">
        <f>IF(C41=0,0,E41/C41)</f>
        <v>-2.0860698132508761E-2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697473</v>
      </c>
      <c r="D47" s="157">
        <v>678065</v>
      </c>
      <c r="E47" s="157">
        <f>+D47-C47</f>
        <v>-19408</v>
      </c>
      <c r="F47" s="161">
        <f>IF(C47=0,0,E47/C47)</f>
        <v>-2.7826166747673388E-2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1134624</v>
      </c>
      <c r="D50" s="157">
        <v>3035790</v>
      </c>
      <c r="E50" s="157">
        <f>+D50-C50</f>
        <v>1901166</v>
      </c>
      <c r="F50" s="161">
        <f>IF(C50=0,0,E50/C50)</f>
        <v>1.6755912090701413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72280</v>
      </c>
      <c r="D53" s="157">
        <v>57955</v>
      </c>
      <c r="E53" s="157">
        <f t="shared" ref="E53:E59" si="0">+D53-C53</f>
        <v>-14325</v>
      </c>
      <c r="F53" s="161">
        <f t="shared" ref="F53:F59" si="1">IF(C53=0,0,E53/C53)</f>
        <v>-0.19818760376314334</v>
      </c>
    </row>
    <row r="54" spans="1:6" ht="15" customHeight="1" x14ac:dyDescent="0.2">
      <c r="A54" s="147">
        <v>2</v>
      </c>
      <c r="B54" s="160" t="s">
        <v>189</v>
      </c>
      <c r="C54" s="157">
        <v>193223</v>
      </c>
      <c r="D54" s="157">
        <v>185315</v>
      </c>
      <c r="E54" s="157">
        <f t="shared" si="0"/>
        <v>-7908</v>
      </c>
      <c r="F54" s="161">
        <f t="shared" si="1"/>
        <v>-4.092680477996926E-2</v>
      </c>
    </row>
    <row r="55" spans="1:6" ht="15" customHeight="1" x14ac:dyDescent="0.2">
      <c r="A55" s="147">
        <v>3</v>
      </c>
      <c r="B55" s="160" t="s">
        <v>190</v>
      </c>
      <c r="C55" s="157">
        <v>20504</v>
      </c>
      <c r="D55" s="157">
        <v>18307</v>
      </c>
      <c r="E55" s="157">
        <f t="shared" si="0"/>
        <v>-2197</v>
      </c>
      <c r="F55" s="161">
        <f t="shared" si="1"/>
        <v>-0.10714982442450253</v>
      </c>
    </row>
    <row r="56" spans="1:6" ht="15" customHeight="1" x14ac:dyDescent="0.2">
      <c r="A56" s="147">
        <v>4</v>
      </c>
      <c r="B56" s="160" t="s">
        <v>191</v>
      </c>
      <c r="C56" s="157">
        <v>554418</v>
      </c>
      <c r="D56" s="157">
        <v>597875</v>
      </c>
      <c r="E56" s="157">
        <f t="shared" si="0"/>
        <v>43457</v>
      </c>
      <c r="F56" s="161">
        <f t="shared" si="1"/>
        <v>7.8383097229887913E-2</v>
      </c>
    </row>
    <row r="57" spans="1:6" ht="15" customHeight="1" x14ac:dyDescent="0.2">
      <c r="A57" s="147">
        <v>5</v>
      </c>
      <c r="B57" s="160" t="s">
        <v>192</v>
      </c>
      <c r="C57" s="157">
        <v>299152</v>
      </c>
      <c r="D57" s="157">
        <v>285052</v>
      </c>
      <c r="E57" s="157">
        <f t="shared" si="0"/>
        <v>-14100</v>
      </c>
      <c r="F57" s="161">
        <f t="shared" si="1"/>
        <v>-4.713322992993528E-2</v>
      </c>
    </row>
    <row r="58" spans="1:6" ht="15" customHeight="1" x14ac:dyDescent="0.2">
      <c r="A58" s="147">
        <v>6</v>
      </c>
      <c r="B58" s="160" t="s">
        <v>193</v>
      </c>
      <c r="C58" s="157">
        <v>49168</v>
      </c>
      <c r="D58" s="157">
        <v>66122</v>
      </c>
      <c r="E58" s="157">
        <f t="shared" si="0"/>
        <v>16954</v>
      </c>
      <c r="F58" s="161">
        <f t="shared" si="1"/>
        <v>0.34481776765375854</v>
      </c>
    </row>
    <row r="59" spans="1:6" ht="15.75" customHeight="1" x14ac:dyDescent="0.25">
      <c r="A59" s="147"/>
      <c r="B59" s="162" t="s">
        <v>194</v>
      </c>
      <c r="C59" s="158">
        <f>SUM(C53:C58)</f>
        <v>1188745</v>
      </c>
      <c r="D59" s="158">
        <f>SUM(D53:D58)</f>
        <v>1210626</v>
      </c>
      <c r="E59" s="158">
        <f t="shared" si="0"/>
        <v>21881</v>
      </c>
      <c r="F59" s="159">
        <f t="shared" si="1"/>
        <v>1.8406807178999701E-2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118539</v>
      </c>
      <c r="D62" s="157">
        <v>151670</v>
      </c>
      <c r="E62" s="157">
        <f t="shared" ref="E62:E90" si="2">+D62-C62</f>
        <v>33131</v>
      </c>
      <c r="F62" s="161">
        <f t="shared" ref="F62:F90" si="3">IF(C62=0,0,E62/C62)</f>
        <v>0.27949451235458372</v>
      </c>
    </row>
    <row r="63" spans="1:6" ht="15" customHeight="1" x14ac:dyDescent="0.2">
      <c r="A63" s="147">
        <v>2</v>
      </c>
      <c r="B63" s="160" t="s">
        <v>198</v>
      </c>
      <c r="C63" s="157">
        <v>143791</v>
      </c>
      <c r="D63" s="157">
        <v>167027</v>
      </c>
      <c r="E63" s="157">
        <f t="shared" si="2"/>
        <v>23236</v>
      </c>
      <c r="F63" s="161">
        <f t="shared" si="3"/>
        <v>0.16159564924091216</v>
      </c>
    </row>
    <row r="64" spans="1:6" ht="15" customHeight="1" x14ac:dyDescent="0.2">
      <c r="A64" s="147">
        <v>3</v>
      </c>
      <c r="B64" s="160" t="s">
        <v>199</v>
      </c>
      <c r="C64" s="157">
        <v>465165</v>
      </c>
      <c r="D64" s="157">
        <v>662648</v>
      </c>
      <c r="E64" s="157">
        <f t="shared" si="2"/>
        <v>197483</v>
      </c>
      <c r="F64" s="161">
        <f t="shared" si="3"/>
        <v>0.42454397901819785</v>
      </c>
    </row>
    <row r="65" spans="1:6" ht="15" customHeight="1" x14ac:dyDescent="0.2">
      <c r="A65" s="147">
        <v>4</v>
      </c>
      <c r="B65" s="160" t="s">
        <v>200</v>
      </c>
      <c r="C65" s="157">
        <v>120084</v>
      </c>
      <c r="D65" s="157">
        <v>117866</v>
      </c>
      <c r="E65" s="157">
        <f t="shared" si="2"/>
        <v>-2218</v>
      </c>
      <c r="F65" s="161">
        <f t="shared" si="3"/>
        <v>-1.8470404050497984E-2</v>
      </c>
    </row>
    <row r="66" spans="1:6" ht="15" customHeight="1" x14ac:dyDescent="0.2">
      <c r="A66" s="147">
        <v>5</v>
      </c>
      <c r="B66" s="160" t="s">
        <v>201</v>
      </c>
      <c r="C66" s="157">
        <v>166375</v>
      </c>
      <c r="D66" s="157">
        <v>141027</v>
      </c>
      <c r="E66" s="157">
        <f t="shared" si="2"/>
        <v>-25348</v>
      </c>
      <c r="F66" s="161">
        <f t="shared" si="3"/>
        <v>-0.15235462058602556</v>
      </c>
    </row>
    <row r="67" spans="1:6" ht="15" customHeight="1" x14ac:dyDescent="0.2">
      <c r="A67" s="147">
        <v>6</v>
      </c>
      <c r="B67" s="160" t="s">
        <v>202</v>
      </c>
      <c r="C67" s="157">
        <v>992099</v>
      </c>
      <c r="D67" s="157">
        <v>967814</v>
      </c>
      <c r="E67" s="157">
        <f t="shared" si="2"/>
        <v>-24285</v>
      </c>
      <c r="F67" s="161">
        <f t="shared" si="3"/>
        <v>-2.4478403868968723E-2</v>
      </c>
    </row>
    <row r="68" spans="1:6" ht="15" customHeight="1" x14ac:dyDescent="0.2">
      <c r="A68" s="147">
        <v>7</v>
      </c>
      <c r="B68" s="160" t="s">
        <v>203</v>
      </c>
      <c r="C68" s="157">
        <v>242948</v>
      </c>
      <c r="D68" s="157">
        <v>240248</v>
      </c>
      <c r="E68" s="157">
        <f t="shared" si="2"/>
        <v>-2700</v>
      </c>
      <c r="F68" s="161">
        <f t="shared" si="3"/>
        <v>-1.1113489306353624E-2</v>
      </c>
    </row>
    <row r="69" spans="1:6" ht="15" customHeight="1" x14ac:dyDescent="0.2">
      <c r="A69" s="147">
        <v>8</v>
      </c>
      <c r="B69" s="160" t="s">
        <v>204</v>
      </c>
      <c r="C69" s="157">
        <v>138082</v>
      </c>
      <c r="D69" s="157">
        <v>165208</v>
      </c>
      <c r="E69" s="157">
        <f t="shared" si="2"/>
        <v>27126</v>
      </c>
      <c r="F69" s="161">
        <f t="shared" si="3"/>
        <v>0.19644848713083529</v>
      </c>
    </row>
    <row r="70" spans="1:6" ht="15" customHeight="1" x14ac:dyDescent="0.2">
      <c r="A70" s="147">
        <v>9</v>
      </c>
      <c r="B70" s="160" t="s">
        <v>205</v>
      </c>
      <c r="C70" s="157">
        <v>31554</v>
      </c>
      <c r="D70" s="157">
        <v>26411</v>
      </c>
      <c r="E70" s="157">
        <f t="shared" si="2"/>
        <v>-5143</v>
      </c>
      <c r="F70" s="161">
        <f t="shared" si="3"/>
        <v>-0.16299042910566014</v>
      </c>
    </row>
    <row r="71" spans="1:6" ht="15" customHeight="1" x14ac:dyDescent="0.2">
      <c r="A71" s="147">
        <v>10</v>
      </c>
      <c r="B71" s="160" t="s">
        <v>206</v>
      </c>
      <c r="C71" s="157">
        <v>2049</v>
      </c>
      <c r="D71" s="157">
        <v>788</v>
      </c>
      <c r="E71" s="157">
        <f t="shared" si="2"/>
        <v>-1261</v>
      </c>
      <c r="F71" s="161">
        <f t="shared" si="3"/>
        <v>-0.61542215714982917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98493</v>
      </c>
      <c r="E72" s="157">
        <f t="shared" si="2"/>
        <v>98493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357432</v>
      </c>
      <c r="D73" s="157">
        <v>304229</v>
      </c>
      <c r="E73" s="157">
        <f t="shared" si="2"/>
        <v>-53203</v>
      </c>
      <c r="F73" s="161">
        <f t="shared" si="3"/>
        <v>-0.1488478927460328</v>
      </c>
    </row>
    <row r="74" spans="1:6" ht="15" customHeight="1" x14ac:dyDescent="0.2">
      <c r="A74" s="147">
        <v>13</v>
      </c>
      <c r="B74" s="160" t="s">
        <v>209</v>
      </c>
      <c r="C74" s="157">
        <v>104617</v>
      </c>
      <c r="D74" s="157">
        <v>133058</v>
      </c>
      <c r="E74" s="157">
        <f t="shared" si="2"/>
        <v>28441</v>
      </c>
      <c r="F74" s="161">
        <f t="shared" si="3"/>
        <v>0.2718583021879809</v>
      </c>
    </row>
    <row r="75" spans="1:6" ht="15" customHeight="1" x14ac:dyDescent="0.2">
      <c r="A75" s="147">
        <v>14</v>
      </c>
      <c r="B75" s="160" t="s">
        <v>210</v>
      </c>
      <c r="C75" s="157">
        <v>73086</v>
      </c>
      <c r="D75" s="157">
        <v>63143</v>
      </c>
      <c r="E75" s="157">
        <f t="shared" si="2"/>
        <v>-9943</v>
      </c>
      <c r="F75" s="161">
        <f t="shared" si="3"/>
        <v>-0.13604520701639164</v>
      </c>
    </row>
    <row r="76" spans="1:6" ht="15" customHeight="1" x14ac:dyDescent="0.2">
      <c r="A76" s="147">
        <v>15</v>
      </c>
      <c r="B76" s="160" t="s">
        <v>211</v>
      </c>
      <c r="C76" s="157">
        <v>173843</v>
      </c>
      <c r="D76" s="157">
        <v>169453</v>
      </c>
      <c r="E76" s="157">
        <f t="shared" si="2"/>
        <v>-4390</v>
      </c>
      <c r="F76" s="161">
        <f t="shared" si="3"/>
        <v>-2.5252670513049129E-2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464674</v>
      </c>
      <c r="E77" s="157">
        <f t="shared" si="2"/>
        <v>464674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1589662</v>
      </c>
      <c r="D78" s="157">
        <v>2978753</v>
      </c>
      <c r="E78" s="157">
        <f t="shared" si="2"/>
        <v>1389091</v>
      </c>
      <c r="F78" s="161">
        <f t="shared" si="3"/>
        <v>0.87382789548973305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384288</v>
      </c>
      <c r="D80" s="157">
        <v>334205</v>
      </c>
      <c r="E80" s="157">
        <f t="shared" si="2"/>
        <v>-50083</v>
      </c>
      <c r="F80" s="161">
        <f t="shared" si="3"/>
        <v>-0.13032673411607962</v>
      </c>
    </row>
    <row r="81" spans="1:6" ht="15" customHeight="1" x14ac:dyDescent="0.2">
      <c r="A81" s="147">
        <v>20</v>
      </c>
      <c r="B81" s="160" t="s">
        <v>216</v>
      </c>
      <c r="C81" s="157">
        <v>265988</v>
      </c>
      <c r="D81" s="157">
        <v>219690</v>
      </c>
      <c r="E81" s="157">
        <f t="shared" si="2"/>
        <v>-46298</v>
      </c>
      <c r="F81" s="161">
        <f t="shared" si="3"/>
        <v>-0.17406048393160595</v>
      </c>
    </row>
    <row r="82" spans="1:6" ht="15" customHeight="1" x14ac:dyDescent="0.2">
      <c r="A82" s="147">
        <v>21</v>
      </c>
      <c r="B82" s="160" t="s">
        <v>217</v>
      </c>
      <c r="C82" s="157">
        <v>257497</v>
      </c>
      <c r="D82" s="157">
        <v>76352</v>
      </c>
      <c r="E82" s="157">
        <f t="shared" si="2"/>
        <v>-181145</v>
      </c>
      <c r="F82" s="161">
        <f t="shared" si="3"/>
        <v>-0.7034839240845524</v>
      </c>
    </row>
    <row r="83" spans="1:6" ht="15" customHeight="1" x14ac:dyDescent="0.2">
      <c r="A83" s="147">
        <v>22</v>
      </c>
      <c r="B83" s="160" t="s">
        <v>218</v>
      </c>
      <c r="C83" s="157">
        <v>138656</v>
      </c>
      <c r="D83" s="157">
        <v>98327</v>
      </c>
      <c r="E83" s="157">
        <f t="shared" si="2"/>
        <v>-40329</v>
      </c>
      <c r="F83" s="161">
        <f t="shared" si="3"/>
        <v>-0.2908565081929379</v>
      </c>
    </row>
    <row r="84" spans="1:6" ht="15" customHeight="1" x14ac:dyDescent="0.2">
      <c r="A84" s="147">
        <v>23</v>
      </c>
      <c r="B84" s="160" t="s">
        <v>219</v>
      </c>
      <c r="C84" s="157">
        <v>327515</v>
      </c>
      <c r="D84" s="157">
        <v>334189</v>
      </c>
      <c r="E84" s="157">
        <f t="shared" si="2"/>
        <v>6674</v>
      </c>
      <c r="F84" s="161">
        <f t="shared" si="3"/>
        <v>2.0377692624765277E-2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82324</v>
      </c>
      <c r="D86" s="157">
        <v>80040</v>
      </c>
      <c r="E86" s="157">
        <f t="shared" si="2"/>
        <v>-2284</v>
      </c>
      <c r="F86" s="161">
        <f t="shared" si="3"/>
        <v>-2.7744035761138916E-2</v>
      </c>
    </row>
    <row r="87" spans="1:6" ht="15" customHeight="1" x14ac:dyDescent="0.2">
      <c r="A87" s="147">
        <v>26</v>
      </c>
      <c r="B87" s="160" t="s">
        <v>222</v>
      </c>
      <c r="C87" s="157">
        <v>1035496</v>
      </c>
      <c r="D87" s="157">
        <v>1764305</v>
      </c>
      <c r="E87" s="157">
        <f t="shared" si="2"/>
        <v>728809</v>
      </c>
      <c r="F87" s="161">
        <f t="shared" si="3"/>
        <v>0.70382599256781286</v>
      </c>
    </row>
    <row r="88" spans="1:6" ht="15" customHeight="1" x14ac:dyDescent="0.2">
      <c r="A88" s="147">
        <v>27</v>
      </c>
      <c r="B88" s="160" t="s">
        <v>223</v>
      </c>
      <c r="C88" s="157">
        <v>761156</v>
      </c>
      <c r="D88" s="157">
        <v>464129</v>
      </c>
      <c r="E88" s="157">
        <f t="shared" si="2"/>
        <v>-297027</v>
      </c>
      <c r="F88" s="161">
        <f t="shared" si="3"/>
        <v>-0.39023143744514921</v>
      </c>
    </row>
    <row r="89" spans="1:6" ht="15" customHeight="1" x14ac:dyDescent="0.2">
      <c r="A89" s="147">
        <v>28</v>
      </c>
      <c r="B89" s="160" t="s">
        <v>224</v>
      </c>
      <c r="C89" s="157">
        <v>540639</v>
      </c>
      <c r="D89" s="157">
        <v>263557</v>
      </c>
      <c r="E89" s="157">
        <f t="shared" si="2"/>
        <v>-277082</v>
      </c>
      <c r="F89" s="161">
        <f t="shared" si="3"/>
        <v>-0.51250834660466593</v>
      </c>
    </row>
    <row r="90" spans="1:6" ht="15.75" customHeight="1" x14ac:dyDescent="0.25">
      <c r="A90" s="147"/>
      <c r="B90" s="162" t="s">
        <v>225</v>
      </c>
      <c r="C90" s="158">
        <f>SUM(C62:C89)</f>
        <v>8512885</v>
      </c>
      <c r="D90" s="158">
        <f>SUM(D62:D89)</f>
        <v>10487304</v>
      </c>
      <c r="E90" s="158">
        <f t="shared" si="2"/>
        <v>1974419</v>
      </c>
      <c r="F90" s="159">
        <f t="shared" si="3"/>
        <v>0.2319330050858199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36772</v>
      </c>
      <c r="D93" s="157">
        <v>183804</v>
      </c>
      <c r="E93" s="157">
        <f>+D93-C93</f>
        <v>147032</v>
      </c>
      <c r="F93" s="161">
        <f>IF(C93=0,0,E93/C93)</f>
        <v>3.9984771021429348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68867915</v>
      </c>
      <c r="D95" s="158">
        <f>+D93+D90+D59+D50+D47+D44+D41+D35+D30+D24+D18</f>
        <v>69446518</v>
      </c>
      <c r="E95" s="158">
        <f>+D95-C95</f>
        <v>578603</v>
      </c>
      <c r="F95" s="159">
        <f>IF(C95=0,0,E95/C95)</f>
        <v>8.4016337651575488E-3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1310284</v>
      </c>
      <c r="D103" s="157">
        <v>1812303</v>
      </c>
      <c r="E103" s="157">
        <f t="shared" ref="E103:E121" si="4">D103-C103</f>
        <v>502019</v>
      </c>
      <c r="F103" s="161">
        <f t="shared" ref="F103:F121" si="5">IF(C103=0,0,E103/C103)</f>
        <v>0.38313754880621298</v>
      </c>
    </row>
    <row r="104" spans="1:6" ht="15" customHeight="1" x14ac:dyDescent="0.2">
      <c r="A104" s="147">
        <v>2</v>
      </c>
      <c r="B104" s="169" t="s">
        <v>234</v>
      </c>
      <c r="C104" s="157">
        <v>976304</v>
      </c>
      <c r="D104" s="157">
        <v>918908</v>
      </c>
      <c r="E104" s="157">
        <f t="shared" si="4"/>
        <v>-57396</v>
      </c>
      <c r="F104" s="161">
        <f t="shared" si="5"/>
        <v>-5.8789065700847278E-2</v>
      </c>
    </row>
    <row r="105" spans="1:6" ht="15" customHeight="1" x14ac:dyDescent="0.2">
      <c r="A105" s="147">
        <v>3</v>
      </c>
      <c r="B105" s="169" t="s">
        <v>235</v>
      </c>
      <c r="C105" s="157">
        <v>1547686</v>
      </c>
      <c r="D105" s="157">
        <v>1637144</v>
      </c>
      <c r="E105" s="157">
        <f t="shared" si="4"/>
        <v>89458</v>
      </c>
      <c r="F105" s="161">
        <f t="shared" si="5"/>
        <v>5.7801130203413355E-2</v>
      </c>
    </row>
    <row r="106" spans="1:6" ht="15" customHeight="1" x14ac:dyDescent="0.2">
      <c r="A106" s="147">
        <v>4</v>
      </c>
      <c r="B106" s="169" t="s">
        <v>236</v>
      </c>
      <c r="C106" s="157">
        <v>387133</v>
      </c>
      <c r="D106" s="157">
        <v>420217</v>
      </c>
      <c r="E106" s="157">
        <f t="shared" si="4"/>
        <v>33084</v>
      </c>
      <c r="F106" s="161">
        <f t="shared" si="5"/>
        <v>8.5459002461686293E-2</v>
      </c>
    </row>
    <row r="107" spans="1:6" ht="15" customHeight="1" x14ac:dyDescent="0.2">
      <c r="A107" s="147">
        <v>5</v>
      </c>
      <c r="B107" s="169" t="s">
        <v>237</v>
      </c>
      <c r="C107" s="157">
        <v>2884479</v>
      </c>
      <c r="D107" s="157">
        <v>2980693</v>
      </c>
      <c r="E107" s="157">
        <f t="shared" si="4"/>
        <v>96214</v>
      </c>
      <c r="F107" s="161">
        <f t="shared" si="5"/>
        <v>3.3355763727175684E-2</v>
      </c>
    </row>
    <row r="108" spans="1:6" ht="15" customHeight="1" x14ac:dyDescent="0.2">
      <c r="A108" s="147">
        <v>6</v>
      </c>
      <c r="B108" s="169" t="s">
        <v>238</v>
      </c>
      <c r="C108" s="157">
        <v>352067</v>
      </c>
      <c r="D108" s="157">
        <v>523600</v>
      </c>
      <c r="E108" s="157">
        <f t="shared" si="4"/>
        <v>171533</v>
      </c>
      <c r="F108" s="161">
        <f t="shared" si="5"/>
        <v>0.4872169217790932</v>
      </c>
    </row>
    <row r="109" spans="1:6" ht="15" customHeight="1" x14ac:dyDescent="0.2">
      <c r="A109" s="147">
        <v>7</v>
      </c>
      <c r="B109" s="169" t="s">
        <v>239</v>
      </c>
      <c r="C109" s="157">
        <v>7940648</v>
      </c>
      <c r="D109" s="157">
        <v>10623033</v>
      </c>
      <c r="E109" s="157">
        <f t="shared" si="4"/>
        <v>2682385</v>
      </c>
      <c r="F109" s="161">
        <f t="shared" si="5"/>
        <v>0.33780429506508791</v>
      </c>
    </row>
    <row r="110" spans="1:6" ht="15" customHeight="1" x14ac:dyDescent="0.2">
      <c r="A110" s="147">
        <v>8</v>
      </c>
      <c r="B110" s="169" t="s">
        <v>240</v>
      </c>
      <c r="C110" s="157">
        <v>158794</v>
      </c>
      <c r="D110" s="157">
        <v>126275</v>
      </c>
      <c r="E110" s="157">
        <f t="shared" si="4"/>
        <v>-32519</v>
      </c>
      <c r="F110" s="161">
        <f t="shared" si="5"/>
        <v>-0.2047873345340504</v>
      </c>
    </row>
    <row r="111" spans="1:6" ht="15" customHeight="1" x14ac:dyDescent="0.2">
      <c r="A111" s="147">
        <v>9</v>
      </c>
      <c r="B111" s="169" t="s">
        <v>241</v>
      </c>
      <c r="C111" s="157">
        <v>486020</v>
      </c>
      <c r="D111" s="157">
        <v>291231</v>
      </c>
      <c r="E111" s="157">
        <f t="shared" si="4"/>
        <v>-194789</v>
      </c>
      <c r="F111" s="161">
        <f t="shared" si="5"/>
        <v>-0.40078391835726923</v>
      </c>
    </row>
    <row r="112" spans="1:6" ht="15" customHeight="1" x14ac:dyDescent="0.2">
      <c r="A112" s="147">
        <v>10</v>
      </c>
      <c r="B112" s="169" t="s">
        <v>242</v>
      </c>
      <c r="C112" s="157">
        <v>952812</v>
      </c>
      <c r="D112" s="157">
        <v>841929</v>
      </c>
      <c r="E112" s="157">
        <f t="shared" si="4"/>
        <v>-110883</v>
      </c>
      <c r="F112" s="161">
        <f t="shared" si="5"/>
        <v>-0.11637447891084496</v>
      </c>
    </row>
    <row r="113" spans="1:6" ht="15" customHeight="1" x14ac:dyDescent="0.2">
      <c r="A113" s="147">
        <v>11</v>
      </c>
      <c r="B113" s="169" t="s">
        <v>243</v>
      </c>
      <c r="C113" s="157">
        <v>844573</v>
      </c>
      <c r="D113" s="157">
        <v>762530</v>
      </c>
      <c r="E113" s="157">
        <f t="shared" si="4"/>
        <v>-82043</v>
      </c>
      <c r="F113" s="161">
        <f t="shared" si="5"/>
        <v>-9.7141395711205544E-2</v>
      </c>
    </row>
    <row r="114" spans="1:6" ht="15" customHeight="1" x14ac:dyDescent="0.2">
      <c r="A114" s="147">
        <v>12</v>
      </c>
      <c r="B114" s="169" t="s">
        <v>244</v>
      </c>
      <c r="C114" s="157">
        <v>316713</v>
      </c>
      <c r="D114" s="157">
        <v>314835</v>
      </c>
      <c r="E114" s="157">
        <f t="shared" si="4"/>
        <v>-1878</v>
      </c>
      <c r="F114" s="161">
        <f t="shared" si="5"/>
        <v>-5.9296587130935581E-3</v>
      </c>
    </row>
    <row r="115" spans="1:6" ht="15" customHeight="1" x14ac:dyDescent="0.2">
      <c r="A115" s="147">
        <v>13</v>
      </c>
      <c r="B115" s="169" t="s">
        <v>245</v>
      </c>
      <c r="C115" s="157">
        <v>977318</v>
      </c>
      <c r="D115" s="157">
        <v>1032199</v>
      </c>
      <c r="E115" s="157">
        <f t="shared" si="4"/>
        <v>54881</v>
      </c>
      <c r="F115" s="161">
        <f t="shared" si="5"/>
        <v>5.61547009264129E-2</v>
      </c>
    </row>
    <row r="116" spans="1:6" ht="15" customHeight="1" x14ac:dyDescent="0.2">
      <c r="A116" s="147">
        <v>14</v>
      </c>
      <c r="B116" s="169" t="s">
        <v>246</v>
      </c>
      <c r="C116" s="157">
        <v>327837</v>
      </c>
      <c r="D116" s="157">
        <v>257253</v>
      </c>
      <c r="E116" s="157">
        <f t="shared" si="4"/>
        <v>-70584</v>
      </c>
      <c r="F116" s="161">
        <f t="shared" si="5"/>
        <v>-0.21530211660062776</v>
      </c>
    </row>
    <row r="117" spans="1:6" ht="15" customHeight="1" x14ac:dyDescent="0.2">
      <c r="A117" s="147">
        <v>15</v>
      </c>
      <c r="B117" s="169" t="s">
        <v>203</v>
      </c>
      <c r="C117" s="157">
        <v>776875</v>
      </c>
      <c r="D117" s="157">
        <v>833968</v>
      </c>
      <c r="E117" s="157">
        <f t="shared" si="4"/>
        <v>57093</v>
      </c>
      <c r="F117" s="161">
        <f t="shared" si="5"/>
        <v>7.3490587288817383E-2</v>
      </c>
    </row>
    <row r="118" spans="1:6" ht="15" customHeight="1" x14ac:dyDescent="0.2">
      <c r="A118" s="147">
        <v>16</v>
      </c>
      <c r="B118" s="169" t="s">
        <v>247</v>
      </c>
      <c r="C118" s="157">
        <v>169357</v>
      </c>
      <c r="D118" s="157">
        <v>99215</v>
      </c>
      <c r="E118" s="157">
        <f t="shared" si="4"/>
        <v>-70142</v>
      </c>
      <c r="F118" s="161">
        <f t="shared" si="5"/>
        <v>-0.41416652397007503</v>
      </c>
    </row>
    <row r="119" spans="1:6" ht="15" customHeight="1" x14ac:dyDescent="0.2">
      <c r="A119" s="147">
        <v>17</v>
      </c>
      <c r="B119" s="169" t="s">
        <v>248</v>
      </c>
      <c r="C119" s="157">
        <v>1931249</v>
      </c>
      <c r="D119" s="157">
        <v>1956668</v>
      </c>
      <c r="E119" s="157">
        <f t="shared" si="4"/>
        <v>25419</v>
      </c>
      <c r="F119" s="161">
        <f t="shared" si="5"/>
        <v>1.3161948562821262E-2</v>
      </c>
    </row>
    <row r="120" spans="1:6" ht="15" customHeight="1" x14ac:dyDescent="0.2">
      <c r="A120" s="147">
        <v>18</v>
      </c>
      <c r="B120" s="169" t="s">
        <v>249</v>
      </c>
      <c r="C120" s="157">
        <v>8256571</v>
      </c>
      <c r="D120" s="157">
        <v>8528964</v>
      </c>
      <c r="E120" s="157">
        <f t="shared" si="4"/>
        <v>272393</v>
      </c>
      <c r="F120" s="161">
        <f t="shared" si="5"/>
        <v>3.299105645673004E-2</v>
      </c>
    </row>
    <row r="121" spans="1:6" ht="15.75" customHeight="1" x14ac:dyDescent="0.25">
      <c r="A121" s="147"/>
      <c r="B121" s="165" t="s">
        <v>250</v>
      </c>
      <c r="C121" s="158">
        <f>SUM(C103:C120)</f>
        <v>30596720</v>
      </c>
      <c r="D121" s="158">
        <f>SUM(D103:D120)</f>
        <v>33960965</v>
      </c>
      <c r="E121" s="158">
        <f t="shared" si="4"/>
        <v>3364245</v>
      </c>
      <c r="F121" s="159">
        <f t="shared" si="5"/>
        <v>0.10995443302419344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2297630</v>
      </c>
      <c r="D124" s="157">
        <v>2298150</v>
      </c>
      <c r="E124" s="157">
        <f t="shared" ref="E124:E130" si="6">D124-C124</f>
        <v>520</v>
      </c>
      <c r="F124" s="161">
        <f t="shared" ref="F124:F130" si="7">IF(C124=0,0,E124/C124)</f>
        <v>2.2632016469144293E-4</v>
      </c>
    </row>
    <row r="125" spans="1:6" ht="15" customHeight="1" x14ac:dyDescent="0.2">
      <c r="A125" s="147">
        <v>2</v>
      </c>
      <c r="B125" s="169" t="s">
        <v>253</v>
      </c>
      <c r="C125" s="157">
        <v>52484</v>
      </c>
      <c r="D125" s="157">
        <v>166556</v>
      </c>
      <c r="E125" s="157">
        <f t="shared" si="6"/>
        <v>114072</v>
      </c>
      <c r="F125" s="161">
        <f t="shared" si="7"/>
        <v>2.1734623885374589</v>
      </c>
    </row>
    <row r="126" spans="1:6" ht="15" customHeight="1" x14ac:dyDescent="0.2">
      <c r="A126" s="147">
        <v>3</v>
      </c>
      <c r="B126" s="169" t="s">
        <v>254</v>
      </c>
      <c r="C126" s="157">
        <v>398818</v>
      </c>
      <c r="D126" s="157">
        <v>763376</v>
      </c>
      <c r="E126" s="157">
        <f t="shared" si="6"/>
        <v>364558</v>
      </c>
      <c r="F126" s="161">
        <f t="shared" si="7"/>
        <v>0.9140961541354703</v>
      </c>
    </row>
    <row r="127" spans="1:6" ht="15" customHeight="1" x14ac:dyDescent="0.2">
      <c r="A127" s="147">
        <v>4</v>
      </c>
      <c r="B127" s="169" t="s">
        <v>255</v>
      </c>
      <c r="C127" s="157">
        <v>883570</v>
      </c>
      <c r="D127" s="157">
        <v>878129</v>
      </c>
      <c r="E127" s="157">
        <f t="shared" si="6"/>
        <v>-5441</v>
      </c>
      <c r="F127" s="161">
        <f t="shared" si="7"/>
        <v>-6.1579727695598536E-3</v>
      </c>
    </row>
    <row r="128" spans="1:6" ht="15" customHeight="1" x14ac:dyDescent="0.2">
      <c r="A128" s="147">
        <v>5</v>
      </c>
      <c r="B128" s="169" t="s">
        <v>256</v>
      </c>
      <c r="C128" s="157">
        <v>35134</v>
      </c>
      <c r="D128" s="157">
        <v>63946</v>
      </c>
      <c r="E128" s="157">
        <f t="shared" si="6"/>
        <v>28812</v>
      </c>
      <c r="F128" s="161">
        <f t="shared" si="7"/>
        <v>0.82006034041099785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3667636</v>
      </c>
      <c r="D130" s="158">
        <f>SUM(D124:D129)</f>
        <v>4170157</v>
      </c>
      <c r="E130" s="158">
        <f t="shared" si="6"/>
        <v>502521</v>
      </c>
      <c r="F130" s="159">
        <f t="shared" si="7"/>
        <v>0.13701496004510808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7672509</v>
      </c>
      <c r="D133" s="157">
        <v>6604846</v>
      </c>
      <c r="E133" s="157">
        <f t="shared" ref="E133:E167" si="8">D133-C133</f>
        <v>-1067663</v>
      </c>
      <c r="F133" s="161">
        <f t="shared" ref="F133:F167" si="9">IF(C133=0,0,E133/C133)</f>
        <v>-0.13915434963973322</v>
      </c>
    </row>
    <row r="134" spans="1:6" ht="15" customHeight="1" x14ac:dyDescent="0.2">
      <c r="A134" s="147">
        <v>2</v>
      </c>
      <c r="B134" s="169" t="s">
        <v>261</v>
      </c>
      <c r="C134" s="157">
        <v>378475</v>
      </c>
      <c r="D134" s="157">
        <v>340305</v>
      </c>
      <c r="E134" s="157">
        <f t="shared" si="8"/>
        <v>-38170</v>
      </c>
      <c r="F134" s="161">
        <f t="shared" si="9"/>
        <v>-0.10085210383777</v>
      </c>
    </row>
    <row r="135" spans="1:6" ht="15" customHeight="1" x14ac:dyDescent="0.2">
      <c r="A135" s="147">
        <v>3</v>
      </c>
      <c r="B135" s="169" t="s">
        <v>262</v>
      </c>
      <c r="C135" s="157">
        <v>147334</v>
      </c>
      <c r="D135" s="157">
        <v>107266</v>
      </c>
      <c r="E135" s="157">
        <f t="shared" si="8"/>
        <v>-40068</v>
      </c>
      <c r="F135" s="161">
        <f t="shared" si="9"/>
        <v>-0.2719535205723051</v>
      </c>
    </row>
    <row r="136" spans="1:6" ht="15" customHeight="1" x14ac:dyDescent="0.2">
      <c r="A136" s="147">
        <v>4</v>
      </c>
      <c r="B136" s="169" t="s">
        <v>263</v>
      </c>
      <c r="C136" s="157">
        <v>287903</v>
      </c>
      <c r="D136" s="157">
        <v>285889</v>
      </c>
      <c r="E136" s="157">
        <f t="shared" si="8"/>
        <v>-2014</v>
      </c>
      <c r="F136" s="161">
        <f t="shared" si="9"/>
        <v>-6.9954116490623577E-3</v>
      </c>
    </row>
    <row r="137" spans="1:6" ht="15" customHeight="1" x14ac:dyDescent="0.2">
      <c r="A137" s="147">
        <v>5</v>
      </c>
      <c r="B137" s="169" t="s">
        <v>264</v>
      </c>
      <c r="C137" s="157">
        <v>3864381</v>
      </c>
      <c r="D137" s="157">
        <v>3582896</v>
      </c>
      <c r="E137" s="157">
        <f t="shared" si="8"/>
        <v>-281485</v>
      </c>
      <c r="F137" s="161">
        <f t="shared" si="9"/>
        <v>-7.2840902592161597E-2</v>
      </c>
    </row>
    <row r="138" spans="1:6" ht="15" customHeight="1" x14ac:dyDescent="0.2">
      <c r="A138" s="147">
        <v>6</v>
      </c>
      <c r="B138" s="169" t="s">
        <v>265</v>
      </c>
      <c r="C138" s="157">
        <v>315864</v>
      </c>
      <c r="D138" s="157">
        <v>247096</v>
      </c>
      <c r="E138" s="157">
        <f t="shared" si="8"/>
        <v>-68768</v>
      </c>
      <c r="F138" s="161">
        <f t="shared" si="9"/>
        <v>-0.21771395284046299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303807</v>
      </c>
      <c r="D140" s="157">
        <v>278275</v>
      </c>
      <c r="E140" s="157">
        <f t="shared" si="8"/>
        <v>-25532</v>
      </c>
      <c r="F140" s="161">
        <f t="shared" si="9"/>
        <v>-8.4040196572165882E-2</v>
      </c>
    </row>
    <row r="141" spans="1:6" ht="15" customHeight="1" x14ac:dyDescent="0.2">
      <c r="A141" s="147">
        <v>9</v>
      </c>
      <c r="B141" s="169" t="s">
        <v>268</v>
      </c>
      <c r="C141" s="157">
        <v>290528</v>
      </c>
      <c r="D141" s="157">
        <v>283968</v>
      </c>
      <c r="E141" s="157">
        <f t="shared" si="8"/>
        <v>-6560</v>
      </c>
      <c r="F141" s="161">
        <f t="shared" si="9"/>
        <v>-2.2579579248815949E-2</v>
      </c>
    </row>
    <row r="142" spans="1:6" ht="15" customHeight="1" x14ac:dyDescent="0.2">
      <c r="A142" s="147">
        <v>10</v>
      </c>
      <c r="B142" s="169" t="s">
        <v>269</v>
      </c>
      <c r="C142" s="157">
        <v>2372965</v>
      </c>
      <c r="D142" s="157">
        <v>2061970</v>
      </c>
      <c r="E142" s="157">
        <f t="shared" si="8"/>
        <v>-310995</v>
      </c>
      <c r="F142" s="161">
        <f t="shared" si="9"/>
        <v>-0.13105755879248113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1291233</v>
      </c>
      <c r="D144" s="157">
        <v>1534035</v>
      </c>
      <c r="E144" s="157">
        <f t="shared" si="8"/>
        <v>242802</v>
      </c>
      <c r="F144" s="161">
        <f t="shared" si="9"/>
        <v>0.18803887447114503</v>
      </c>
    </row>
    <row r="145" spans="1:6" ht="15" customHeight="1" x14ac:dyDescent="0.2">
      <c r="A145" s="147">
        <v>13</v>
      </c>
      <c r="B145" s="169" t="s">
        <v>272</v>
      </c>
      <c r="C145" s="157">
        <v>93419</v>
      </c>
      <c r="D145" s="157">
        <v>81379</v>
      </c>
      <c r="E145" s="157">
        <f t="shared" si="8"/>
        <v>-12040</v>
      </c>
      <c r="F145" s="161">
        <f t="shared" si="9"/>
        <v>-0.12888170500647619</v>
      </c>
    </row>
    <row r="146" spans="1:6" ht="15" customHeight="1" x14ac:dyDescent="0.2">
      <c r="A146" s="147">
        <v>14</v>
      </c>
      <c r="B146" s="169" t="s">
        <v>273</v>
      </c>
      <c r="C146" s="157">
        <v>29529</v>
      </c>
      <c r="D146" s="157">
        <v>10759</v>
      </c>
      <c r="E146" s="157">
        <f t="shared" si="8"/>
        <v>-18770</v>
      </c>
      <c r="F146" s="161">
        <f t="shared" si="9"/>
        <v>-0.63564631379322023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44908</v>
      </c>
      <c r="D148" s="157">
        <v>44257</v>
      </c>
      <c r="E148" s="157">
        <f t="shared" si="8"/>
        <v>-651</v>
      </c>
      <c r="F148" s="161">
        <f t="shared" si="9"/>
        <v>-1.4496303553932484E-2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107513</v>
      </c>
      <c r="D155" s="157">
        <v>126558</v>
      </c>
      <c r="E155" s="157">
        <f t="shared" si="8"/>
        <v>19045</v>
      </c>
      <c r="F155" s="161">
        <f t="shared" si="9"/>
        <v>0.17714136895073154</v>
      </c>
    </row>
    <row r="156" spans="1:6" ht="15" customHeight="1" x14ac:dyDescent="0.2">
      <c r="A156" s="147">
        <v>24</v>
      </c>
      <c r="B156" s="169" t="s">
        <v>283</v>
      </c>
      <c r="C156" s="157">
        <v>6424688</v>
      </c>
      <c r="D156" s="157">
        <v>5822973</v>
      </c>
      <c r="E156" s="157">
        <f t="shared" si="8"/>
        <v>-601715</v>
      </c>
      <c r="F156" s="161">
        <f t="shared" si="9"/>
        <v>-9.3656688075747799E-2</v>
      </c>
    </row>
    <row r="157" spans="1:6" ht="15" customHeight="1" x14ac:dyDescent="0.2">
      <c r="A157" s="147">
        <v>25</v>
      </c>
      <c r="B157" s="169" t="s">
        <v>284</v>
      </c>
      <c r="C157" s="157">
        <v>169166</v>
      </c>
      <c r="D157" s="157">
        <v>164854</v>
      </c>
      <c r="E157" s="157">
        <f t="shared" si="8"/>
        <v>-4312</v>
      </c>
      <c r="F157" s="161">
        <f t="shared" si="9"/>
        <v>-2.5489755624652707E-2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1050505</v>
      </c>
      <c r="D160" s="157">
        <v>1075527</v>
      </c>
      <c r="E160" s="157">
        <f t="shared" si="8"/>
        <v>25022</v>
      </c>
      <c r="F160" s="161">
        <f t="shared" si="9"/>
        <v>2.3819020375914442E-2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999320</v>
      </c>
      <c r="D164" s="157">
        <v>947837</v>
      </c>
      <c r="E164" s="157">
        <f t="shared" si="8"/>
        <v>-51483</v>
      </c>
      <c r="F164" s="161">
        <f t="shared" si="9"/>
        <v>-5.1518032261938115E-2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893692</v>
      </c>
      <c r="D166" s="157">
        <v>685539</v>
      </c>
      <c r="E166" s="157">
        <f t="shared" si="8"/>
        <v>-208153</v>
      </c>
      <c r="F166" s="161">
        <f t="shared" si="9"/>
        <v>-0.23291357648943931</v>
      </c>
    </row>
    <row r="167" spans="1:6" ht="15.75" customHeight="1" x14ac:dyDescent="0.25">
      <c r="A167" s="147"/>
      <c r="B167" s="165" t="s">
        <v>294</v>
      </c>
      <c r="C167" s="158">
        <f>SUM(C133:C166)</f>
        <v>26737739</v>
      </c>
      <c r="D167" s="158">
        <f>SUM(D133:D166)</f>
        <v>24286229</v>
      </c>
      <c r="E167" s="158">
        <f t="shared" si="8"/>
        <v>-2451510</v>
      </c>
      <c r="F167" s="159">
        <f t="shared" si="9"/>
        <v>-9.1687258971298952E-2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4713282</v>
      </c>
      <c r="D170" s="157">
        <v>3857165</v>
      </c>
      <c r="E170" s="157">
        <f t="shared" ref="E170:E183" si="10">D170-C170</f>
        <v>-856117</v>
      </c>
      <c r="F170" s="161">
        <f t="shared" ref="F170:F183" si="11">IF(C170=0,0,E170/C170)</f>
        <v>-0.18163924840482704</v>
      </c>
    </row>
    <row r="171" spans="1:6" ht="15" customHeight="1" x14ac:dyDescent="0.2">
      <c r="A171" s="147">
        <v>2</v>
      </c>
      <c r="B171" s="169" t="s">
        <v>297</v>
      </c>
      <c r="C171" s="157">
        <v>2070330</v>
      </c>
      <c r="D171" s="157">
        <v>1694449</v>
      </c>
      <c r="E171" s="157">
        <f t="shared" si="10"/>
        <v>-375881</v>
      </c>
      <c r="F171" s="161">
        <f t="shared" si="11"/>
        <v>-0.18155608043162202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524929</v>
      </c>
      <c r="D179" s="157">
        <v>462737</v>
      </c>
      <c r="E179" s="157">
        <f t="shared" si="10"/>
        <v>-62192</v>
      </c>
      <c r="F179" s="161">
        <f t="shared" si="11"/>
        <v>-0.11847697498137844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557279</v>
      </c>
      <c r="D182" s="157">
        <v>830985</v>
      </c>
      <c r="E182" s="157">
        <f t="shared" si="10"/>
        <v>273706</v>
      </c>
      <c r="F182" s="161">
        <f t="shared" si="11"/>
        <v>0.49114716327010349</v>
      </c>
    </row>
    <row r="183" spans="1:6" ht="15.75" customHeight="1" x14ac:dyDescent="0.25">
      <c r="A183" s="147"/>
      <c r="B183" s="165" t="s">
        <v>309</v>
      </c>
      <c r="C183" s="158">
        <f>SUM(C170:C182)</f>
        <v>7865820</v>
      </c>
      <c r="D183" s="158">
        <f>SUM(D170:D182)</f>
        <v>6845336</v>
      </c>
      <c r="E183" s="158">
        <f t="shared" si="10"/>
        <v>-1020484</v>
      </c>
      <c r="F183" s="159">
        <f t="shared" si="11"/>
        <v>-0.12973650553915547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183831</v>
      </c>
      <c r="E186" s="157">
        <f>D186-C186</f>
        <v>183831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68867915</v>
      </c>
      <c r="D188" s="158">
        <f>+D186+D183+D167+D130+D121</f>
        <v>69446518</v>
      </c>
      <c r="E188" s="158">
        <f>D188-C188</f>
        <v>578603</v>
      </c>
      <c r="F188" s="159">
        <f>IF(C188=0,0,E188/C188)</f>
        <v>8.4016337651575488E-3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68528682</v>
      </c>
      <c r="D11" s="183">
        <v>63002481</v>
      </c>
      <c r="E11" s="76">
        <v>57986143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6391666</v>
      </c>
      <c r="D12" s="185">
        <v>2225773</v>
      </c>
      <c r="E12" s="185">
        <v>1294537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74920348</v>
      </c>
      <c r="D13" s="76">
        <f>+D11+D12</f>
        <v>65228254</v>
      </c>
      <c r="E13" s="76">
        <f>+E11+E12</f>
        <v>59280680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72159655</v>
      </c>
      <c r="D14" s="185">
        <v>68867915</v>
      </c>
      <c r="E14" s="185">
        <v>69446518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2760693</v>
      </c>
      <c r="D15" s="76">
        <f>+D13-D14</f>
        <v>-3639661</v>
      </c>
      <c r="E15" s="76">
        <f>+E13-E14</f>
        <v>-10165838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-378564</v>
      </c>
      <c r="D16" s="185">
        <v>-546692</v>
      </c>
      <c r="E16" s="185">
        <v>-1635175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2382129</v>
      </c>
      <c r="D17" s="76">
        <f>D15+D16</f>
        <v>-4186353</v>
      </c>
      <c r="E17" s="76">
        <f>E15+E16</f>
        <v>-11801013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3.7035510177754805E-2</v>
      </c>
      <c r="D20" s="189">
        <f>IF(+D27=0,0,+D24/+D27)</f>
        <v>-5.6270456177295161E-2</v>
      </c>
      <c r="E20" s="189">
        <f>IF(+E27=0,0,+E24/+E27)</f>
        <v>-0.17635092276492331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-5.0785476237059203E-3</v>
      </c>
      <c r="D21" s="189">
        <f>IF(D27=0,0,+D26/D27)</f>
        <v>-8.4520531523342001E-3</v>
      </c>
      <c r="E21" s="189">
        <f>IF(E27=0,0,+E26/E27)</f>
        <v>-2.8366045192942623E-2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3.1956962554048882E-2</v>
      </c>
      <c r="D22" s="189">
        <f>IF(D27=0,0,+D28/D27)</f>
        <v>-6.4722509329629363E-2</v>
      </c>
      <c r="E22" s="189">
        <f>IF(E27=0,0,+E28/E27)</f>
        <v>-0.20471696795786593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2760693</v>
      </c>
      <c r="D24" s="76">
        <f>+D15</f>
        <v>-3639661</v>
      </c>
      <c r="E24" s="76">
        <f>+E15</f>
        <v>-10165838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74920348</v>
      </c>
      <c r="D25" s="76">
        <f>+D13</f>
        <v>65228254</v>
      </c>
      <c r="E25" s="76">
        <f>+E13</f>
        <v>59280680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-378564</v>
      </c>
      <c r="D26" s="76">
        <f>+D16</f>
        <v>-546692</v>
      </c>
      <c r="E26" s="76">
        <f>+E16</f>
        <v>-1635175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74541784</v>
      </c>
      <c r="D27" s="76">
        <f>+D25+D26</f>
        <v>64681562</v>
      </c>
      <c r="E27" s="76">
        <f>+E25+E26</f>
        <v>57645505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2382129</v>
      </c>
      <c r="D28" s="76">
        <f>+D17</f>
        <v>-4186353</v>
      </c>
      <c r="E28" s="76">
        <f>+E17</f>
        <v>-11801013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24211838</v>
      </c>
      <c r="D31" s="76">
        <v>14969087</v>
      </c>
      <c r="E31" s="76">
        <v>11556416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28334302</v>
      </c>
      <c r="D32" s="76">
        <v>18878910</v>
      </c>
      <c r="E32" s="76">
        <v>16731176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-2718161</v>
      </c>
      <c r="D33" s="76">
        <f>+D32-C32</f>
        <v>-9455392</v>
      </c>
      <c r="E33" s="76">
        <f>+E32-D32</f>
        <v>-2147734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0.91239999999999999</v>
      </c>
      <c r="D34" s="193">
        <f>IF(C32=0,0,+D33/C32)</f>
        <v>-0.33370830874887969</v>
      </c>
      <c r="E34" s="193">
        <f>IF(D32=0,0,+E33/D32)</f>
        <v>-0.11376366538110516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0.30878136992588073</v>
      </c>
      <c r="D38" s="195">
        <f>IF((D40+D41)=0,0,+D39/(D40+D41))</f>
        <v>0.29978711075331749</v>
      </c>
      <c r="E38" s="195">
        <f>IF((E40+E41)=0,0,+E39/(E40+E41))</f>
        <v>0.3023889932585993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72159655</v>
      </c>
      <c r="D39" s="76">
        <v>68867915</v>
      </c>
      <c r="E39" s="196">
        <v>69446518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227300072</v>
      </c>
      <c r="D40" s="76">
        <v>227496962</v>
      </c>
      <c r="E40" s="196">
        <v>228365006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6391666</v>
      </c>
      <c r="D41" s="76">
        <v>2225773</v>
      </c>
      <c r="E41" s="196">
        <v>1294537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1.4800565940928627</v>
      </c>
      <c r="D43" s="197">
        <f>IF(D38=0,0,IF((D46-D47)=0,0,((+D44-D45)/(D46-D47)/D38)))</f>
        <v>1.5022495149560098</v>
      </c>
      <c r="E43" s="197">
        <f>IF(E38=0,0,IF((E46-E47)=0,0,((+E44-E45)/(E46-E47)/E38)))</f>
        <v>1.4786502824607923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37081867</v>
      </c>
      <c r="D44" s="76">
        <v>33861022</v>
      </c>
      <c r="E44" s="196">
        <v>34795603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247104</v>
      </c>
      <c r="D45" s="76">
        <v>196689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84821383</v>
      </c>
      <c r="D46" s="76">
        <v>78292359</v>
      </c>
      <c r="E46" s="196">
        <v>81572037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4222603</v>
      </c>
      <c r="D47" s="76">
        <v>3541707</v>
      </c>
      <c r="E47" s="76">
        <v>3751734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0.80757859787691044</v>
      </c>
      <c r="D49" s="198">
        <f>IF(D38=0,0,IF(D51=0,0,(D50/D51)/D38))</f>
        <v>0.76704817809502013</v>
      </c>
      <c r="E49" s="198">
        <f>IF(E38=0,0,IF(E51=0,0,(E50/E51)/E38))</f>
        <v>0.69209715358208534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24930464</v>
      </c>
      <c r="D50" s="199">
        <v>23688610</v>
      </c>
      <c r="E50" s="199">
        <v>20479204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99975704</v>
      </c>
      <c r="D51" s="199">
        <v>103015833</v>
      </c>
      <c r="E51" s="199">
        <v>97854326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0.58656213035281446</v>
      </c>
      <c r="D53" s="198">
        <f>IF(D38=0,0,IF(D55=0,0,(D54/D55)/D38))</f>
        <v>0.55392553605571315</v>
      </c>
      <c r="E53" s="198">
        <f>IF(E38=0,0,IF(E55=0,0,(E54/E55)/E38))</f>
        <v>0.5465356888655114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7446367</v>
      </c>
      <c r="D54" s="199">
        <v>7431042</v>
      </c>
      <c r="E54" s="199">
        <v>7895540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41113015</v>
      </c>
      <c r="D55" s="199">
        <v>44749210</v>
      </c>
      <c r="E55" s="199">
        <v>47774630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1231983.9380458971</v>
      </c>
      <c r="D57" s="88">
        <f>+D60*D38</f>
        <v>1321458.586329516</v>
      </c>
      <c r="E57" s="88">
        <f>+E60*E38</f>
        <v>1056540.187498701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1188543</v>
      </c>
      <c r="D58" s="199">
        <v>797362</v>
      </c>
      <c r="E58" s="199">
        <v>1508204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2801283</v>
      </c>
      <c r="D59" s="199">
        <v>3610628</v>
      </c>
      <c r="E59" s="199">
        <v>1985773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3989826</v>
      </c>
      <c r="D60" s="76">
        <v>4407990</v>
      </c>
      <c r="E60" s="201">
        <v>3493977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1.7073029770526164E-2</v>
      </c>
      <c r="D62" s="202">
        <f>IF(D63=0,0,+D57/D63)</f>
        <v>1.918830541522153E-2</v>
      </c>
      <c r="E62" s="202">
        <f>IF(E63=0,0,+E57/E63)</f>
        <v>1.5213724430340785E-2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72159655</v>
      </c>
      <c r="D63" s="199">
        <v>68867915</v>
      </c>
      <c r="E63" s="199">
        <v>69446518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1.588127546839212</v>
      </c>
      <c r="D67" s="203">
        <f>IF(D69=0,0,D68/D69)</f>
        <v>1.4656346243411695</v>
      </c>
      <c r="E67" s="203">
        <f>IF(E69=0,0,E68/E69)</f>
        <v>0.54768679430658884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14737641</v>
      </c>
      <c r="D68" s="204">
        <v>12917979</v>
      </c>
      <c r="E68" s="204">
        <v>9123170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9279885</v>
      </c>
      <c r="D69" s="204">
        <v>8813915</v>
      </c>
      <c r="E69" s="204">
        <v>16657641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9.3938270355827722</v>
      </c>
      <c r="D71" s="203">
        <f>IF((D77/365)=0,0,+D74/(D77/365))</f>
        <v>11.83103924693938</v>
      </c>
      <c r="E71" s="203">
        <f>IF((E77/365)=0,0,+E74/(E77/365))</f>
        <v>1.6472355713003588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1772696</v>
      </c>
      <c r="D72" s="183">
        <v>2130527</v>
      </c>
      <c r="E72" s="183">
        <v>299540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1772696</v>
      </c>
      <c r="D74" s="204">
        <f>+D72+D73</f>
        <v>2130527</v>
      </c>
      <c r="E74" s="204">
        <f>+E72+E73</f>
        <v>299540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72159655</v>
      </c>
      <c r="D75" s="204">
        <f>+D14</f>
        <v>68867915</v>
      </c>
      <c r="E75" s="204">
        <f>+E14</f>
        <v>69446518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3281014</v>
      </c>
      <c r="D76" s="204">
        <v>3138917</v>
      </c>
      <c r="E76" s="204">
        <v>3073437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68878641</v>
      </c>
      <c r="D77" s="204">
        <f>+D75-D76</f>
        <v>65728998</v>
      </c>
      <c r="E77" s="204">
        <f>+E75-E76</f>
        <v>66373081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52.818838030476059</v>
      </c>
      <c r="D79" s="203">
        <f>IF((D84/365)=0,0,+D83/(D84/365))</f>
        <v>46.199770529671682</v>
      </c>
      <c r="E79" s="203">
        <f>IF((E84/365)=0,0,+E83/(E84/365))</f>
        <v>24.373607070227102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10900702</v>
      </c>
      <c r="D80" s="212">
        <v>8279947</v>
      </c>
      <c r="E80" s="212">
        <v>6032974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148435</v>
      </c>
      <c r="D81" s="212">
        <v>751256</v>
      </c>
      <c r="E81" s="212">
        <v>1308851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1132410</v>
      </c>
      <c r="D82" s="212">
        <v>1056682</v>
      </c>
      <c r="E82" s="212">
        <v>3469684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9916727</v>
      </c>
      <c r="D83" s="212">
        <f>+D80+D81-D82</f>
        <v>7974521</v>
      </c>
      <c r="E83" s="212">
        <f>+E80+E81-E82</f>
        <v>3872141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68528682</v>
      </c>
      <c r="D84" s="204">
        <f>+D11</f>
        <v>63002481</v>
      </c>
      <c r="E84" s="204">
        <f>+E11</f>
        <v>57986143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49.175738310516316</v>
      </c>
      <c r="D86" s="203">
        <f>IF((D90/365)=0,0,+D87/(D90/365))</f>
        <v>48.94459177667671</v>
      </c>
      <c r="E86" s="203">
        <f>IF((E90/365)=0,0,+E87/(E90/365))</f>
        <v>91.60398874658236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9279885</v>
      </c>
      <c r="D87" s="76">
        <f>+D69</f>
        <v>8813915</v>
      </c>
      <c r="E87" s="76">
        <f>+E69</f>
        <v>16657641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72159655</v>
      </c>
      <c r="D88" s="76">
        <f t="shared" si="0"/>
        <v>68867915</v>
      </c>
      <c r="E88" s="76">
        <f t="shared" si="0"/>
        <v>69446518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3281014</v>
      </c>
      <c r="D89" s="201">
        <f t="shared" si="0"/>
        <v>3138917</v>
      </c>
      <c r="E89" s="201">
        <f t="shared" si="0"/>
        <v>3073437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68878641</v>
      </c>
      <c r="D90" s="76">
        <f>+D88-D89</f>
        <v>65728998</v>
      </c>
      <c r="E90" s="76">
        <f>+E88-E89</f>
        <v>66373081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37.886695331651801</v>
      </c>
      <c r="D94" s="214">
        <f>IF(D96=0,0,(D95/D96)*100)</f>
        <v>28.516700792766247</v>
      </c>
      <c r="E94" s="214">
        <f>IF(E96=0,0,(E95/E96)*100)</f>
        <v>31.390727823263827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28334302</v>
      </c>
      <c r="D95" s="76">
        <f>+D32</f>
        <v>18878910</v>
      </c>
      <c r="E95" s="76">
        <f>+E32</f>
        <v>16731176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74786945</v>
      </c>
      <c r="D96" s="76">
        <v>66202995</v>
      </c>
      <c r="E96" s="76">
        <v>53299739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17.333219719900651</v>
      </c>
      <c r="D98" s="214">
        <f>IF(D104=0,0,(D101/D104)*100)</f>
        <v>-3.3482270078706202</v>
      </c>
      <c r="E98" s="214">
        <f>IF(E104=0,0,(E101/E104)*100)</f>
        <v>-50.535336964550126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2382129</v>
      </c>
      <c r="D99" s="76">
        <f>+D28</f>
        <v>-4186353</v>
      </c>
      <c r="E99" s="76">
        <f>+E28</f>
        <v>-11801013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3281014</v>
      </c>
      <c r="D100" s="201">
        <f>+D76</f>
        <v>3138917</v>
      </c>
      <c r="E100" s="201">
        <f>+E76</f>
        <v>3073437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5663143</v>
      </c>
      <c r="D101" s="76">
        <f>+D99+D100</f>
        <v>-1047436</v>
      </c>
      <c r="E101" s="76">
        <f>+E99+E100</f>
        <v>-8727576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9279885</v>
      </c>
      <c r="D102" s="204">
        <f>+D69</f>
        <v>8813915</v>
      </c>
      <c r="E102" s="204">
        <f>+E69</f>
        <v>16657641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23392308</v>
      </c>
      <c r="D103" s="216">
        <v>22469388</v>
      </c>
      <c r="E103" s="216">
        <v>612603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32672193</v>
      </c>
      <c r="D104" s="204">
        <f>+D102+D103</f>
        <v>31283303</v>
      </c>
      <c r="E104" s="204">
        <f>+E102+E103</f>
        <v>17270244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45.222967443642645</v>
      </c>
      <c r="D106" s="214">
        <f>IF(D109=0,0,(D107/D109)*100)</f>
        <v>54.341748238343449</v>
      </c>
      <c r="E106" s="214">
        <f>IF(E109=0,0,(E107/E109)*100)</f>
        <v>3.5321194994470355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23392308</v>
      </c>
      <c r="D107" s="204">
        <f>+D103</f>
        <v>22469388</v>
      </c>
      <c r="E107" s="204">
        <f>+E103</f>
        <v>612603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28334302</v>
      </c>
      <c r="D108" s="204">
        <f>+D32</f>
        <v>18878910</v>
      </c>
      <c r="E108" s="204">
        <f>+E32</f>
        <v>16731176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51726610</v>
      </c>
      <c r="D109" s="204">
        <f>+D107+D108</f>
        <v>41348298</v>
      </c>
      <c r="E109" s="204">
        <f>+E107+E108</f>
        <v>17343779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4.0601932626493085</v>
      </c>
      <c r="D111" s="214">
        <f>IF((+D113+D115)=0,0,((+D112+D113+D114)/(+D113+D115)))</f>
        <v>-0.2110751374244422</v>
      </c>
      <c r="E111" s="214">
        <f>IF((+E113+E115)=0,0,((+E112+E113+E114)/(+E113+E115)))</f>
        <v>-0.34425076560889301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2382129</v>
      </c>
      <c r="D112" s="76">
        <f>+D17</f>
        <v>-4186353</v>
      </c>
      <c r="E112" s="76">
        <f>+E17</f>
        <v>-11801013</v>
      </c>
    </row>
    <row r="113" spans="1:8" ht="24" customHeight="1" x14ac:dyDescent="0.2">
      <c r="A113" s="85">
        <v>17</v>
      </c>
      <c r="B113" s="75" t="s">
        <v>88</v>
      </c>
      <c r="C113" s="218">
        <v>689882</v>
      </c>
      <c r="D113" s="76">
        <v>697473</v>
      </c>
      <c r="E113" s="76">
        <v>678065</v>
      </c>
    </row>
    <row r="114" spans="1:8" ht="24" customHeight="1" x14ac:dyDescent="0.2">
      <c r="A114" s="85">
        <v>18</v>
      </c>
      <c r="B114" s="75" t="s">
        <v>374</v>
      </c>
      <c r="C114" s="218">
        <v>3281014</v>
      </c>
      <c r="D114" s="76">
        <v>3138917</v>
      </c>
      <c r="E114" s="76">
        <v>3073437</v>
      </c>
    </row>
    <row r="115" spans="1:8" ht="24" customHeight="1" x14ac:dyDescent="0.2">
      <c r="A115" s="85">
        <v>19</v>
      </c>
      <c r="B115" s="75" t="s">
        <v>104</v>
      </c>
      <c r="C115" s="218">
        <v>874828</v>
      </c>
      <c r="D115" s="76">
        <v>960529</v>
      </c>
      <c r="E115" s="76">
        <v>22704631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18.701221939315101</v>
      </c>
      <c r="D119" s="214">
        <f>IF(+D121=0,0,(+D120)/(+D121))</f>
        <v>20.530429444295596</v>
      </c>
      <c r="E119" s="214">
        <f>IF(+E121=0,0,(+E120)/(+E121))</f>
        <v>21.967641763927485</v>
      </c>
    </row>
    <row r="120" spans="1:8" ht="24" customHeight="1" x14ac:dyDescent="0.2">
      <c r="A120" s="85">
        <v>21</v>
      </c>
      <c r="B120" s="75" t="s">
        <v>378</v>
      </c>
      <c r="C120" s="218">
        <v>61358971</v>
      </c>
      <c r="D120" s="218">
        <v>64443314</v>
      </c>
      <c r="E120" s="218">
        <v>67516163</v>
      </c>
    </row>
    <row r="121" spans="1:8" ht="24" customHeight="1" x14ac:dyDescent="0.2">
      <c r="A121" s="85">
        <v>22</v>
      </c>
      <c r="B121" s="75" t="s">
        <v>374</v>
      </c>
      <c r="C121" s="218">
        <v>3281014</v>
      </c>
      <c r="D121" s="218">
        <v>3138917</v>
      </c>
      <c r="E121" s="218">
        <v>3073437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11155</v>
      </c>
      <c r="D124" s="218">
        <v>9873</v>
      </c>
      <c r="E124" s="218">
        <v>10010</v>
      </c>
    </row>
    <row r="125" spans="1:8" ht="24" customHeight="1" x14ac:dyDescent="0.2">
      <c r="A125" s="85">
        <v>2</v>
      </c>
      <c r="B125" s="75" t="s">
        <v>381</v>
      </c>
      <c r="C125" s="218">
        <v>2341</v>
      </c>
      <c r="D125" s="218">
        <v>2112</v>
      </c>
      <c r="E125" s="218">
        <v>2052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4.7650576676633918</v>
      </c>
      <c r="D126" s="219">
        <f>IF(D125=0,0,D124/D125)</f>
        <v>4.6747159090909092</v>
      </c>
      <c r="E126" s="219">
        <f>IF(E125=0,0,E124/E125)</f>
        <v>4.8781676413255362</v>
      </c>
    </row>
    <row r="127" spans="1:8" ht="24" customHeight="1" x14ac:dyDescent="0.2">
      <c r="A127" s="85">
        <v>4</v>
      </c>
      <c r="B127" s="75" t="s">
        <v>383</v>
      </c>
      <c r="C127" s="218">
        <v>47</v>
      </c>
      <c r="D127" s="218">
        <v>47</v>
      </c>
      <c r="E127" s="218">
        <v>54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0.6502</v>
      </c>
      <c r="D130" s="193">
        <v>0.57550000000000001</v>
      </c>
      <c r="E130" s="193">
        <v>0.50780000000000003</v>
      </c>
    </row>
    <row r="131" spans="1:7" ht="24" customHeight="1" x14ac:dyDescent="0.2">
      <c r="A131" s="85">
        <v>8</v>
      </c>
      <c r="B131" s="75" t="s">
        <v>387</v>
      </c>
      <c r="C131" s="193">
        <v>0.25890000000000002</v>
      </c>
      <c r="D131" s="193">
        <v>0.22919999999999999</v>
      </c>
      <c r="E131" s="193">
        <v>0.2324</v>
      </c>
    </row>
    <row r="132" spans="1:7" ht="24" customHeight="1" x14ac:dyDescent="0.2">
      <c r="A132" s="85">
        <v>9</v>
      </c>
      <c r="B132" s="75" t="s">
        <v>388</v>
      </c>
      <c r="C132" s="219">
        <v>422.7</v>
      </c>
      <c r="D132" s="219">
        <v>381.1</v>
      </c>
      <c r="E132" s="219">
        <v>343.7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0.35459196862902886</v>
      </c>
      <c r="D135" s="227">
        <f>IF(D149=0,0,D143/D149)</f>
        <v>0.3285786822946673</v>
      </c>
      <c r="E135" s="227">
        <f>IF(E149=0,0,E143/E149)</f>
        <v>0.34077157600932956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0.43984017743733933</v>
      </c>
      <c r="D136" s="227">
        <f>IF(D149=0,0,D144/D149)</f>
        <v>0.45282289527892683</v>
      </c>
      <c r="E136" s="227">
        <f>IF(E149=0,0,E144/E149)</f>
        <v>0.42849965375167859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0.18087550363820387</v>
      </c>
      <c r="D137" s="227">
        <f>IF(D149=0,0,D145/D149)</f>
        <v>0.19670245091009173</v>
      </c>
      <c r="E137" s="227">
        <f>IF(E149=0,0,E145/E149)</f>
        <v>0.20920293716104646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1.8577218048571494E-2</v>
      </c>
      <c r="D139" s="227">
        <f>IF(D149=0,0,D147/D149)</f>
        <v>1.5568150751832897E-2</v>
      </c>
      <c r="E139" s="227">
        <f>IF(E149=0,0,E147/E149)</f>
        <v>1.6428672964017964E-2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6.1151322468564811E-3</v>
      </c>
      <c r="D140" s="227">
        <f>IF(D149=0,0,D148/D149)</f>
        <v>6.3278207644812418E-3</v>
      </c>
      <c r="E140" s="227">
        <f>IF(E149=0,0,E148/E149)</f>
        <v>5.0971601139274377E-3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80598780</v>
      </c>
      <c r="D143" s="229">
        <f>+D46-D147</f>
        <v>74750652</v>
      </c>
      <c r="E143" s="229">
        <f>+E46-E147</f>
        <v>77820303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99975704</v>
      </c>
      <c r="D144" s="229">
        <f>+D51</f>
        <v>103015833</v>
      </c>
      <c r="E144" s="229">
        <f>+E51</f>
        <v>97854326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41113015</v>
      </c>
      <c r="D145" s="229">
        <f>+D55</f>
        <v>44749210</v>
      </c>
      <c r="E145" s="229">
        <f>+E55</f>
        <v>47774630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4222603</v>
      </c>
      <c r="D147" s="229">
        <f>+D47</f>
        <v>3541707</v>
      </c>
      <c r="E147" s="229">
        <f>+E47</f>
        <v>3751734</v>
      </c>
    </row>
    <row r="148" spans="1:7" ht="20.100000000000001" customHeight="1" x14ac:dyDescent="0.2">
      <c r="A148" s="226">
        <v>13</v>
      </c>
      <c r="B148" s="224" t="s">
        <v>402</v>
      </c>
      <c r="C148" s="230">
        <v>1389970</v>
      </c>
      <c r="D148" s="229">
        <v>1439560</v>
      </c>
      <c r="E148" s="229">
        <v>1164013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227300072</v>
      </c>
      <c r="D149" s="229">
        <f>SUM(D143:D148)</f>
        <v>227496962</v>
      </c>
      <c r="E149" s="229">
        <f>SUM(E143:E148)</f>
        <v>228365006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0.52807916108806141</v>
      </c>
      <c r="D152" s="227">
        <f>IF(D166=0,0,D160/D166)</f>
        <v>0.51627896719401978</v>
      </c>
      <c r="E152" s="227">
        <f>IF(E166=0,0,E160/E166)</f>
        <v>0.54699053835166456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0.35741396014021093</v>
      </c>
      <c r="D153" s="227">
        <f>IF(D166=0,0,D161/D166)</f>
        <v>0.36329046249221481</v>
      </c>
      <c r="E153" s="227">
        <f>IF(E166=0,0,E161/E166)</f>
        <v>0.32193524052373984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0.1067543515486668</v>
      </c>
      <c r="D154" s="227">
        <f>IF(D166=0,0,D162/D166)</f>
        <v>0.1139630685371186</v>
      </c>
      <c r="E154" s="227">
        <f>IF(E166=0,0,E162/E166)</f>
        <v>0.12411871911451289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3.5425902705415622E-3</v>
      </c>
      <c r="D156" s="227">
        <f>IF(D166=0,0,D164/D166)</f>
        <v>3.0164386081383094E-3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4.2099369525193499E-3</v>
      </c>
      <c r="D157" s="227">
        <f>IF(D166=0,0,D165/D166)</f>
        <v>3.4510631685084354E-3</v>
      </c>
      <c r="E157" s="227">
        <f>IF(E166=0,0,E165/E166)</f>
        <v>6.955502010082687E-3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36834763</v>
      </c>
      <c r="D160" s="229">
        <f>+D44-D164</f>
        <v>33664333</v>
      </c>
      <c r="E160" s="229">
        <f>+E44-E164</f>
        <v>34795603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24930464</v>
      </c>
      <c r="D161" s="229">
        <f>+D50</f>
        <v>23688610</v>
      </c>
      <c r="E161" s="229">
        <f>+E50</f>
        <v>20479204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7446367</v>
      </c>
      <c r="D162" s="229">
        <f>+D54</f>
        <v>7431042</v>
      </c>
      <c r="E162" s="229">
        <f>+E54</f>
        <v>7895540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247104</v>
      </c>
      <c r="D164" s="229">
        <f>+D45</f>
        <v>196689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293653</v>
      </c>
      <c r="D165" s="229">
        <v>225029</v>
      </c>
      <c r="E165" s="229">
        <v>442459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69752351</v>
      </c>
      <c r="D166" s="229">
        <f>SUM(D160:D165)</f>
        <v>65205703</v>
      </c>
      <c r="E166" s="229">
        <f>SUM(E160:E165)</f>
        <v>63612806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489</v>
      </c>
      <c r="D169" s="218">
        <v>409</v>
      </c>
      <c r="E169" s="218">
        <v>446</v>
      </c>
    </row>
    <row r="170" spans="1:6" ht="20.100000000000001" customHeight="1" x14ac:dyDescent="0.2">
      <c r="A170" s="226">
        <v>2</v>
      </c>
      <c r="B170" s="224" t="s">
        <v>420</v>
      </c>
      <c r="C170" s="218">
        <v>1524</v>
      </c>
      <c r="D170" s="218">
        <v>1428</v>
      </c>
      <c r="E170" s="218">
        <v>1310</v>
      </c>
    </row>
    <row r="171" spans="1:6" ht="20.100000000000001" customHeight="1" x14ac:dyDescent="0.2">
      <c r="A171" s="226">
        <v>3</v>
      </c>
      <c r="B171" s="224" t="s">
        <v>421</v>
      </c>
      <c r="C171" s="218">
        <v>317</v>
      </c>
      <c r="D171" s="218">
        <v>266</v>
      </c>
      <c r="E171" s="218">
        <v>295</v>
      </c>
    </row>
    <row r="172" spans="1:6" ht="20.100000000000001" customHeight="1" x14ac:dyDescent="0.2">
      <c r="A172" s="226">
        <v>4</v>
      </c>
      <c r="B172" s="224" t="s">
        <v>422</v>
      </c>
      <c r="C172" s="218">
        <v>317</v>
      </c>
      <c r="D172" s="218">
        <v>266</v>
      </c>
      <c r="E172" s="218">
        <v>295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11</v>
      </c>
      <c r="D174" s="218">
        <v>9</v>
      </c>
      <c r="E174" s="218">
        <v>1</v>
      </c>
    </row>
    <row r="175" spans="1:6" ht="20.100000000000001" customHeight="1" x14ac:dyDescent="0.2">
      <c r="A175" s="226">
        <v>7</v>
      </c>
      <c r="B175" s="224" t="s">
        <v>425</v>
      </c>
      <c r="C175" s="218">
        <v>26</v>
      </c>
      <c r="D175" s="218">
        <v>16</v>
      </c>
      <c r="E175" s="218">
        <v>16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2341</v>
      </c>
      <c r="D176" s="218">
        <f>+D169+D170+D171+D174</f>
        <v>2112</v>
      </c>
      <c r="E176" s="218">
        <f>+E169+E170+E171+E174</f>
        <v>2052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1.61446</v>
      </c>
      <c r="D179" s="231">
        <v>1.77478</v>
      </c>
      <c r="E179" s="231">
        <v>1.7539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1.5733299999999999</v>
      </c>
      <c r="D180" s="231">
        <v>1.7138199999999999</v>
      </c>
      <c r="E180" s="231">
        <v>1.6565000000000001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1.3605</v>
      </c>
      <c r="D181" s="231">
        <v>1.5228200000000001</v>
      </c>
      <c r="E181" s="231">
        <v>1.5835999999999999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1.3605</v>
      </c>
      <c r="D182" s="231">
        <v>1.5228200000000001</v>
      </c>
      <c r="E182" s="231">
        <v>1.5835999999999999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1.3385899999999999</v>
      </c>
      <c r="D184" s="231">
        <v>1.0293000000000001</v>
      </c>
      <c r="E184" s="231">
        <v>1.6971000000000001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1.0972500000000001</v>
      </c>
      <c r="D185" s="231">
        <v>1.05498</v>
      </c>
      <c r="E185" s="231">
        <v>1.2977000000000001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1.551998</v>
      </c>
      <c r="D186" s="231">
        <v>1.6986520000000001</v>
      </c>
      <c r="E186" s="231">
        <v>1.6672089999999999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2089</v>
      </c>
      <c r="D189" s="218">
        <v>1893</v>
      </c>
      <c r="E189" s="218">
        <v>1855</v>
      </c>
    </row>
    <row r="190" spans="1:6" ht="20.100000000000001" customHeight="1" x14ac:dyDescent="0.2">
      <c r="A190" s="226">
        <v>2</v>
      </c>
      <c r="B190" s="224" t="s">
        <v>433</v>
      </c>
      <c r="C190" s="218">
        <v>19262</v>
      </c>
      <c r="D190" s="218">
        <v>18996</v>
      </c>
      <c r="E190" s="218">
        <v>18661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21351</v>
      </c>
      <c r="D191" s="218">
        <f>+D190+D189</f>
        <v>20889</v>
      </c>
      <c r="E191" s="218">
        <f>+E190+E189</f>
        <v>20516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124911</v>
      </c>
      <c r="D14" s="258">
        <v>1666591</v>
      </c>
      <c r="E14" s="258">
        <f t="shared" ref="E14:E24" si="0">D14-C14</f>
        <v>1541680</v>
      </c>
      <c r="F14" s="259">
        <f t="shared" ref="F14:F24" si="1">IF(C14=0,0,E14/C14)</f>
        <v>12.342227666098262</v>
      </c>
    </row>
    <row r="15" spans="1:7" ht="20.25" customHeight="1" x14ac:dyDescent="0.3">
      <c r="A15" s="256">
        <v>2</v>
      </c>
      <c r="B15" s="257" t="s">
        <v>442</v>
      </c>
      <c r="C15" s="258">
        <v>23928</v>
      </c>
      <c r="D15" s="258">
        <v>286394</v>
      </c>
      <c r="E15" s="258">
        <f t="shared" si="0"/>
        <v>262466</v>
      </c>
      <c r="F15" s="259">
        <f t="shared" si="1"/>
        <v>10.968990304246072</v>
      </c>
    </row>
    <row r="16" spans="1:7" ht="20.25" customHeight="1" x14ac:dyDescent="0.3">
      <c r="A16" s="256">
        <v>3</v>
      </c>
      <c r="B16" s="257" t="s">
        <v>443</v>
      </c>
      <c r="C16" s="258">
        <v>240947</v>
      </c>
      <c r="D16" s="258">
        <v>1441241</v>
      </c>
      <c r="E16" s="258">
        <f t="shared" si="0"/>
        <v>1200294</v>
      </c>
      <c r="F16" s="259">
        <f t="shared" si="1"/>
        <v>4.981568560720822</v>
      </c>
    </row>
    <row r="17" spans="1:6" ht="20.25" customHeight="1" x14ac:dyDescent="0.3">
      <c r="A17" s="256">
        <v>4</v>
      </c>
      <c r="B17" s="257" t="s">
        <v>444</v>
      </c>
      <c r="C17" s="258">
        <v>31322</v>
      </c>
      <c r="D17" s="258">
        <v>197478</v>
      </c>
      <c r="E17" s="258">
        <f t="shared" si="0"/>
        <v>166156</v>
      </c>
      <c r="F17" s="259">
        <f t="shared" si="1"/>
        <v>5.3047698103569374</v>
      </c>
    </row>
    <row r="18" spans="1:6" ht="20.25" customHeight="1" x14ac:dyDescent="0.3">
      <c r="A18" s="256">
        <v>5</v>
      </c>
      <c r="B18" s="257" t="s">
        <v>381</v>
      </c>
      <c r="C18" s="260">
        <v>3</v>
      </c>
      <c r="D18" s="260">
        <v>42</v>
      </c>
      <c r="E18" s="260">
        <f t="shared" si="0"/>
        <v>39</v>
      </c>
      <c r="F18" s="259">
        <f t="shared" si="1"/>
        <v>13</v>
      </c>
    </row>
    <row r="19" spans="1:6" ht="20.25" customHeight="1" x14ac:dyDescent="0.3">
      <c r="A19" s="256">
        <v>6</v>
      </c>
      <c r="B19" s="257" t="s">
        <v>380</v>
      </c>
      <c r="C19" s="260">
        <v>9</v>
      </c>
      <c r="D19" s="260">
        <v>233</v>
      </c>
      <c r="E19" s="260">
        <f t="shared" si="0"/>
        <v>224</v>
      </c>
      <c r="F19" s="259">
        <f t="shared" si="1"/>
        <v>24.888888888888889</v>
      </c>
    </row>
    <row r="20" spans="1:6" ht="20.25" customHeight="1" x14ac:dyDescent="0.3">
      <c r="A20" s="256">
        <v>7</v>
      </c>
      <c r="B20" s="257" t="s">
        <v>445</v>
      </c>
      <c r="C20" s="260">
        <v>172</v>
      </c>
      <c r="D20" s="260">
        <v>761</v>
      </c>
      <c r="E20" s="260">
        <f t="shared" si="0"/>
        <v>589</v>
      </c>
      <c r="F20" s="259">
        <f t="shared" si="1"/>
        <v>3.4244186046511627</v>
      </c>
    </row>
    <row r="21" spans="1:6" ht="20.25" customHeight="1" x14ac:dyDescent="0.3">
      <c r="A21" s="256">
        <v>8</v>
      </c>
      <c r="B21" s="257" t="s">
        <v>446</v>
      </c>
      <c r="C21" s="260">
        <v>28</v>
      </c>
      <c r="D21" s="260">
        <v>147</v>
      </c>
      <c r="E21" s="260">
        <f t="shared" si="0"/>
        <v>119</v>
      </c>
      <c r="F21" s="259">
        <f t="shared" si="1"/>
        <v>4.25</v>
      </c>
    </row>
    <row r="22" spans="1:6" ht="20.25" customHeight="1" x14ac:dyDescent="0.3">
      <c r="A22" s="256">
        <v>9</v>
      </c>
      <c r="B22" s="257" t="s">
        <v>447</v>
      </c>
      <c r="C22" s="260">
        <v>2</v>
      </c>
      <c r="D22" s="260">
        <v>57</v>
      </c>
      <c r="E22" s="260">
        <f t="shared" si="0"/>
        <v>55</v>
      </c>
      <c r="F22" s="259">
        <f t="shared" si="1"/>
        <v>27.5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365858</v>
      </c>
      <c r="D23" s="263">
        <f>+D14+D16</f>
        <v>3107832</v>
      </c>
      <c r="E23" s="263">
        <f t="shared" si="0"/>
        <v>2741974</v>
      </c>
      <c r="F23" s="264">
        <f t="shared" si="1"/>
        <v>7.4946399969387034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55250</v>
      </c>
      <c r="D24" s="263">
        <f>+D15+D17</f>
        <v>483872</v>
      </c>
      <c r="E24" s="263">
        <f t="shared" si="0"/>
        <v>428622</v>
      </c>
      <c r="F24" s="264">
        <f t="shared" si="1"/>
        <v>7.7578642533936648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7307611</v>
      </c>
      <c r="D40" s="258">
        <v>6362477</v>
      </c>
      <c r="E40" s="258">
        <f t="shared" ref="E40:E50" si="4">D40-C40</f>
        <v>-945134</v>
      </c>
      <c r="F40" s="259">
        <f t="shared" ref="F40:F50" si="5">IF(C40=0,0,E40/C40)</f>
        <v>-0.12933556534413229</v>
      </c>
    </row>
    <row r="41" spans="1:6" ht="20.25" customHeight="1" x14ac:dyDescent="0.3">
      <c r="A41" s="256">
        <v>2</v>
      </c>
      <c r="B41" s="257" t="s">
        <v>442</v>
      </c>
      <c r="C41" s="258">
        <v>2052423</v>
      </c>
      <c r="D41" s="258">
        <v>1480508</v>
      </c>
      <c r="E41" s="258">
        <f t="shared" si="4"/>
        <v>-571915</v>
      </c>
      <c r="F41" s="259">
        <f t="shared" si="5"/>
        <v>-0.27865357190013951</v>
      </c>
    </row>
    <row r="42" spans="1:6" ht="20.25" customHeight="1" x14ac:dyDescent="0.3">
      <c r="A42" s="256">
        <v>3</v>
      </c>
      <c r="B42" s="257" t="s">
        <v>443</v>
      </c>
      <c r="C42" s="258">
        <v>7414437</v>
      </c>
      <c r="D42" s="258">
        <v>12055412</v>
      </c>
      <c r="E42" s="258">
        <f t="shared" si="4"/>
        <v>4640975</v>
      </c>
      <c r="F42" s="259">
        <f t="shared" si="5"/>
        <v>0.62593761333463349</v>
      </c>
    </row>
    <row r="43" spans="1:6" ht="20.25" customHeight="1" x14ac:dyDescent="0.3">
      <c r="A43" s="256">
        <v>4</v>
      </c>
      <c r="B43" s="257" t="s">
        <v>444</v>
      </c>
      <c r="C43" s="258">
        <v>1426504</v>
      </c>
      <c r="D43" s="258">
        <v>2248963</v>
      </c>
      <c r="E43" s="258">
        <f t="shared" si="4"/>
        <v>822459</v>
      </c>
      <c r="F43" s="259">
        <f t="shared" si="5"/>
        <v>0.57655569139658913</v>
      </c>
    </row>
    <row r="44" spans="1:6" ht="20.25" customHeight="1" x14ac:dyDescent="0.3">
      <c r="A44" s="256">
        <v>5</v>
      </c>
      <c r="B44" s="257" t="s">
        <v>381</v>
      </c>
      <c r="C44" s="260">
        <v>207</v>
      </c>
      <c r="D44" s="260">
        <v>164</v>
      </c>
      <c r="E44" s="260">
        <f t="shared" si="4"/>
        <v>-43</v>
      </c>
      <c r="F44" s="259">
        <f t="shared" si="5"/>
        <v>-0.20772946859903382</v>
      </c>
    </row>
    <row r="45" spans="1:6" ht="20.25" customHeight="1" x14ac:dyDescent="0.3">
      <c r="A45" s="256">
        <v>6</v>
      </c>
      <c r="B45" s="257" t="s">
        <v>380</v>
      </c>
      <c r="C45" s="260">
        <v>934</v>
      </c>
      <c r="D45" s="260">
        <v>968</v>
      </c>
      <c r="E45" s="260">
        <f t="shared" si="4"/>
        <v>34</v>
      </c>
      <c r="F45" s="259">
        <f t="shared" si="5"/>
        <v>3.6402569593147749E-2</v>
      </c>
    </row>
    <row r="46" spans="1:6" ht="20.25" customHeight="1" x14ac:dyDescent="0.3">
      <c r="A46" s="256">
        <v>7</v>
      </c>
      <c r="B46" s="257" t="s">
        <v>445</v>
      </c>
      <c r="C46" s="260">
        <v>5145</v>
      </c>
      <c r="D46" s="260">
        <v>2678</v>
      </c>
      <c r="E46" s="260">
        <f t="shared" si="4"/>
        <v>-2467</v>
      </c>
      <c r="F46" s="259">
        <f t="shared" si="5"/>
        <v>-0.4794946550048591</v>
      </c>
    </row>
    <row r="47" spans="1:6" ht="20.25" customHeight="1" x14ac:dyDescent="0.3">
      <c r="A47" s="256">
        <v>8</v>
      </c>
      <c r="B47" s="257" t="s">
        <v>446</v>
      </c>
      <c r="C47" s="260">
        <v>419</v>
      </c>
      <c r="D47" s="260">
        <v>333</v>
      </c>
      <c r="E47" s="260">
        <f t="shared" si="4"/>
        <v>-86</v>
      </c>
      <c r="F47" s="259">
        <f t="shared" si="5"/>
        <v>-0.2052505966587112</v>
      </c>
    </row>
    <row r="48" spans="1:6" ht="20.25" customHeight="1" x14ac:dyDescent="0.3">
      <c r="A48" s="256">
        <v>9</v>
      </c>
      <c r="B48" s="257" t="s">
        <v>447</v>
      </c>
      <c r="C48" s="260">
        <v>183</v>
      </c>
      <c r="D48" s="260">
        <v>211</v>
      </c>
      <c r="E48" s="260">
        <f t="shared" si="4"/>
        <v>28</v>
      </c>
      <c r="F48" s="259">
        <f t="shared" si="5"/>
        <v>0.15300546448087432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14722048</v>
      </c>
      <c r="D49" s="263">
        <f>+D40+D42</f>
        <v>18417889</v>
      </c>
      <c r="E49" s="263">
        <f t="shared" si="4"/>
        <v>3695841</v>
      </c>
      <c r="F49" s="264">
        <f t="shared" si="5"/>
        <v>0.25104122741618556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3478927</v>
      </c>
      <c r="D50" s="263">
        <f>+D41+D43</f>
        <v>3729471</v>
      </c>
      <c r="E50" s="263">
        <f t="shared" si="4"/>
        <v>250544</v>
      </c>
      <c r="F50" s="264">
        <f t="shared" si="5"/>
        <v>7.2017607727900015E-2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36595</v>
      </c>
      <c r="D66" s="258">
        <v>58005</v>
      </c>
      <c r="E66" s="258">
        <f t="shared" ref="E66:E76" si="8">D66-C66</f>
        <v>21410</v>
      </c>
      <c r="F66" s="259">
        <f t="shared" ref="F66:F76" si="9">IF(C66=0,0,E66/C66)</f>
        <v>0.58505260281459215</v>
      </c>
    </row>
    <row r="67" spans="1:6" ht="20.25" customHeight="1" x14ac:dyDescent="0.3">
      <c r="A67" s="256">
        <v>2</v>
      </c>
      <c r="B67" s="257" t="s">
        <v>442</v>
      </c>
      <c r="C67" s="258">
        <v>11649</v>
      </c>
      <c r="D67" s="258">
        <v>10128</v>
      </c>
      <c r="E67" s="258">
        <f t="shared" si="8"/>
        <v>-1521</v>
      </c>
      <c r="F67" s="259">
        <f t="shared" si="9"/>
        <v>-0.13056914756631471</v>
      </c>
    </row>
    <row r="68" spans="1:6" ht="20.25" customHeight="1" x14ac:dyDescent="0.3">
      <c r="A68" s="256">
        <v>3</v>
      </c>
      <c r="B68" s="257" t="s">
        <v>443</v>
      </c>
      <c r="C68" s="258">
        <v>123944</v>
      </c>
      <c r="D68" s="258">
        <v>74903</v>
      </c>
      <c r="E68" s="258">
        <f t="shared" si="8"/>
        <v>-49041</v>
      </c>
      <c r="F68" s="259">
        <f t="shared" si="9"/>
        <v>-0.39567062544374881</v>
      </c>
    </row>
    <row r="69" spans="1:6" ht="20.25" customHeight="1" x14ac:dyDescent="0.3">
      <c r="A69" s="256">
        <v>4</v>
      </c>
      <c r="B69" s="257" t="s">
        <v>444</v>
      </c>
      <c r="C69" s="258">
        <v>15427</v>
      </c>
      <c r="D69" s="258">
        <v>12254</v>
      </c>
      <c r="E69" s="258">
        <f t="shared" si="8"/>
        <v>-3173</v>
      </c>
      <c r="F69" s="259">
        <f t="shared" si="9"/>
        <v>-0.20567835612886498</v>
      </c>
    </row>
    <row r="70" spans="1:6" ht="20.25" customHeight="1" x14ac:dyDescent="0.3">
      <c r="A70" s="256">
        <v>5</v>
      </c>
      <c r="B70" s="257" t="s">
        <v>381</v>
      </c>
      <c r="C70" s="260">
        <v>2</v>
      </c>
      <c r="D70" s="260">
        <v>3</v>
      </c>
      <c r="E70" s="260">
        <f t="shared" si="8"/>
        <v>1</v>
      </c>
      <c r="F70" s="259">
        <f t="shared" si="9"/>
        <v>0.5</v>
      </c>
    </row>
    <row r="71" spans="1:6" ht="20.25" customHeight="1" x14ac:dyDescent="0.3">
      <c r="A71" s="256">
        <v>6</v>
      </c>
      <c r="B71" s="257" t="s">
        <v>380</v>
      </c>
      <c r="C71" s="260">
        <v>6</v>
      </c>
      <c r="D71" s="260">
        <v>8</v>
      </c>
      <c r="E71" s="260">
        <f t="shared" si="8"/>
        <v>2</v>
      </c>
      <c r="F71" s="259">
        <f t="shared" si="9"/>
        <v>0.33333333333333331</v>
      </c>
    </row>
    <row r="72" spans="1:6" ht="20.25" customHeight="1" x14ac:dyDescent="0.3">
      <c r="A72" s="256">
        <v>7</v>
      </c>
      <c r="B72" s="257" t="s">
        <v>445</v>
      </c>
      <c r="C72" s="260">
        <v>31</v>
      </c>
      <c r="D72" s="260">
        <v>3</v>
      </c>
      <c r="E72" s="260">
        <f t="shared" si="8"/>
        <v>-28</v>
      </c>
      <c r="F72" s="259">
        <f t="shared" si="9"/>
        <v>-0.90322580645161288</v>
      </c>
    </row>
    <row r="73" spans="1:6" ht="20.25" customHeight="1" x14ac:dyDescent="0.3">
      <c r="A73" s="256">
        <v>8</v>
      </c>
      <c r="B73" s="257" t="s">
        <v>446</v>
      </c>
      <c r="C73" s="260">
        <v>19</v>
      </c>
      <c r="D73" s="260">
        <v>16</v>
      </c>
      <c r="E73" s="260">
        <f t="shared" si="8"/>
        <v>-3</v>
      </c>
      <c r="F73" s="259">
        <f t="shared" si="9"/>
        <v>-0.15789473684210525</v>
      </c>
    </row>
    <row r="74" spans="1:6" ht="20.25" customHeight="1" x14ac:dyDescent="0.3">
      <c r="A74" s="256">
        <v>9</v>
      </c>
      <c r="B74" s="257" t="s">
        <v>447</v>
      </c>
      <c r="C74" s="260">
        <v>2</v>
      </c>
      <c r="D74" s="260">
        <v>4</v>
      </c>
      <c r="E74" s="260">
        <f t="shared" si="8"/>
        <v>2</v>
      </c>
      <c r="F74" s="259">
        <f t="shared" si="9"/>
        <v>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160539</v>
      </c>
      <c r="D75" s="263">
        <f>+D66+D68</f>
        <v>132908</v>
      </c>
      <c r="E75" s="263">
        <f t="shared" si="8"/>
        <v>-27631</v>
      </c>
      <c r="F75" s="264">
        <f t="shared" si="9"/>
        <v>-0.17211394116071485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27076</v>
      </c>
      <c r="D76" s="263">
        <f>+D67+D69</f>
        <v>22382</v>
      </c>
      <c r="E76" s="263">
        <f t="shared" si="8"/>
        <v>-4694</v>
      </c>
      <c r="F76" s="264">
        <f t="shared" si="9"/>
        <v>-0.17336386467720491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3959469</v>
      </c>
      <c r="D92" s="258">
        <v>3704101</v>
      </c>
      <c r="E92" s="258">
        <f t="shared" ref="E92:E102" si="12">D92-C92</f>
        <v>-255368</v>
      </c>
      <c r="F92" s="259">
        <f t="shared" ref="F92:F102" si="13">IF(C92=0,0,E92/C92)</f>
        <v>-6.4495516949368711E-2</v>
      </c>
    </row>
    <row r="93" spans="1:6" ht="20.25" customHeight="1" x14ac:dyDescent="0.3">
      <c r="A93" s="256">
        <v>2</v>
      </c>
      <c r="B93" s="257" t="s">
        <v>442</v>
      </c>
      <c r="C93" s="258">
        <v>1014478</v>
      </c>
      <c r="D93" s="258">
        <v>992776</v>
      </c>
      <c r="E93" s="258">
        <f t="shared" si="12"/>
        <v>-21702</v>
      </c>
      <c r="F93" s="259">
        <f t="shared" si="13"/>
        <v>-2.1392282533480272E-2</v>
      </c>
    </row>
    <row r="94" spans="1:6" ht="20.25" customHeight="1" x14ac:dyDescent="0.3">
      <c r="A94" s="256">
        <v>3</v>
      </c>
      <c r="B94" s="257" t="s">
        <v>443</v>
      </c>
      <c r="C94" s="258">
        <v>3363847</v>
      </c>
      <c r="D94" s="258">
        <v>4465853</v>
      </c>
      <c r="E94" s="258">
        <f t="shared" si="12"/>
        <v>1102006</v>
      </c>
      <c r="F94" s="259">
        <f t="shared" si="13"/>
        <v>0.3276028903811618</v>
      </c>
    </row>
    <row r="95" spans="1:6" ht="20.25" customHeight="1" x14ac:dyDescent="0.3">
      <c r="A95" s="256">
        <v>4</v>
      </c>
      <c r="B95" s="257" t="s">
        <v>444</v>
      </c>
      <c r="C95" s="258">
        <v>587950</v>
      </c>
      <c r="D95" s="258">
        <v>647860</v>
      </c>
      <c r="E95" s="258">
        <f t="shared" si="12"/>
        <v>59910</v>
      </c>
      <c r="F95" s="259">
        <f t="shared" si="13"/>
        <v>0.10189641976358534</v>
      </c>
    </row>
    <row r="96" spans="1:6" ht="20.25" customHeight="1" x14ac:dyDescent="0.3">
      <c r="A96" s="256">
        <v>5</v>
      </c>
      <c r="B96" s="257" t="s">
        <v>381</v>
      </c>
      <c r="C96" s="260">
        <v>107</v>
      </c>
      <c r="D96" s="260">
        <v>110</v>
      </c>
      <c r="E96" s="260">
        <f t="shared" si="12"/>
        <v>3</v>
      </c>
      <c r="F96" s="259">
        <f t="shared" si="13"/>
        <v>2.8037383177570093E-2</v>
      </c>
    </row>
    <row r="97" spans="1:6" ht="20.25" customHeight="1" x14ac:dyDescent="0.3">
      <c r="A97" s="256">
        <v>6</v>
      </c>
      <c r="B97" s="257" t="s">
        <v>380</v>
      </c>
      <c r="C97" s="260">
        <v>487</v>
      </c>
      <c r="D97" s="260">
        <v>508</v>
      </c>
      <c r="E97" s="260">
        <f t="shared" si="12"/>
        <v>21</v>
      </c>
      <c r="F97" s="259">
        <f t="shared" si="13"/>
        <v>4.3121149897330596E-2</v>
      </c>
    </row>
    <row r="98" spans="1:6" ht="20.25" customHeight="1" x14ac:dyDescent="0.3">
      <c r="A98" s="256">
        <v>7</v>
      </c>
      <c r="B98" s="257" t="s">
        <v>445</v>
      </c>
      <c r="C98" s="260">
        <v>1935</v>
      </c>
      <c r="D98" s="260">
        <v>1431</v>
      </c>
      <c r="E98" s="260">
        <f t="shared" si="12"/>
        <v>-504</v>
      </c>
      <c r="F98" s="259">
        <f t="shared" si="13"/>
        <v>-0.26046511627906976</v>
      </c>
    </row>
    <row r="99" spans="1:6" ht="20.25" customHeight="1" x14ac:dyDescent="0.3">
      <c r="A99" s="256">
        <v>8</v>
      </c>
      <c r="B99" s="257" t="s">
        <v>446</v>
      </c>
      <c r="C99" s="260">
        <v>237</v>
      </c>
      <c r="D99" s="260">
        <v>307</v>
      </c>
      <c r="E99" s="260">
        <f t="shared" si="12"/>
        <v>70</v>
      </c>
      <c r="F99" s="259">
        <f t="shared" si="13"/>
        <v>0.29535864978902954</v>
      </c>
    </row>
    <row r="100" spans="1:6" ht="20.25" customHeight="1" x14ac:dyDescent="0.3">
      <c r="A100" s="256">
        <v>9</v>
      </c>
      <c r="B100" s="257" t="s">
        <v>447</v>
      </c>
      <c r="C100" s="260">
        <v>93</v>
      </c>
      <c r="D100" s="260">
        <v>161</v>
      </c>
      <c r="E100" s="260">
        <f t="shared" si="12"/>
        <v>68</v>
      </c>
      <c r="F100" s="259">
        <f t="shared" si="13"/>
        <v>0.73118279569892475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7323316</v>
      </c>
      <c r="D101" s="263">
        <f>+D92+D94</f>
        <v>8169954</v>
      </c>
      <c r="E101" s="263">
        <f t="shared" si="12"/>
        <v>846638</v>
      </c>
      <c r="F101" s="264">
        <f t="shared" si="13"/>
        <v>0.1156085576533909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1602428</v>
      </c>
      <c r="D102" s="263">
        <f>+D93+D95</f>
        <v>1640636</v>
      </c>
      <c r="E102" s="263">
        <f t="shared" si="12"/>
        <v>38208</v>
      </c>
      <c r="F102" s="264">
        <f t="shared" si="13"/>
        <v>2.384381700769083E-2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1791567</v>
      </c>
      <c r="D105" s="258">
        <v>363016</v>
      </c>
      <c r="E105" s="258">
        <f t="shared" ref="E105:E115" si="14">D105-C105</f>
        <v>-1428551</v>
      </c>
      <c r="F105" s="259">
        <f t="shared" ref="F105:F115" si="15">IF(C105=0,0,E105/C105)</f>
        <v>-0.7973751470081778</v>
      </c>
    </row>
    <row r="106" spans="1:6" ht="20.25" customHeight="1" x14ac:dyDescent="0.3">
      <c r="A106" s="256">
        <v>2</v>
      </c>
      <c r="B106" s="257" t="s">
        <v>442</v>
      </c>
      <c r="C106" s="258">
        <v>399117</v>
      </c>
      <c r="D106" s="258">
        <v>82354</v>
      </c>
      <c r="E106" s="258">
        <f t="shared" si="14"/>
        <v>-316763</v>
      </c>
      <c r="F106" s="259">
        <f t="shared" si="15"/>
        <v>-0.79365950335365321</v>
      </c>
    </row>
    <row r="107" spans="1:6" ht="20.25" customHeight="1" x14ac:dyDescent="0.3">
      <c r="A107" s="256">
        <v>3</v>
      </c>
      <c r="B107" s="257" t="s">
        <v>443</v>
      </c>
      <c r="C107" s="258">
        <v>1431241</v>
      </c>
      <c r="D107" s="258">
        <v>1167736</v>
      </c>
      <c r="E107" s="258">
        <f t="shared" si="14"/>
        <v>-263505</v>
      </c>
      <c r="F107" s="259">
        <f t="shared" si="15"/>
        <v>-0.18410945466207299</v>
      </c>
    </row>
    <row r="108" spans="1:6" ht="20.25" customHeight="1" x14ac:dyDescent="0.3">
      <c r="A108" s="256">
        <v>4</v>
      </c>
      <c r="B108" s="257" t="s">
        <v>444</v>
      </c>
      <c r="C108" s="258">
        <v>247017</v>
      </c>
      <c r="D108" s="258">
        <v>154361</v>
      </c>
      <c r="E108" s="258">
        <f t="shared" si="14"/>
        <v>-92656</v>
      </c>
      <c r="F108" s="259">
        <f t="shared" si="15"/>
        <v>-0.37509968949505501</v>
      </c>
    </row>
    <row r="109" spans="1:6" ht="20.25" customHeight="1" x14ac:dyDescent="0.3">
      <c r="A109" s="256">
        <v>5</v>
      </c>
      <c r="B109" s="257" t="s">
        <v>381</v>
      </c>
      <c r="C109" s="260">
        <v>41</v>
      </c>
      <c r="D109" s="260">
        <v>10</v>
      </c>
      <c r="E109" s="260">
        <f t="shared" si="14"/>
        <v>-31</v>
      </c>
      <c r="F109" s="259">
        <f t="shared" si="15"/>
        <v>-0.75609756097560976</v>
      </c>
    </row>
    <row r="110" spans="1:6" ht="20.25" customHeight="1" x14ac:dyDescent="0.3">
      <c r="A110" s="256">
        <v>6</v>
      </c>
      <c r="B110" s="257" t="s">
        <v>380</v>
      </c>
      <c r="C110" s="260">
        <v>245</v>
      </c>
      <c r="D110" s="260">
        <v>75</v>
      </c>
      <c r="E110" s="260">
        <f t="shared" si="14"/>
        <v>-170</v>
      </c>
      <c r="F110" s="259">
        <f t="shared" si="15"/>
        <v>-0.69387755102040816</v>
      </c>
    </row>
    <row r="111" spans="1:6" ht="20.25" customHeight="1" x14ac:dyDescent="0.3">
      <c r="A111" s="256">
        <v>7</v>
      </c>
      <c r="B111" s="257" t="s">
        <v>445</v>
      </c>
      <c r="C111" s="260">
        <v>748</v>
      </c>
      <c r="D111" s="260">
        <v>254</v>
      </c>
      <c r="E111" s="260">
        <f t="shared" si="14"/>
        <v>-494</v>
      </c>
      <c r="F111" s="259">
        <f t="shared" si="15"/>
        <v>-0.66042780748663099</v>
      </c>
    </row>
    <row r="112" spans="1:6" ht="20.25" customHeight="1" x14ac:dyDescent="0.3">
      <c r="A112" s="256">
        <v>8</v>
      </c>
      <c r="B112" s="257" t="s">
        <v>446</v>
      </c>
      <c r="C112" s="260">
        <v>124</v>
      </c>
      <c r="D112" s="260">
        <v>105</v>
      </c>
      <c r="E112" s="260">
        <f t="shared" si="14"/>
        <v>-19</v>
      </c>
      <c r="F112" s="259">
        <f t="shared" si="15"/>
        <v>-0.15322580645161291</v>
      </c>
    </row>
    <row r="113" spans="1:6" ht="20.25" customHeight="1" x14ac:dyDescent="0.3">
      <c r="A113" s="256">
        <v>9</v>
      </c>
      <c r="B113" s="257" t="s">
        <v>447</v>
      </c>
      <c r="C113" s="260">
        <v>36</v>
      </c>
      <c r="D113" s="260">
        <v>11</v>
      </c>
      <c r="E113" s="260">
        <f t="shared" si="14"/>
        <v>-25</v>
      </c>
      <c r="F113" s="259">
        <f t="shared" si="15"/>
        <v>-0.69444444444444442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3222808</v>
      </c>
      <c r="D114" s="263">
        <f>+D105+D107</f>
        <v>1530752</v>
      </c>
      <c r="E114" s="263">
        <f t="shared" si="14"/>
        <v>-1692056</v>
      </c>
      <c r="F114" s="264">
        <f t="shared" si="15"/>
        <v>-0.52502538159269807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646134</v>
      </c>
      <c r="D115" s="263">
        <f>+D106+D108</f>
        <v>236715</v>
      </c>
      <c r="E115" s="263">
        <f t="shared" si="14"/>
        <v>-409419</v>
      </c>
      <c r="F115" s="264">
        <f t="shared" si="15"/>
        <v>-0.63364410478321831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1566276</v>
      </c>
      <c r="D118" s="258">
        <v>1603939</v>
      </c>
      <c r="E118" s="258">
        <f t="shared" ref="E118:E128" si="16">D118-C118</f>
        <v>37663</v>
      </c>
      <c r="F118" s="259">
        <f t="shared" ref="F118:F128" si="17">IF(C118=0,0,E118/C118)</f>
        <v>2.4046208969555814E-2</v>
      </c>
    </row>
    <row r="119" spans="1:6" ht="20.25" customHeight="1" x14ac:dyDescent="0.3">
      <c r="A119" s="256">
        <v>2</v>
      </c>
      <c r="B119" s="257" t="s">
        <v>442</v>
      </c>
      <c r="C119" s="258">
        <v>377787</v>
      </c>
      <c r="D119" s="258">
        <v>343023</v>
      </c>
      <c r="E119" s="258">
        <f t="shared" si="16"/>
        <v>-34764</v>
      </c>
      <c r="F119" s="259">
        <f t="shared" si="17"/>
        <v>-9.2020106567986718E-2</v>
      </c>
    </row>
    <row r="120" spans="1:6" ht="20.25" customHeight="1" x14ac:dyDescent="0.3">
      <c r="A120" s="256">
        <v>3</v>
      </c>
      <c r="B120" s="257" t="s">
        <v>443</v>
      </c>
      <c r="C120" s="258">
        <v>1958452</v>
      </c>
      <c r="D120" s="258">
        <v>2703865</v>
      </c>
      <c r="E120" s="258">
        <f t="shared" si="16"/>
        <v>745413</v>
      </c>
      <c r="F120" s="259">
        <f t="shared" si="17"/>
        <v>0.38061336198181012</v>
      </c>
    </row>
    <row r="121" spans="1:6" ht="20.25" customHeight="1" x14ac:dyDescent="0.3">
      <c r="A121" s="256">
        <v>4</v>
      </c>
      <c r="B121" s="257" t="s">
        <v>444</v>
      </c>
      <c r="C121" s="258">
        <v>379223</v>
      </c>
      <c r="D121" s="258">
        <v>380538</v>
      </c>
      <c r="E121" s="258">
        <f t="shared" si="16"/>
        <v>1315</v>
      </c>
      <c r="F121" s="259">
        <f t="shared" si="17"/>
        <v>3.4676166793680763E-3</v>
      </c>
    </row>
    <row r="122" spans="1:6" ht="20.25" customHeight="1" x14ac:dyDescent="0.3">
      <c r="A122" s="256">
        <v>5</v>
      </c>
      <c r="B122" s="257" t="s">
        <v>381</v>
      </c>
      <c r="C122" s="260">
        <v>38</v>
      </c>
      <c r="D122" s="260">
        <v>49</v>
      </c>
      <c r="E122" s="260">
        <f t="shared" si="16"/>
        <v>11</v>
      </c>
      <c r="F122" s="259">
        <f t="shared" si="17"/>
        <v>0.28947368421052633</v>
      </c>
    </row>
    <row r="123" spans="1:6" ht="20.25" customHeight="1" x14ac:dyDescent="0.3">
      <c r="A123" s="256">
        <v>6</v>
      </c>
      <c r="B123" s="257" t="s">
        <v>380</v>
      </c>
      <c r="C123" s="260">
        <v>199</v>
      </c>
      <c r="D123" s="260">
        <v>208</v>
      </c>
      <c r="E123" s="260">
        <f t="shared" si="16"/>
        <v>9</v>
      </c>
      <c r="F123" s="259">
        <f t="shared" si="17"/>
        <v>4.5226130653266333E-2</v>
      </c>
    </row>
    <row r="124" spans="1:6" ht="20.25" customHeight="1" x14ac:dyDescent="0.3">
      <c r="A124" s="256">
        <v>7</v>
      </c>
      <c r="B124" s="257" t="s">
        <v>445</v>
      </c>
      <c r="C124" s="260">
        <v>1567</v>
      </c>
      <c r="D124" s="260">
        <v>1390</v>
      </c>
      <c r="E124" s="260">
        <f t="shared" si="16"/>
        <v>-177</v>
      </c>
      <c r="F124" s="259">
        <f t="shared" si="17"/>
        <v>-0.11295469049138482</v>
      </c>
    </row>
    <row r="125" spans="1:6" ht="20.25" customHeight="1" x14ac:dyDescent="0.3">
      <c r="A125" s="256">
        <v>8</v>
      </c>
      <c r="B125" s="257" t="s">
        <v>446</v>
      </c>
      <c r="C125" s="260">
        <v>124</v>
      </c>
      <c r="D125" s="260">
        <v>181</v>
      </c>
      <c r="E125" s="260">
        <f t="shared" si="16"/>
        <v>57</v>
      </c>
      <c r="F125" s="259">
        <f t="shared" si="17"/>
        <v>0.45967741935483869</v>
      </c>
    </row>
    <row r="126" spans="1:6" ht="20.25" customHeight="1" x14ac:dyDescent="0.3">
      <c r="A126" s="256">
        <v>9</v>
      </c>
      <c r="B126" s="257" t="s">
        <v>447</v>
      </c>
      <c r="C126" s="260">
        <v>33</v>
      </c>
      <c r="D126" s="260">
        <v>57</v>
      </c>
      <c r="E126" s="260">
        <f t="shared" si="16"/>
        <v>24</v>
      </c>
      <c r="F126" s="259">
        <f t="shared" si="17"/>
        <v>0.72727272727272729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3524728</v>
      </c>
      <c r="D127" s="263">
        <f>+D118+D120</f>
        <v>4307804</v>
      </c>
      <c r="E127" s="263">
        <f t="shared" si="16"/>
        <v>783076</v>
      </c>
      <c r="F127" s="264">
        <f t="shared" si="17"/>
        <v>0.22216636290800312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757010</v>
      </c>
      <c r="D128" s="263">
        <f>+D119+D121</f>
        <v>723561</v>
      </c>
      <c r="E128" s="263">
        <f t="shared" si="16"/>
        <v>-33449</v>
      </c>
      <c r="F128" s="264">
        <f t="shared" si="17"/>
        <v>-4.4185677864229007E-2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97857</v>
      </c>
      <c r="D131" s="258">
        <v>92669</v>
      </c>
      <c r="E131" s="258">
        <f t="shared" ref="E131:E141" si="18">D131-C131</f>
        <v>-5188</v>
      </c>
      <c r="F131" s="259">
        <f t="shared" ref="F131:F141" si="19">IF(C131=0,0,E131/C131)</f>
        <v>-5.3016135789979255E-2</v>
      </c>
    </row>
    <row r="132" spans="1:6" ht="20.25" customHeight="1" x14ac:dyDescent="0.3">
      <c r="A132" s="256">
        <v>2</v>
      </c>
      <c r="B132" s="257" t="s">
        <v>442</v>
      </c>
      <c r="C132" s="258">
        <v>11030</v>
      </c>
      <c r="D132" s="258">
        <v>48795</v>
      </c>
      <c r="E132" s="258">
        <f t="shared" si="18"/>
        <v>37765</v>
      </c>
      <c r="F132" s="259">
        <f t="shared" si="19"/>
        <v>3.4238440616500454</v>
      </c>
    </row>
    <row r="133" spans="1:6" ht="20.25" customHeight="1" x14ac:dyDescent="0.3">
      <c r="A133" s="256">
        <v>3</v>
      </c>
      <c r="B133" s="257" t="s">
        <v>443</v>
      </c>
      <c r="C133" s="258">
        <v>37081</v>
      </c>
      <c r="D133" s="258">
        <v>61459</v>
      </c>
      <c r="E133" s="258">
        <f t="shared" si="18"/>
        <v>24378</v>
      </c>
      <c r="F133" s="259">
        <f t="shared" si="19"/>
        <v>0.65742563577034063</v>
      </c>
    </row>
    <row r="134" spans="1:6" ht="20.25" customHeight="1" x14ac:dyDescent="0.3">
      <c r="A134" s="256">
        <v>4</v>
      </c>
      <c r="B134" s="257" t="s">
        <v>444</v>
      </c>
      <c r="C134" s="258">
        <v>5750</v>
      </c>
      <c r="D134" s="258">
        <v>6325</v>
      </c>
      <c r="E134" s="258">
        <f t="shared" si="18"/>
        <v>575</v>
      </c>
      <c r="F134" s="259">
        <f t="shared" si="19"/>
        <v>0.1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4</v>
      </c>
      <c r="E135" s="260">
        <f t="shared" si="18"/>
        <v>1</v>
      </c>
      <c r="F135" s="259">
        <f t="shared" si="19"/>
        <v>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14</v>
      </c>
      <c r="D136" s="260">
        <v>16</v>
      </c>
      <c r="E136" s="260">
        <f t="shared" si="18"/>
        <v>2</v>
      </c>
      <c r="F136" s="259">
        <f t="shared" si="19"/>
        <v>0.14285714285714285</v>
      </c>
    </row>
    <row r="137" spans="1:6" ht="20.25" customHeight="1" x14ac:dyDescent="0.3">
      <c r="A137" s="256">
        <v>7</v>
      </c>
      <c r="B137" s="257" t="s">
        <v>445</v>
      </c>
      <c r="C137" s="260">
        <v>118</v>
      </c>
      <c r="D137" s="260">
        <v>61</v>
      </c>
      <c r="E137" s="260">
        <f t="shared" si="18"/>
        <v>-57</v>
      </c>
      <c r="F137" s="259">
        <f t="shared" si="19"/>
        <v>-0.48305084745762711</v>
      </c>
    </row>
    <row r="138" spans="1:6" ht="20.25" customHeight="1" x14ac:dyDescent="0.3">
      <c r="A138" s="256">
        <v>8</v>
      </c>
      <c r="B138" s="257" t="s">
        <v>446</v>
      </c>
      <c r="C138" s="260">
        <v>6</v>
      </c>
      <c r="D138" s="260">
        <v>8</v>
      </c>
      <c r="E138" s="260">
        <f t="shared" si="18"/>
        <v>2</v>
      </c>
      <c r="F138" s="259">
        <f t="shared" si="19"/>
        <v>0.33333333333333331</v>
      </c>
    </row>
    <row r="139" spans="1:6" ht="20.25" customHeight="1" x14ac:dyDescent="0.3">
      <c r="A139" s="256">
        <v>9</v>
      </c>
      <c r="B139" s="257" t="s">
        <v>447</v>
      </c>
      <c r="C139" s="260">
        <v>4</v>
      </c>
      <c r="D139" s="260">
        <v>6</v>
      </c>
      <c r="E139" s="260">
        <f t="shared" si="18"/>
        <v>2</v>
      </c>
      <c r="F139" s="259">
        <f t="shared" si="19"/>
        <v>0.5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134938</v>
      </c>
      <c r="D140" s="263">
        <f>+D131+D133</f>
        <v>154128</v>
      </c>
      <c r="E140" s="263">
        <f t="shared" si="18"/>
        <v>19190</v>
      </c>
      <c r="F140" s="264">
        <f t="shared" si="19"/>
        <v>0.14221346099690227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16780</v>
      </c>
      <c r="D141" s="263">
        <f>+D132+D134</f>
        <v>55120</v>
      </c>
      <c r="E141" s="263">
        <f t="shared" si="18"/>
        <v>38340</v>
      </c>
      <c r="F141" s="264">
        <f t="shared" si="19"/>
        <v>2.2848629320619787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14884286</v>
      </c>
      <c r="D198" s="263">
        <f t="shared" si="28"/>
        <v>13850798</v>
      </c>
      <c r="E198" s="263">
        <f t="shared" ref="E198:E208" si="29">D198-C198</f>
        <v>-1033488</v>
      </c>
      <c r="F198" s="273">
        <f t="shared" ref="F198:F208" si="30">IF(C198=0,0,E198/C198)</f>
        <v>-6.9434838862945797E-2</v>
      </c>
    </row>
    <row r="199" spans="1:9" ht="20.25" customHeight="1" x14ac:dyDescent="0.3">
      <c r="A199" s="271"/>
      <c r="B199" s="272" t="s">
        <v>466</v>
      </c>
      <c r="C199" s="263">
        <f t="shared" si="28"/>
        <v>3890412</v>
      </c>
      <c r="D199" s="263">
        <f t="shared" si="28"/>
        <v>3243978</v>
      </c>
      <c r="E199" s="263">
        <f t="shared" si="29"/>
        <v>-646434</v>
      </c>
      <c r="F199" s="273">
        <f t="shared" si="30"/>
        <v>-0.16616080764710781</v>
      </c>
    </row>
    <row r="200" spans="1:9" ht="20.25" customHeight="1" x14ac:dyDescent="0.3">
      <c r="A200" s="271"/>
      <c r="B200" s="272" t="s">
        <v>467</v>
      </c>
      <c r="C200" s="263">
        <f t="shared" si="28"/>
        <v>14569949</v>
      </c>
      <c r="D200" s="263">
        <f t="shared" si="28"/>
        <v>21970469</v>
      </c>
      <c r="E200" s="263">
        <f t="shared" si="29"/>
        <v>7400520</v>
      </c>
      <c r="F200" s="273">
        <f t="shared" si="30"/>
        <v>0.50793039838368681</v>
      </c>
    </row>
    <row r="201" spans="1:9" ht="20.25" customHeight="1" x14ac:dyDescent="0.3">
      <c r="A201" s="271"/>
      <c r="B201" s="272" t="s">
        <v>468</v>
      </c>
      <c r="C201" s="263">
        <f t="shared" si="28"/>
        <v>2693193</v>
      </c>
      <c r="D201" s="263">
        <f t="shared" si="28"/>
        <v>3647779</v>
      </c>
      <c r="E201" s="263">
        <f t="shared" si="29"/>
        <v>954586</v>
      </c>
      <c r="F201" s="273">
        <f t="shared" si="30"/>
        <v>0.35444396298371489</v>
      </c>
    </row>
    <row r="202" spans="1:9" ht="20.25" customHeight="1" x14ac:dyDescent="0.3">
      <c r="A202" s="271"/>
      <c r="B202" s="272" t="s">
        <v>138</v>
      </c>
      <c r="C202" s="274">
        <f t="shared" si="28"/>
        <v>401</v>
      </c>
      <c r="D202" s="274">
        <f t="shared" si="28"/>
        <v>382</v>
      </c>
      <c r="E202" s="274">
        <f t="shared" si="29"/>
        <v>-19</v>
      </c>
      <c r="F202" s="273">
        <f t="shared" si="30"/>
        <v>-4.738154613466334E-2</v>
      </c>
    </row>
    <row r="203" spans="1:9" ht="20.25" customHeight="1" x14ac:dyDescent="0.3">
      <c r="A203" s="271"/>
      <c r="B203" s="272" t="s">
        <v>140</v>
      </c>
      <c r="C203" s="274">
        <f t="shared" si="28"/>
        <v>1894</v>
      </c>
      <c r="D203" s="274">
        <f t="shared" si="28"/>
        <v>2016</v>
      </c>
      <c r="E203" s="274">
        <f t="shared" si="29"/>
        <v>122</v>
      </c>
      <c r="F203" s="273">
        <f t="shared" si="30"/>
        <v>6.4413938753959871E-2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9716</v>
      </c>
      <c r="D204" s="274">
        <f t="shared" si="28"/>
        <v>6578</v>
      </c>
      <c r="E204" s="274">
        <f t="shared" si="29"/>
        <v>-3138</v>
      </c>
      <c r="F204" s="273">
        <f t="shared" si="30"/>
        <v>-0.32297241663235898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957</v>
      </c>
      <c r="D205" s="274">
        <f t="shared" si="28"/>
        <v>1097</v>
      </c>
      <c r="E205" s="274">
        <f t="shared" si="29"/>
        <v>140</v>
      </c>
      <c r="F205" s="273">
        <f t="shared" si="30"/>
        <v>0.14629049111807732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353</v>
      </c>
      <c r="D206" s="274">
        <f t="shared" si="28"/>
        <v>507</v>
      </c>
      <c r="E206" s="274">
        <f t="shared" si="29"/>
        <v>154</v>
      </c>
      <c r="F206" s="273">
        <f t="shared" si="30"/>
        <v>0.43626062322946174</v>
      </c>
    </row>
    <row r="207" spans="1:9" ht="20.25" customHeight="1" x14ac:dyDescent="0.3">
      <c r="A207" s="271"/>
      <c r="B207" s="262" t="s">
        <v>471</v>
      </c>
      <c r="C207" s="263">
        <f>+C198+C200</f>
        <v>29454235</v>
      </c>
      <c r="D207" s="263">
        <f>+D198+D200</f>
        <v>35821267</v>
      </c>
      <c r="E207" s="263">
        <f t="shared" si="29"/>
        <v>6367032</v>
      </c>
      <c r="F207" s="273">
        <f t="shared" si="30"/>
        <v>0.21616694509295523</v>
      </c>
    </row>
    <row r="208" spans="1:9" ht="20.25" customHeight="1" x14ac:dyDescent="0.3">
      <c r="A208" s="271"/>
      <c r="B208" s="262" t="s">
        <v>472</v>
      </c>
      <c r="C208" s="263">
        <f>+C199+C201</f>
        <v>6583605</v>
      </c>
      <c r="D208" s="263">
        <f>+D199+D201</f>
        <v>6891757</v>
      </c>
      <c r="E208" s="263">
        <f t="shared" si="29"/>
        <v>308152</v>
      </c>
      <c r="F208" s="273">
        <f t="shared" si="30"/>
        <v>4.6805967247427513E-2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16286829</v>
      </c>
      <c r="D13" s="22">
        <v>5362866</v>
      </c>
      <c r="E13" s="22">
        <f t="shared" ref="E13:E22" si="0">D13-C13</f>
        <v>-10923963</v>
      </c>
      <c r="F13" s="306">
        <f t="shared" ref="F13:F22" si="1">IF(C13=0,0,E13/C13)</f>
        <v>-0.67072374861920636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41607499</v>
      </c>
      <c r="D15" s="22">
        <v>31004506</v>
      </c>
      <c r="E15" s="22">
        <f t="shared" si="0"/>
        <v>-10602993</v>
      </c>
      <c r="F15" s="306">
        <f t="shared" si="1"/>
        <v>-0.25483370197281024</v>
      </c>
    </row>
    <row r="16" spans="1:8" ht="35.1" customHeight="1" x14ac:dyDescent="0.2">
      <c r="A16" s="304">
        <v>4</v>
      </c>
      <c r="B16" s="305" t="s">
        <v>19</v>
      </c>
      <c r="C16" s="22">
        <v>1097599</v>
      </c>
      <c r="D16" s="22">
        <v>0</v>
      </c>
      <c r="E16" s="22">
        <f t="shared" si="0"/>
        <v>-1097599</v>
      </c>
      <c r="F16" s="306">
        <f t="shared" si="1"/>
        <v>-1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3573134</v>
      </c>
      <c r="D18" s="22">
        <v>2964558</v>
      </c>
      <c r="E18" s="22">
        <f t="shared" si="0"/>
        <v>-608576</v>
      </c>
      <c r="F18" s="306">
        <f t="shared" si="1"/>
        <v>-0.17031994881804041</v>
      </c>
    </row>
    <row r="19" spans="1:11" ht="24" customHeight="1" x14ac:dyDescent="0.2">
      <c r="A19" s="304">
        <v>7</v>
      </c>
      <c r="B19" s="305" t="s">
        <v>22</v>
      </c>
      <c r="C19" s="22">
        <v>5553809</v>
      </c>
      <c r="D19" s="22">
        <v>5584352</v>
      </c>
      <c r="E19" s="22">
        <f t="shared" si="0"/>
        <v>30543</v>
      </c>
      <c r="F19" s="306">
        <f t="shared" si="1"/>
        <v>5.499468923040025E-3</v>
      </c>
    </row>
    <row r="20" spans="1:11" ht="24" customHeight="1" x14ac:dyDescent="0.2">
      <c r="A20" s="304">
        <v>8</v>
      </c>
      <c r="B20" s="305" t="s">
        <v>23</v>
      </c>
      <c r="C20" s="22">
        <v>6653091</v>
      </c>
      <c r="D20" s="22">
        <v>3462351</v>
      </c>
      <c r="E20" s="22">
        <f t="shared" si="0"/>
        <v>-3190740</v>
      </c>
      <c r="F20" s="306">
        <f t="shared" si="1"/>
        <v>-0.47958760822601104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74771961</v>
      </c>
      <c r="D22" s="309">
        <f>SUM(D13:D21)</f>
        <v>48378633</v>
      </c>
      <c r="E22" s="309">
        <f t="shared" si="0"/>
        <v>-26393328</v>
      </c>
      <c r="F22" s="310">
        <f t="shared" si="1"/>
        <v>-0.35298429581109958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15981754</v>
      </c>
      <c r="D25" s="22">
        <v>11228269</v>
      </c>
      <c r="E25" s="22">
        <f>D25-C25</f>
        <v>-4753485</v>
      </c>
      <c r="F25" s="306">
        <f>IF(C25=0,0,E25/C25)</f>
        <v>-0.29743199651302354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47693344</v>
      </c>
      <c r="D28" s="22">
        <v>9032688</v>
      </c>
      <c r="E28" s="22">
        <f>D28-C28</f>
        <v>-38660656</v>
      </c>
      <c r="F28" s="306">
        <f>IF(C28=0,0,E28/C28)</f>
        <v>-0.81060904431444358</v>
      </c>
    </row>
    <row r="29" spans="1:11" ht="35.1" customHeight="1" x14ac:dyDescent="0.25">
      <c r="A29" s="307"/>
      <c r="B29" s="308" t="s">
        <v>32</v>
      </c>
      <c r="C29" s="309">
        <f>SUM(C25:C28)</f>
        <v>63675098</v>
      </c>
      <c r="D29" s="309">
        <f>SUM(D25:D28)</f>
        <v>20260957</v>
      </c>
      <c r="E29" s="309">
        <f>D29-C29</f>
        <v>-43414141</v>
      </c>
      <c r="F29" s="310">
        <f>IF(C29=0,0,E29/C29)</f>
        <v>-0.68180721135285882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25309242</v>
      </c>
      <c r="D32" s="22">
        <v>14697322</v>
      </c>
      <c r="E32" s="22">
        <f>D32-C32</f>
        <v>-10611920</v>
      </c>
      <c r="F32" s="306">
        <f>IF(C32=0,0,E32/C32)</f>
        <v>-0.41929031300107683</v>
      </c>
    </row>
    <row r="33" spans="1:8" ht="24" customHeight="1" x14ac:dyDescent="0.2">
      <c r="A33" s="304">
        <v>7</v>
      </c>
      <c r="B33" s="305" t="s">
        <v>35</v>
      </c>
      <c r="C33" s="22">
        <v>8567926</v>
      </c>
      <c r="D33" s="22">
        <v>6399218</v>
      </c>
      <c r="E33" s="22">
        <f>D33-C33</f>
        <v>-2168708</v>
      </c>
      <c r="F33" s="306">
        <f>IF(C33=0,0,E33/C33)</f>
        <v>-0.25311936634373361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316413058</v>
      </c>
      <c r="D36" s="22">
        <v>325090116</v>
      </c>
      <c r="E36" s="22">
        <f>D36-C36</f>
        <v>8677058</v>
      </c>
      <c r="F36" s="306">
        <f>IF(C36=0,0,E36/C36)</f>
        <v>2.7423198191776271E-2</v>
      </c>
    </row>
    <row r="37" spans="1:8" ht="24" customHeight="1" x14ac:dyDescent="0.2">
      <c r="A37" s="304">
        <v>2</v>
      </c>
      <c r="B37" s="305" t="s">
        <v>39</v>
      </c>
      <c r="C37" s="22">
        <v>229410757</v>
      </c>
      <c r="D37" s="22">
        <v>239239499</v>
      </c>
      <c r="E37" s="22">
        <f>D37-C37</f>
        <v>9828742</v>
      </c>
      <c r="F37" s="22">
        <f>IF(C37=0,0,E37/C37)</f>
        <v>4.2843422551454291E-2</v>
      </c>
    </row>
    <row r="38" spans="1:8" ht="24" customHeight="1" x14ac:dyDescent="0.25">
      <c r="A38" s="307"/>
      <c r="B38" s="308" t="s">
        <v>40</v>
      </c>
      <c r="C38" s="309">
        <f>C36-C37</f>
        <v>87002301</v>
      </c>
      <c r="D38" s="309">
        <f>D36-D37</f>
        <v>85850617</v>
      </c>
      <c r="E38" s="309">
        <f>D38-C38</f>
        <v>-1151684</v>
      </c>
      <c r="F38" s="310">
        <f>IF(C38=0,0,E38/C38)</f>
        <v>-1.3237397020108697E-2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1273117</v>
      </c>
      <c r="D40" s="22">
        <v>267414</v>
      </c>
      <c r="E40" s="22">
        <f>D40-C40</f>
        <v>-1005703</v>
      </c>
      <c r="F40" s="306">
        <f>IF(C40=0,0,E40/C40)</f>
        <v>-0.78995331929429891</v>
      </c>
    </row>
    <row r="41" spans="1:8" ht="24" customHeight="1" x14ac:dyDescent="0.25">
      <c r="A41" s="307"/>
      <c r="B41" s="308" t="s">
        <v>42</v>
      </c>
      <c r="C41" s="309">
        <f>+C38+C40</f>
        <v>88275418</v>
      </c>
      <c r="D41" s="309">
        <f>+D38+D40</f>
        <v>86118031</v>
      </c>
      <c r="E41" s="309">
        <f>D41-C41</f>
        <v>-2157387</v>
      </c>
      <c r="F41" s="310">
        <f>IF(C41=0,0,E41/C41)</f>
        <v>-2.4439272550371836E-2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260599645</v>
      </c>
      <c r="D43" s="309">
        <f>D22+D29+D31+D32+D33+D41</f>
        <v>175854161</v>
      </c>
      <c r="E43" s="309">
        <f>D43-C43</f>
        <v>-84745484</v>
      </c>
      <c r="F43" s="310">
        <f>IF(C43=0,0,E43/C43)</f>
        <v>-0.32519416517240457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27642500</v>
      </c>
      <c r="D49" s="22">
        <v>24001637</v>
      </c>
      <c r="E49" s="22">
        <f t="shared" ref="E49:E56" si="2">D49-C49</f>
        <v>-3640863</v>
      </c>
      <c r="F49" s="306">
        <f t="shared" ref="F49:F56" si="3">IF(C49=0,0,E49/C49)</f>
        <v>-0.13171250791353895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5787051</v>
      </c>
      <c r="D50" s="22">
        <v>4741513</v>
      </c>
      <c r="E50" s="22">
        <f t="shared" si="2"/>
        <v>-1045538</v>
      </c>
      <c r="F50" s="306">
        <f t="shared" si="3"/>
        <v>-0.18066853048296966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3124803</v>
      </c>
      <c r="D51" s="22">
        <v>7647932</v>
      </c>
      <c r="E51" s="22">
        <f t="shared" si="2"/>
        <v>4523129</v>
      </c>
      <c r="F51" s="306">
        <f t="shared" si="3"/>
        <v>1.4474925299290868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2562000</v>
      </c>
      <c r="D53" s="22">
        <v>0</v>
      </c>
      <c r="E53" s="22">
        <f t="shared" si="2"/>
        <v>-2562000</v>
      </c>
      <c r="F53" s="306">
        <f t="shared" si="3"/>
        <v>-1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8256708</v>
      </c>
      <c r="D54" s="22">
        <v>3555381</v>
      </c>
      <c r="E54" s="22">
        <f t="shared" si="2"/>
        <v>-4701327</v>
      </c>
      <c r="F54" s="306">
        <f t="shared" si="3"/>
        <v>-0.56939484840689536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4324901</v>
      </c>
      <c r="D55" s="22">
        <v>25600675</v>
      </c>
      <c r="E55" s="22">
        <f t="shared" si="2"/>
        <v>21275774</v>
      </c>
      <c r="F55" s="306">
        <f t="shared" si="3"/>
        <v>4.9193667092032856</v>
      </c>
    </row>
    <row r="56" spans="1:6" ht="24" customHeight="1" x14ac:dyDescent="0.25">
      <c r="A56" s="307"/>
      <c r="B56" s="308" t="s">
        <v>54</v>
      </c>
      <c r="C56" s="309">
        <f>SUM(C49:C55)</f>
        <v>51697963</v>
      </c>
      <c r="D56" s="309">
        <f>SUM(D49:D55)</f>
        <v>65547138</v>
      </c>
      <c r="E56" s="309">
        <f t="shared" si="2"/>
        <v>13849175</v>
      </c>
      <c r="F56" s="310">
        <f t="shared" si="3"/>
        <v>0.26788628016156074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66995612</v>
      </c>
      <c r="D59" s="22">
        <v>0</v>
      </c>
      <c r="E59" s="22">
        <f>D59-C59</f>
        <v>-66995612</v>
      </c>
      <c r="F59" s="306">
        <f>IF(C59=0,0,E59/C59)</f>
        <v>-1</v>
      </c>
    </row>
    <row r="60" spans="1:6" ht="24" customHeight="1" x14ac:dyDescent="0.2">
      <c r="A60" s="304">
        <v>2</v>
      </c>
      <c r="B60" s="305" t="s">
        <v>57</v>
      </c>
      <c r="C60" s="22">
        <v>13126634</v>
      </c>
      <c r="D60" s="22">
        <v>11436337</v>
      </c>
      <c r="E60" s="22">
        <f>D60-C60</f>
        <v>-1690297</v>
      </c>
      <c r="F60" s="306">
        <f>IF(C60=0,0,E60/C60)</f>
        <v>-0.12876850226798431</v>
      </c>
    </row>
    <row r="61" spans="1:6" ht="24" customHeight="1" x14ac:dyDescent="0.25">
      <c r="A61" s="307"/>
      <c r="B61" s="308" t="s">
        <v>58</v>
      </c>
      <c r="C61" s="309">
        <f>SUM(C59:C60)</f>
        <v>80122246</v>
      </c>
      <c r="D61" s="309">
        <f>SUM(D59:D60)</f>
        <v>11436337</v>
      </c>
      <c r="E61" s="309">
        <f>D61-C61</f>
        <v>-68685909</v>
      </c>
      <c r="F61" s="310">
        <f>IF(C61=0,0,E61/C61)</f>
        <v>-0.85726389896758515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62407379</v>
      </c>
      <c r="D63" s="22">
        <v>66741076</v>
      </c>
      <c r="E63" s="22">
        <f>D63-C63</f>
        <v>4333697</v>
      </c>
      <c r="F63" s="306">
        <f>IF(C63=0,0,E63/C63)</f>
        <v>6.9442060689650184E-2</v>
      </c>
    </row>
    <row r="64" spans="1:6" ht="24" customHeight="1" x14ac:dyDescent="0.2">
      <c r="A64" s="304">
        <v>4</v>
      </c>
      <c r="B64" s="305" t="s">
        <v>60</v>
      </c>
      <c r="C64" s="22">
        <v>7664508</v>
      </c>
      <c r="D64" s="22">
        <v>15286252</v>
      </c>
      <c r="E64" s="22">
        <f>D64-C64</f>
        <v>7621744</v>
      </c>
      <c r="F64" s="306">
        <f>IF(C64=0,0,E64/C64)</f>
        <v>0.99442051596788728</v>
      </c>
    </row>
    <row r="65" spans="1:6" ht="24" customHeight="1" x14ac:dyDescent="0.25">
      <c r="A65" s="307"/>
      <c r="B65" s="308" t="s">
        <v>61</v>
      </c>
      <c r="C65" s="309">
        <f>SUM(C61:C64)</f>
        <v>150194133</v>
      </c>
      <c r="D65" s="309">
        <f>SUM(D61:D64)</f>
        <v>93463665</v>
      </c>
      <c r="E65" s="309">
        <f>D65-C65</f>
        <v>-56730468</v>
      </c>
      <c r="F65" s="310">
        <f>IF(C65=0,0,E65/C65)</f>
        <v>-0.37771427463148644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42167565</v>
      </c>
      <c r="D70" s="22">
        <v>-353131</v>
      </c>
      <c r="E70" s="22">
        <f>D70-C70</f>
        <v>-42520696</v>
      </c>
      <c r="F70" s="306">
        <f>IF(C70=0,0,E70/C70)</f>
        <v>-1.0083744698087262</v>
      </c>
    </row>
    <row r="71" spans="1:6" ht="24" customHeight="1" x14ac:dyDescent="0.2">
      <c r="A71" s="304">
        <v>2</v>
      </c>
      <c r="B71" s="305" t="s">
        <v>65</v>
      </c>
      <c r="C71" s="22">
        <v>1486536</v>
      </c>
      <c r="D71" s="22">
        <v>4260</v>
      </c>
      <c r="E71" s="22">
        <f>D71-C71</f>
        <v>-1482276</v>
      </c>
      <c r="F71" s="306">
        <f>IF(C71=0,0,E71/C71)</f>
        <v>-0.99713427727280068</v>
      </c>
    </row>
    <row r="72" spans="1:6" ht="24" customHeight="1" x14ac:dyDescent="0.2">
      <c r="A72" s="304">
        <v>3</v>
      </c>
      <c r="B72" s="305" t="s">
        <v>66</v>
      </c>
      <c r="C72" s="22">
        <v>15053448</v>
      </c>
      <c r="D72" s="22">
        <v>17192229</v>
      </c>
      <c r="E72" s="22">
        <f>D72-C72</f>
        <v>2138781</v>
      </c>
      <c r="F72" s="306">
        <f>IF(C72=0,0,E72/C72)</f>
        <v>0.14207914359554036</v>
      </c>
    </row>
    <row r="73" spans="1:6" ht="24" customHeight="1" x14ac:dyDescent="0.25">
      <c r="A73" s="304"/>
      <c r="B73" s="308" t="s">
        <v>67</v>
      </c>
      <c r="C73" s="309">
        <f>SUM(C70:C72)</f>
        <v>58707549</v>
      </c>
      <c r="D73" s="309">
        <f>SUM(D70:D72)</f>
        <v>16843358</v>
      </c>
      <c r="E73" s="309">
        <f>D73-C73</f>
        <v>-41864191</v>
      </c>
      <c r="F73" s="310">
        <f>IF(C73=0,0,E73/C73)</f>
        <v>-0.71309723729055696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260599645</v>
      </c>
      <c r="D75" s="309">
        <f>D56+D65+D67+D73</f>
        <v>175854161</v>
      </c>
      <c r="E75" s="309">
        <f>D75-C75</f>
        <v>-84745484</v>
      </c>
      <c r="F75" s="310">
        <f>IF(C75=0,0,E75/C75)</f>
        <v>-0.32519416517240457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919633538</v>
      </c>
      <c r="D11" s="76">
        <v>992353011</v>
      </c>
      <c r="E11" s="76">
        <f t="shared" ref="E11:E20" si="0">D11-C11</f>
        <v>72719473</v>
      </c>
      <c r="F11" s="77">
        <f t="shared" ref="F11:F20" si="1">IF(C11=0,0,E11/C11)</f>
        <v>7.9074403004210578E-2</v>
      </c>
    </row>
    <row r="12" spans="1:7" ht="23.1" customHeight="1" x14ac:dyDescent="0.2">
      <c r="A12" s="74">
        <v>2</v>
      </c>
      <c r="B12" s="75" t="s">
        <v>72</v>
      </c>
      <c r="C12" s="76">
        <v>609939044</v>
      </c>
      <c r="D12" s="76">
        <v>686142055</v>
      </c>
      <c r="E12" s="76">
        <f t="shared" si="0"/>
        <v>76203011</v>
      </c>
      <c r="F12" s="77">
        <f t="shared" si="1"/>
        <v>0.12493545338606001</v>
      </c>
    </row>
    <row r="13" spans="1:7" ht="23.1" customHeight="1" x14ac:dyDescent="0.2">
      <c r="A13" s="74">
        <v>3</v>
      </c>
      <c r="B13" s="75" t="s">
        <v>73</v>
      </c>
      <c r="C13" s="76">
        <v>1650100</v>
      </c>
      <c r="D13" s="76">
        <v>1917782</v>
      </c>
      <c r="E13" s="76">
        <f t="shared" si="0"/>
        <v>267682</v>
      </c>
      <c r="F13" s="77">
        <f t="shared" si="1"/>
        <v>0.16222168353433125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308044394</v>
      </c>
      <c r="D15" s="79">
        <f>D11-D12-D13-D14</f>
        <v>304293174</v>
      </c>
      <c r="E15" s="79">
        <f t="shared" si="0"/>
        <v>-3751220</v>
      </c>
      <c r="F15" s="80">
        <f t="shared" si="1"/>
        <v>-1.2177530489322913E-2</v>
      </c>
    </row>
    <row r="16" spans="1:7" ht="23.1" customHeight="1" x14ac:dyDescent="0.2">
      <c r="A16" s="74">
        <v>5</v>
      </c>
      <c r="B16" s="75" t="s">
        <v>76</v>
      </c>
      <c r="C16" s="76">
        <v>10899289</v>
      </c>
      <c r="D16" s="76">
        <v>20615864</v>
      </c>
      <c r="E16" s="76">
        <f t="shared" si="0"/>
        <v>9716575</v>
      </c>
      <c r="F16" s="77">
        <f t="shared" si="1"/>
        <v>0.89148705021033936</v>
      </c>
      <c r="G16" s="65"/>
    </row>
    <row r="17" spans="1:7" ht="31.5" customHeight="1" x14ac:dyDescent="0.25">
      <c r="A17" s="71"/>
      <c r="B17" s="81" t="s">
        <v>77</v>
      </c>
      <c r="C17" s="79">
        <f>C15-C16</f>
        <v>297145105</v>
      </c>
      <c r="D17" s="79">
        <f>D15-D16</f>
        <v>283677310</v>
      </c>
      <c r="E17" s="79">
        <f t="shared" si="0"/>
        <v>-13467795</v>
      </c>
      <c r="F17" s="80">
        <f t="shared" si="1"/>
        <v>-4.5323967224699863E-2</v>
      </c>
    </row>
    <row r="18" spans="1:7" ht="23.1" customHeight="1" x14ac:dyDescent="0.2">
      <c r="A18" s="74">
        <v>6</v>
      </c>
      <c r="B18" s="75" t="s">
        <v>78</v>
      </c>
      <c r="C18" s="76">
        <v>17589913</v>
      </c>
      <c r="D18" s="76">
        <v>13283878</v>
      </c>
      <c r="E18" s="76">
        <f t="shared" si="0"/>
        <v>-4306035</v>
      </c>
      <c r="F18" s="77">
        <f t="shared" si="1"/>
        <v>-0.24480138133713339</v>
      </c>
      <c r="G18" s="65"/>
    </row>
    <row r="19" spans="1:7" ht="33" customHeight="1" x14ac:dyDescent="0.2">
      <c r="A19" s="74">
        <v>7</v>
      </c>
      <c r="B19" s="82" t="s">
        <v>79</v>
      </c>
      <c r="C19" s="76">
        <v>832608</v>
      </c>
      <c r="D19" s="76">
        <v>736110</v>
      </c>
      <c r="E19" s="76">
        <f t="shared" si="0"/>
        <v>-96498</v>
      </c>
      <c r="F19" s="77">
        <f t="shared" si="1"/>
        <v>-0.11589847803528192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315567626</v>
      </c>
      <c r="D20" s="79">
        <f>SUM(D17:D19)</f>
        <v>297697298</v>
      </c>
      <c r="E20" s="79">
        <f t="shared" si="0"/>
        <v>-17870328</v>
      </c>
      <c r="F20" s="80">
        <f t="shared" si="1"/>
        <v>-5.6629154981823138E-2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156774464</v>
      </c>
      <c r="D23" s="76">
        <v>150100277</v>
      </c>
      <c r="E23" s="76">
        <f t="shared" ref="E23:E32" si="2">D23-C23</f>
        <v>-6674187</v>
      </c>
      <c r="F23" s="77">
        <f t="shared" ref="F23:F32" si="3">IF(C23=0,0,E23/C23)</f>
        <v>-4.2571901250448539E-2</v>
      </c>
    </row>
    <row r="24" spans="1:7" ht="23.1" customHeight="1" x14ac:dyDescent="0.2">
      <c r="A24" s="74">
        <v>2</v>
      </c>
      <c r="B24" s="75" t="s">
        <v>83</v>
      </c>
      <c r="C24" s="76">
        <v>44024084</v>
      </c>
      <c r="D24" s="76">
        <v>46795665</v>
      </c>
      <c r="E24" s="76">
        <f t="shared" si="2"/>
        <v>2771581</v>
      </c>
      <c r="F24" s="77">
        <f t="shared" si="3"/>
        <v>6.2956017438091386E-2</v>
      </c>
    </row>
    <row r="25" spans="1:7" ht="23.1" customHeight="1" x14ac:dyDescent="0.2">
      <c r="A25" s="74">
        <v>3</v>
      </c>
      <c r="B25" s="75" t="s">
        <v>84</v>
      </c>
      <c r="C25" s="76">
        <v>15492872</v>
      </c>
      <c r="D25" s="76">
        <v>17072828</v>
      </c>
      <c r="E25" s="76">
        <f t="shared" si="2"/>
        <v>1579956</v>
      </c>
      <c r="F25" s="77">
        <f t="shared" si="3"/>
        <v>0.10197954259223209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34144873</v>
      </c>
      <c r="D26" s="76">
        <v>36562383</v>
      </c>
      <c r="E26" s="76">
        <f t="shared" si="2"/>
        <v>2417510</v>
      </c>
      <c r="F26" s="77">
        <f t="shared" si="3"/>
        <v>7.0801551963599343E-2</v>
      </c>
    </row>
    <row r="27" spans="1:7" ht="23.1" customHeight="1" x14ac:dyDescent="0.2">
      <c r="A27" s="74">
        <v>5</v>
      </c>
      <c r="B27" s="75" t="s">
        <v>86</v>
      </c>
      <c r="C27" s="76">
        <v>11920720</v>
      </c>
      <c r="D27" s="76">
        <v>18925240</v>
      </c>
      <c r="E27" s="76">
        <f t="shared" si="2"/>
        <v>7004520</v>
      </c>
      <c r="F27" s="77">
        <f t="shared" si="3"/>
        <v>0.5875920246428068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3445934</v>
      </c>
      <c r="D29" s="76">
        <v>3293007</v>
      </c>
      <c r="E29" s="76">
        <f t="shared" si="2"/>
        <v>-152927</v>
      </c>
      <c r="F29" s="77">
        <f t="shared" si="3"/>
        <v>-4.4378969533368895E-2</v>
      </c>
    </row>
    <row r="30" spans="1:7" ht="23.1" customHeight="1" x14ac:dyDescent="0.2">
      <c r="A30" s="74">
        <v>8</v>
      </c>
      <c r="B30" s="75" t="s">
        <v>89</v>
      </c>
      <c r="C30" s="76">
        <v>3396254</v>
      </c>
      <c r="D30" s="76">
        <v>2930631</v>
      </c>
      <c r="E30" s="76">
        <f t="shared" si="2"/>
        <v>-465623</v>
      </c>
      <c r="F30" s="77">
        <f t="shared" si="3"/>
        <v>-0.13709899200707604</v>
      </c>
    </row>
    <row r="31" spans="1:7" ht="23.1" customHeight="1" x14ac:dyDescent="0.2">
      <c r="A31" s="74">
        <v>9</v>
      </c>
      <c r="B31" s="75" t="s">
        <v>90</v>
      </c>
      <c r="C31" s="76">
        <v>46648875</v>
      </c>
      <c r="D31" s="76">
        <v>55878453</v>
      </c>
      <c r="E31" s="76">
        <f t="shared" si="2"/>
        <v>9229578</v>
      </c>
      <c r="F31" s="77">
        <f t="shared" si="3"/>
        <v>0.19785210254266583</v>
      </c>
    </row>
    <row r="32" spans="1:7" ht="23.1" customHeight="1" x14ac:dyDescent="0.25">
      <c r="A32" s="71"/>
      <c r="B32" s="78" t="s">
        <v>91</v>
      </c>
      <c r="C32" s="79">
        <f>SUM(C23:C31)</f>
        <v>315848076</v>
      </c>
      <c r="D32" s="79">
        <f>SUM(D23:D31)</f>
        <v>331558484</v>
      </c>
      <c r="E32" s="79">
        <f t="shared" si="2"/>
        <v>15710408</v>
      </c>
      <c r="F32" s="80">
        <f t="shared" si="3"/>
        <v>4.974039480930699E-2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-280450</v>
      </c>
      <c r="D34" s="79">
        <f>+D20-D32</f>
        <v>-33861186</v>
      </c>
      <c r="E34" s="79">
        <f>D34-C34</f>
        <v>-33580736</v>
      </c>
      <c r="F34" s="80">
        <f>IF(C34=0,0,E34/C34)</f>
        <v>119.73876270279908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-2235410</v>
      </c>
      <c r="D39" s="76">
        <v>-5136276</v>
      </c>
      <c r="E39" s="76">
        <f>D39-C39</f>
        <v>-2900866</v>
      </c>
      <c r="F39" s="77">
        <f>IF(C39=0,0,E39/C39)</f>
        <v>1.2976885671979637</v>
      </c>
    </row>
    <row r="40" spans="1:6" ht="23.1" customHeight="1" x14ac:dyDescent="0.25">
      <c r="A40" s="83"/>
      <c r="B40" s="78" t="s">
        <v>97</v>
      </c>
      <c r="C40" s="79">
        <f>SUM(C37:C39)</f>
        <v>-2235410</v>
      </c>
      <c r="D40" s="79">
        <f>SUM(D37:D39)</f>
        <v>-5136276</v>
      </c>
      <c r="E40" s="79">
        <f>D40-C40</f>
        <v>-2900866</v>
      </c>
      <c r="F40" s="80">
        <f>IF(C40=0,0,E40/C40)</f>
        <v>1.2976885671979637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-2515860</v>
      </c>
      <c r="D42" s="79">
        <f>D34+D40</f>
        <v>-38997462</v>
      </c>
      <c r="E42" s="79">
        <f>D42-C42</f>
        <v>-36481602</v>
      </c>
      <c r="F42" s="80">
        <f>IF(C42=0,0,E42/C42)</f>
        <v>14.500648684743984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-2515860</v>
      </c>
      <c r="D49" s="79">
        <f>D42+D47</f>
        <v>-38997462</v>
      </c>
      <c r="E49" s="79">
        <f>D49-C49</f>
        <v>-36481602</v>
      </c>
      <c r="F49" s="80">
        <f>IF(C49=0,0,E49/C49)</f>
        <v>14.500648684743984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2017-09-19T19:30:17Z</cp:lastPrinted>
  <dcterms:created xsi:type="dcterms:W3CDTF">2017-09-14T16:19:40Z</dcterms:created>
  <dcterms:modified xsi:type="dcterms:W3CDTF">2017-09-19T19:34:53Z</dcterms:modified>
</cp:coreProperties>
</file>