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ert\FISC_SVC\2016AR12M\Excel Downloads\"/>
    </mc:Choice>
  </mc:AlternateContent>
  <bookViews>
    <workbookView xWindow="0" yWindow="0" windowWidth="19368" windowHeight="10488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/>
</workbook>
</file>

<file path=xl/calcChain.xml><?xml version="1.0" encoding="utf-8"?>
<calcChain xmlns="http://schemas.openxmlformats.org/spreadsheetml/2006/main">
  <c r="E97" i="22" l="1"/>
  <c r="D97" i="22"/>
  <c r="D98" i="22" s="1"/>
  <c r="C97" i="22"/>
  <c r="E96" i="22"/>
  <c r="D96" i="22"/>
  <c r="C96" i="22"/>
  <c r="E92" i="22"/>
  <c r="D92" i="22"/>
  <c r="C92" i="22"/>
  <c r="E91" i="22"/>
  <c r="E93" i="22" s="1"/>
  <c r="D91" i="22"/>
  <c r="D93" i="22"/>
  <c r="C91" i="22"/>
  <c r="E87" i="22"/>
  <c r="D87" i="22"/>
  <c r="C87" i="22"/>
  <c r="E86" i="22"/>
  <c r="E88" i="22" s="1"/>
  <c r="D86" i="22"/>
  <c r="D88" i="22"/>
  <c r="C86" i="22"/>
  <c r="C88" i="22" s="1"/>
  <c r="E83" i="22"/>
  <c r="D83" i="22"/>
  <c r="C83" i="22"/>
  <c r="E76" i="22"/>
  <c r="D76" i="22"/>
  <c r="C76" i="22"/>
  <c r="E75" i="22"/>
  <c r="E77" i="22" s="1"/>
  <c r="D75" i="22"/>
  <c r="D77" i="22" s="1"/>
  <c r="C75" i="22"/>
  <c r="C77" i="22" s="1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D12" i="22"/>
  <c r="C12" i="22"/>
  <c r="C33" i="22" s="1"/>
  <c r="D21" i="21"/>
  <c r="C21" i="21"/>
  <c r="E21" i="21" s="1"/>
  <c r="D19" i="21"/>
  <c r="E19" i="21"/>
  <c r="C19" i="21"/>
  <c r="F19" i="21" s="1"/>
  <c r="E17" i="21"/>
  <c r="F17" i="21" s="1"/>
  <c r="E15" i="21"/>
  <c r="F15" i="21" s="1"/>
  <c r="D45" i="20"/>
  <c r="E45" i="20"/>
  <c r="C45" i="20"/>
  <c r="D44" i="20"/>
  <c r="E44" i="20" s="1"/>
  <c r="C44" i="20"/>
  <c r="D43" i="20"/>
  <c r="C43" i="20"/>
  <c r="D36" i="20"/>
  <c r="D40" i="20"/>
  <c r="C36" i="20"/>
  <c r="C40" i="20"/>
  <c r="E35" i="20"/>
  <c r="F35" i="20" s="1"/>
  <c r="E34" i="20"/>
  <c r="F34" i="20" s="1"/>
  <c r="E33" i="20"/>
  <c r="F33" i="20" s="1"/>
  <c r="F30" i="20"/>
  <c r="E30" i="20"/>
  <c r="E29" i="20"/>
  <c r="F29" i="20" s="1"/>
  <c r="F28" i="20"/>
  <c r="E28" i="20"/>
  <c r="E27" i="20"/>
  <c r="F27" i="20" s="1"/>
  <c r="D25" i="20"/>
  <c r="D39" i="20"/>
  <c r="C25" i="20"/>
  <c r="C39" i="20" s="1"/>
  <c r="E39" i="20" s="1"/>
  <c r="E24" i="20"/>
  <c r="F24" i="20" s="1"/>
  <c r="E23" i="20"/>
  <c r="F23" i="20" s="1"/>
  <c r="E22" i="20"/>
  <c r="D19" i="20"/>
  <c r="C19" i="20"/>
  <c r="C20" i="20" s="1"/>
  <c r="F18" i="20"/>
  <c r="E18" i="20"/>
  <c r="D16" i="20"/>
  <c r="C16" i="20"/>
  <c r="E16" i="20" s="1"/>
  <c r="E15" i="20"/>
  <c r="F15" i="20" s="1"/>
  <c r="E13" i="20"/>
  <c r="F13" i="20" s="1"/>
  <c r="E12" i="20"/>
  <c r="F12" i="20" s="1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 s="1"/>
  <c r="C63" i="19"/>
  <c r="C59" i="19"/>
  <c r="C60" i="19" s="1"/>
  <c r="C48" i="19"/>
  <c r="C36" i="19"/>
  <c r="C32" i="19"/>
  <c r="C33" i="19" s="1"/>
  <c r="C21" i="19"/>
  <c r="E328" i="18"/>
  <c r="E325" i="18"/>
  <c r="D324" i="18"/>
  <c r="D326" i="18"/>
  <c r="D330" i="18" s="1"/>
  <c r="C324" i="18"/>
  <c r="C326" i="18"/>
  <c r="E318" i="18"/>
  <c r="E315" i="18"/>
  <c r="D314" i="18"/>
  <c r="D316" i="18"/>
  <c r="D320" i="18" s="1"/>
  <c r="C314" i="18"/>
  <c r="E308" i="18"/>
  <c r="E305" i="18"/>
  <c r="D301" i="18"/>
  <c r="C301" i="18"/>
  <c r="E301" i="18" s="1"/>
  <c r="D293" i="18"/>
  <c r="E293" i="18" s="1"/>
  <c r="C293" i="18"/>
  <c r="D292" i="18"/>
  <c r="C292" i="18"/>
  <c r="D291" i="18"/>
  <c r="C291" i="18"/>
  <c r="D290" i="18"/>
  <c r="C290" i="18"/>
  <c r="D288" i="18"/>
  <c r="E288" i="18" s="1"/>
  <c r="C288" i="18"/>
  <c r="D287" i="18"/>
  <c r="E287" i="18"/>
  <c r="C287" i="18"/>
  <c r="D282" i="18"/>
  <c r="C282" i="18"/>
  <c r="D281" i="18"/>
  <c r="E281" i="18"/>
  <c r="C281" i="18"/>
  <c r="D280" i="18"/>
  <c r="C280" i="18"/>
  <c r="D279" i="18"/>
  <c r="E279" i="18"/>
  <c r="C279" i="18"/>
  <c r="D278" i="18"/>
  <c r="C278" i="18"/>
  <c r="E278" i="18" s="1"/>
  <c r="D277" i="18"/>
  <c r="C277" i="18"/>
  <c r="D276" i="18"/>
  <c r="C276" i="18"/>
  <c r="E270" i="18"/>
  <c r="D265" i="18"/>
  <c r="D302" i="18" s="1"/>
  <c r="C265" i="18"/>
  <c r="C302" i="18" s="1"/>
  <c r="D262" i="18"/>
  <c r="C262" i="18"/>
  <c r="D251" i="18"/>
  <c r="C251" i="18"/>
  <c r="E251" i="18" s="1"/>
  <c r="D233" i="18"/>
  <c r="C233" i="18"/>
  <c r="D232" i="18"/>
  <c r="E232" i="18" s="1"/>
  <c r="C232" i="18"/>
  <c r="D231" i="18"/>
  <c r="C231" i="18"/>
  <c r="D230" i="18"/>
  <c r="C230" i="18"/>
  <c r="D228" i="18"/>
  <c r="E228" i="18"/>
  <c r="C228" i="18"/>
  <c r="D227" i="18"/>
  <c r="C227" i="18"/>
  <c r="D221" i="18"/>
  <c r="D245" i="18" s="1"/>
  <c r="C221" i="18"/>
  <c r="D220" i="18"/>
  <c r="D244" i="18" s="1"/>
  <c r="C220" i="18"/>
  <c r="C244" i="18" s="1"/>
  <c r="D219" i="18"/>
  <c r="C219" i="18"/>
  <c r="C243" i="18" s="1"/>
  <c r="D218" i="18"/>
  <c r="E218" i="18" s="1"/>
  <c r="D242" i="18"/>
  <c r="C218" i="18"/>
  <c r="D216" i="18"/>
  <c r="D240" i="18" s="1"/>
  <c r="C216" i="18"/>
  <c r="C240" i="18"/>
  <c r="D215" i="18"/>
  <c r="C215" i="18"/>
  <c r="C239" i="18" s="1"/>
  <c r="E209" i="18"/>
  <c r="E208" i="18"/>
  <c r="E207" i="18"/>
  <c r="E206" i="18"/>
  <c r="D205" i="18"/>
  <c r="D229" i="18"/>
  <c r="C205" i="18"/>
  <c r="C229" i="18" s="1"/>
  <c r="E229" i="18" s="1"/>
  <c r="E204" i="18"/>
  <c r="E203" i="18"/>
  <c r="E197" i="18"/>
  <c r="E196" i="18"/>
  <c r="D195" i="18"/>
  <c r="C195" i="18"/>
  <c r="E195" i="18" s="1"/>
  <c r="C260" i="18"/>
  <c r="E194" i="18"/>
  <c r="E193" i="18"/>
  <c r="E192" i="18"/>
  <c r="E191" i="18"/>
  <c r="E190" i="18"/>
  <c r="D188" i="18"/>
  <c r="C188" i="18"/>
  <c r="E186" i="18"/>
  <c r="E185" i="18"/>
  <c r="D179" i="18"/>
  <c r="C179" i="18"/>
  <c r="D178" i="18"/>
  <c r="E178" i="18" s="1"/>
  <c r="C178" i="18"/>
  <c r="D177" i="18"/>
  <c r="C177" i="18"/>
  <c r="D176" i="18"/>
  <c r="C176" i="18"/>
  <c r="D174" i="18"/>
  <c r="C174" i="18"/>
  <c r="D173" i="18"/>
  <c r="C173" i="18"/>
  <c r="D167" i="18"/>
  <c r="C167" i="18"/>
  <c r="E167" i="18" s="1"/>
  <c r="D166" i="18"/>
  <c r="C166" i="18"/>
  <c r="D165" i="18"/>
  <c r="E165" i="18" s="1"/>
  <c r="C165" i="18"/>
  <c r="D164" i="18"/>
  <c r="C164" i="18"/>
  <c r="E164" i="18" s="1"/>
  <c r="D162" i="18"/>
  <c r="E162" i="18" s="1"/>
  <c r="C162" i="18"/>
  <c r="D161" i="18"/>
  <c r="C161" i="18"/>
  <c r="E155" i="18"/>
  <c r="E154" i="18"/>
  <c r="E153" i="18"/>
  <c r="E152" i="18"/>
  <c r="D151" i="18"/>
  <c r="D156" i="18" s="1"/>
  <c r="D157" i="18" s="1"/>
  <c r="C151" i="18"/>
  <c r="E150" i="18"/>
  <c r="E149" i="18"/>
  <c r="E143" i="18"/>
  <c r="E142" i="18"/>
  <c r="E141" i="18"/>
  <c r="E140" i="18"/>
  <c r="D139" i="18"/>
  <c r="D163" i="18" s="1"/>
  <c r="C139" i="18"/>
  <c r="E138" i="18"/>
  <c r="E137" i="18"/>
  <c r="D75" i="18"/>
  <c r="C75" i="18"/>
  <c r="E75" i="18"/>
  <c r="D74" i="18"/>
  <c r="C74" i="18"/>
  <c r="D73" i="18"/>
  <c r="E73" i="18" s="1"/>
  <c r="C73" i="18"/>
  <c r="D72" i="18"/>
  <c r="C72" i="18"/>
  <c r="E72" i="18" s="1"/>
  <c r="D70" i="18"/>
  <c r="C70" i="18"/>
  <c r="D69" i="18"/>
  <c r="C69" i="18"/>
  <c r="E64" i="18"/>
  <c r="E63" i="18"/>
  <c r="E62" i="18"/>
  <c r="E61" i="18"/>
  <c r="D60" i="18"/>
  <c r="C60" i="18"/>
  <c r="C65" i="18" s="1"/>
  <c r="C289" i="18"/>
  <c r="E59" i="18"/>
  <c r="E58" i="18"/>
  <c r="D54" i="18"/>
  <c r="C54" i="18"/>
  <c r="E53" i="18"/>
  <c r="E52" i="18"/>
  <c r="E51" i="18"/>
  <c r="E50" i="18"/>
  <c r="E49" i="18"/>
  <c r="E48" i="18"/>
  <c r="E47" i="18"/>
  <c r="D42" i="18"/>
  <c r="C42" i="18"/>
  <c r="E42" i="18" s="1"/>
  <c r="D41" i="18"/>
  <c r="C41" i="18"/>
  <c r="D40" i="18"/>
  <c r="C40" i="18"/>
  <c r="D39" i="18"/>
  <c r="C39" i="18"/>
  <c r="D38" i="18"/>
  <c r="C38" i="18"/>
  <c r="D37" i="18"/>
  <c r="C37" i="18"/>
  <c r="D36" i="18"/>
  <c r="C36" i="18"/>
  <c r="D32" i="18"/>
  <c r="D33" i="18" s="1"/>
  <c r="C32" i="18"/>
  <c r="E31" i="18"/>
  <c r="E30" i="18"/>
  <c r="E29" i="18"/>
  <c r="E28" i="18"/>
  <c r="E27" i="18"/>
  <c r="E26" i="18"/>
  <c r="E25" i="18"/>
  <c r="D21" i="18"/>
  <c r="C21" i="18"/>
  <c r="C283" i="18" s="1"/>
  <c r="E20" i="18"/>
  <c r="E19" i="18"/>
  <c r="E18" i="18"/>
  <c r="E17" i="18"/>
  <c r="E16" i="18"/>
  <c r="E15" i="18"/>
  <c r="E14" i="18"/>
  <c r="E335" i="17"/>
  <c r="F335" i="17" s="1"/>
  <c r="F334" i="17"/>
  <c r="E334" i="17"/>
  <c r="E333" i="17"/>
  <c r="F333" i="17" s="1"/>
  <c r="F332" i="17"/>
  <c r="E332" i="17"/>
  <c r="E331" i="17"/>
  <c r="F331" i="17" s="1"/>
  <c r="E330" i="17"/>
  <c r="F330" i="17" s="1"/>
  <c r="E329" i="17"/>
  <c r="F329" i="17" s="1"/>
  <c r="F316" i="17"/>
  <c r="E316" i="17"/>
  <c r="D311" i="17"/>
  <c r="C311" i="17"/>
  <c r="F311" i="17" s="1"/>
  <c r="E308" i="17"/>
  <c r="F308" i="17" s="1"/>
  <c r="D307" i="17"/>
  <c r="C307" i="17"/>
  <c r="D299" i="17"/>
  <c r="E299" i="17" s="1"/>
  <c r="F299" i="17" s="1"/>
  <c r="C299" i="17"/>
  <c r="D298" i="17"/>
  <c r="C298" i="17"/>
  <c r="D297" i="17"/>
  <c r="E297" i="17" s="1"/>
  <c r="F297" i="17" s="1"/>
  <c r="C297" i="17"/>
  <c r="D296" i="17"/>
  <c r="C296" i="17"/>
  <c r="D295" i="17"/>
  <c r="E295" i="17" s="1"/>
  <c r="F295" i="17" s="1"/>
  <c r="C295" i="17"/>
  <c r="D294" i="17"/>
  <c r="C294" i="17"/>
  <c r="D250" i="17"/>
  <c r="D306" i="17" s="1"/>
  <c r="C250" i="17"/>
  <c r="E249" i="17"/>
  <c r="F249" i="17" s="1"/>
  <c r="E248" i="17"/>
  <c r="F248" i="17" s="1"/>
  <c r="F245" i="17"/>
  <c r="E245" i="17"/>
  <c r="F244" i="17"/>
  <c r="E244" i="17"/>
  <c r="E243" i="17"/>
  <c r="F243" i="17" s="1"/>
  <c r="D238" i="17"/>
  <c r="C238" i="17"/>
  <c r="D237" i="17"/>
  <c r="D239" i="17"/>
  <c r="C237" i="17"/>
  <c r="E237" i="17" s="1"/>
  <c r="F237" i="17" s="1"/>
  <c r="E234" i="17"/>
  <c r="F234" i="17" s="1"/>
  <c r="E233" i="17"/>
  <c r="F233" i="17" s="1"/>
  <c r="D230" i="17"/>
  <c r="E230" i="17" s="1"/>
  <c r="F230" i="17" s="1"/>
  <c r="C230" i="17"/>
  <c r="D229" i="17"/>
  <c r="C229" i="17"/>
  <c r="E228" i="17"/>
  <c r="F228" i="17" s="1"/>
  <c r="D226" i="17"/>
  <c r="D227" i="17" s="1"/>
  <c r="C226" i="17"/>
  <c r="C227" i="17"/>
  <c r="E225" i="17"/>
  <c r="F225" i="17" s="1"/>
  <c r="E224" i="17"/>
  <c r="F224" i="17"/>
  <c r="D223" i="17"/>
  <c r="E223" i="17" s="1"/>
  <c r="C223" i="17"/>
  <c r="E222" i="17"/>
  <c r="F222" i="17" s="1"/>
  <c r="E221" i="17"/>
  <c r="F221" i="17" s="1"/>
  <c r="D204" i="17"/>
  <c r="C204" i="17"/>
  <c r="C215" i="17" s="1"/>
  <c r="C285" i="17"/>
  <c r="D203" i="17"/>
  <c r="C203" i="17"/>
  <c r="D198" i="17"/>
  <c r="D290" i="17" s="1"/>
  <c r="E290" i="17" s="1"/>
  <c r="F290" i="17" s="1"/>
  <c r="C198" i="17"/>
  <c r="C290" i="17" s="1"/>
  <c r="D191" i="17"/>
  <c r="C191" i="17"/>
  <c r="C280" i="17"/>
  <c r="D189" i="17"/>
  <c r="C189" i="17"/>
  <c r="C278" i="17"/>
  <c r="D188" i="17"/>
  <c r="C188" i="17"/>
  <c r="D180" i="17"/>
  <c r="C180" i="17"/>
  <c r="C181" i="17" s="1"/>
  <c r="D179" i="17"/>
  <c r="D181" i="17"/>
  <c r="C179" i="17"/>
  <c r="D171" i="17"/>
  <c r="E171" i="17" s="1"/>
  <c r="F171" i="17" s="1"/>
  <c r="C171" i="17"/>
  <c r="C172" i="17" s="1"/>
  <c r="D170" i="17"/>
  <c r="E170" i="17" s="1"/>
  <c r="F170" i="17" s="1"/>
  <c r="C170" i="17"/>
  <c r="E169" i="17"/>
  <c r="F169" i="17" s="1"/>
  <c r="E168" i="17"/>
  <c r="F168" i="17"/>
  <c r="D165" i="17"/>
  <c r="E165" i="17" s="1"/>
  <c r="C165" i="17"/>
  <c r="D164" i="17"/>
  <c r="C164" i="17"/>
  <c r="E164" i="17" s="1"/>
  <c r="E163" i="17"/>
  <c r="F163" i="17" s="1"/>
  <c r="D158" i="17"/>
  <c r="D159" i="17" s="1"/>
  <c r="C158" i="17"/>
  <c r="C159" i="17"/>
  <c r="E157" i="17"/>
  <c r="F157" i="17" s="1"/>
  <c r="E156" i="17"/>
  <c r="F156" i="17" s="1"/>
  <c r="D155" i="17"/>
  <c r="C155" i="17"/>
  <c r="E154" i="17"/>
  <c r="F154" i="17" s="1"/>
  <c r="E153" i="17"/>
  <c r="F153" i="17" s="1"/>
  <c r="D145" i="17"/>
  <c r="C145" i="17"/>
  <c r="D144" i="17"/>
  <c r="C144" i="17"/>
  <c r="C146" i="17" s="1"/>
  <c r="D136" i="17"/>
  <c r="C136" i="17"/>
  <c r="C137" i="17" s="1"/>
  <c r="C138" i="17" s="1"/>
  <c r="D135" i="17"/>
  <c r="C135" i="17"/>
  <c r="E134" i="17"/>
  <c r="F134" i="17"/>
  <c r="E133" i="17"/>
  <c r="F133" i="17" s="1"/>
  <c r="D130" i="17"/>
  <c r="C130" i="17"/>
  <c r="D129" i="17"/>
  <c r="C129" i="17"/>
  <c r="E128" i="17"/>
  <c r="F128" i="17" s="1"/>
  <c r="D123" i="17"/>
  <c r="D124" i="17" s="1"/>
  <c r="C123" i="17"/>
  <c r="C124" i="17" s="1"/>
  <c r="E122" i="17"/>
  <c r="F122" i="17" s="1"/>
  <c r="E121" i="17"/>
  <c r="F121" i="17" s="1"/>
  <c r="D120" i="17"/>
  <c r="C120" i="17"/>
  <c r="E119" i="17"/>
  <c r="F119" i="17" s="1"/>
  <c r="E118" i="17"/>
  <c r="F118" i="17" s="1"/>
  <c r="D110" i="17"/>
  <c r="C110" i="17"/>
  <c r="D109" i="17"/>
  <c r="C109" i="17"/>
  <c r="D101" i="17"/>
  <c r="D102" i="17" s="1"/>
  <c r="C101" i="17"/>
  <c r="C102" i="17"/>
  <c r="C103" i="17" s="1"/>
  <c r="D100" i="17"/>
  <c r="C100" i="17"/>
  <c r="E99" i="17"/>
  <c r="F99" i="17" s="1"/>
  <c r="E98" i="17"/>
  <c r="F98" i="17" s="1"/>
  <c r="D95" i="17"/>
  <c r="C95" i="17"/>
  <c r="D94" i="17"/>
  <c r="C94" i="17"/>
  <c r="E93" i="17"/>
  <c r="F93" i="17" s="1"/>
  <c r="D88" i="17"/>
  <c r="C88" i="17"/>
  <c r="C89" i="17" s="1"/>
  <c r="E87" i="17"/>
  <c r="F87" i="17" s="1"/>
  <c r="E86" i="17"/>
  <c r="F86" i="17"/>
  <c r="D85" i="17"/>
  <c r="E85" i="17" s="1"/>
  <c r="F85" i="17" s="1"/>
  <c r="C85" i="17"/>
  <c r="E84" i="17"/>
  <c r="F84" i="17"/>
  <c r="E83" i="17"/>
  <c r="F83" i="17" s="1"/>
  <c r="D76" i="17"/>
  <c r="D77" i="17" s="1"/>
  <c r="C76" i="17"/>
  <c r="C77" i="17" s="1"/>
  <c r="E77" i="17" s="1"/>
  <c r="E74" i="17"/>
  <c r="F74" i="17" s="1"/>
  <c r="E73" i="17"/>
  <c r="F73" i="17" s="1"/>
  <c r="D67" i="17"/>
  <c r="C67" i="17"/>
  <c r="E67" i="17" s="1"/>
  <c r="D66" i="17"/>
  <c r="E66" i="17" s="1"/>
  <c r="F66" i="17" s="1"/>
  <c r="C66" i="17"/>
  <c r="D59" i="17"/>
  <c r="D60" i="17" s="1"/>
  <c r="D61" i="17" s="1"/>
  <c r="E59" i="17"/>
  <c r="F59" i="17"/>
  <c r="C59" i="17"/>
  <c r="C60" i="17"/>
  <c r="D58" i="17"/>
  <c r="E58" i="17" s="1"/>
  <c r="C58" i="17"/>
  <c r="E57" i="17"/>
  <c r="F57" i="17" s="1"/>
  <c r="E56" i="17"/>
  <c r="F56" i="17"/>
  <c r="D53" i="17"/>
  <c r="C53" i="17"/>
  <c r="D52" i="17"/>
  <c r="E52" i="17" s="1"/>
  <c r="F52" i="17" s="1"/>
  <c r="C52" i="17"/>
  <c r="E51" i="17"/>
  <c r="F51" i="17"/>
  <c r="D47" i="17"/>
  <c r="C47" i="17"/>
  <c r="C48" i="17"/>
  <c r="E46" i="17"/>
  <c r="F46" i="17" s="1"/>
  <c r="E45" i="17"/>
  <c r="F45" i="17" s="1"/>
  <c r="D44" i="17"/>
  <c r="E44" i="17" s="1"/>
  <c r="C44" i="17"/>
  <c r="E43" i="17"/>
  <c r="F43" i="17" s="1"/>
  <c r="E42" i="17"/>
  <c r="F42" i="17" s="1"/>
  <c r="D36" i="17"/>
  <c r="E36" i="17" s="1"/>
  <c r="C36" i="17"/>
  <c r="D35" i="17"/>
  <c r="C35" i="17"/>
  <c r="D30" i="17"/>
  <c r="D31" i="17"/>
  <c r="C30" i="17"/>
  <c r="C31" i="17"/>
  <c r="D29" i="17"/>
  <c r="E29" i="17" s="1"/>
  <c r="F29" i="17" s="1"/>
  <c r="C29" i="17"/>
  <c r="E28" i="17"/>
  <c r="F28" i="17" s="1"/>
  <c r="E27" i="17"/>
  <c r="F27" i="17" s="1"/>
  <c r="D24" i="17"/>
  <c r="C24" i="17"/>
  <c r="E24" i="17" s="1"/>
  <c r="F24" i="17" s="1"/>
  <c r="D23" i="17"/>
  <c r="E23" i="17"/>
  <c r="C23" i="17"/>
  <c r="E22" i="17"/>
  <c r="F22" i="17" s="1"/>
  <c r="D20" i="17"/>
  <c r="C20" i="17"/>
  <c r="E19" i="17"/>
  <c r="F19" i="17"/>
  <c r="E18" i="17"/>
  <c r="F18" i="17" s="1"/>
  <c r="D17" i="17"/>
  <c r="C17" i="17"/>
  <c r="E16" i="17"/>
  <c r="F16" i="17" s="1"/>
  <c r="E15" i="17"/>
  <c r="F15" i="17" s="1"/>
  <c r="D21" i="16"/>
  <c r="C21" i="16"/>
  <c r="E20" i="16"/>
  <c r="F20" i="16" s="1"/>
  <c r="D17" i="16"/>
  <c r="E17" i="16" s="1"/>
  <c r="F17" i="16" s="1"/>
  <c r="C17" i="16"/>
  <c r="F16" i="16"/>
  <c r="E16" i="16"/>
  <c r="D13" i="16"/>
  <c r="E13" i="16"/>
  <c r="F13" i="16"/>
  <c r="C13" i="16"/>
  <c r="F12" i="16"/>
  <c r="E12" i="16"/>
  <c r="D107" i="15"/>
  <c r="E107" i="15" s="1"/>
  <c r="C107" i="15"/>
  <c r="E106" i="15"/>
  <c r="F106" i="15" s="1"/>
  <c r="E105" i="15"/>
  <c r="F105" i="15" s="1"/>
  <c r="E104" i="15"/>
  <c r="F104" i="15" s="1"/>
  <c r="D100" i="15"/>
  <c r="C100" i="15"/>
  <c r="E99" i="15"/>
  <c r="F99" i="15" s="1"/>
  <c r="E98" i="15"/>
  <c r="F98" i="15" s="1"/>
  <c r="E97" i="15"/>
  <c r="F97" i="15" s="1"/>
  <c r="E96" i="15"/>
  <c r="F96" i="15" s="1"/>
  <c r="E95" i="15"/>
  <c r="F95" i="15" s="1"/>
  <c r="D92" i="15"/>
  <c r="C92" i="15"/>
  <c r="E91" i="15"/>
  <c r="F91" i="15" s="1"/>
  <c r="F90" i="15"/>
  <c r="E90" i="15"/>
  <c r="F89" i="15"/>
  <c r="E89" i="15"/>
  <c r="E88" i="15"/>
  <c r="F88" i="15" s="1"/>
  <c r="F87" i="15"/>
  <c r="E87" i="15"/>
  <c r="E86" i="15"/>
  <c r="F86" i="15" s="1"/>
  <c r="F85" i="15"/>
  <c r="E85" i="15"/>
  <c r="F84" i="15"/>
  <c r="E84" i="15"/>
  <c r="F83" i="15"/>
  <c r="E83" i="15"/>
  <c r="F82" i="15"/>
  <c r="E82" i="15"/>
  <c r="F81" i="15"/>
  <c r="E81" i="15"/>
  <c r="E80" i="15"/>
  <c r="F80" i="15" s="1"/>
  <c r="F79" i="15"/>
  <c r="E79" i="15"/>
  <c r="D75" i="15"/>
  <c r="C75" i="15"/>
  <c r="E74" i="15"/>
  <c r="F74" i="15" s="1"/>
  <c r="E73" i="15"/>
  <c r="D70" i="15"/>
  <c r="E70" i="15" s="1"/>
  <c r="C70" i="15"/>
  <c r="E69" i="15"/>
  <c r="F69" i="15" s="1"/>
  <c r="E68" i="15"/>
  <c r="F68" i="15" s="1"/>
  <c r="D65" i="15"/>
  <c r="E65" i="15" s="1"/>
  <c r="F65" i="15"/>
  <c r="C65" i="15"/>
  <c r="E64" i="15"/>
  <c r="F64" i="15" s="1"/>
  <c r="F63" i="15"/>
  <c r="E63" i="15"/>
  <c r="D60" i="15"/>
  <c r="C60" i="15"/>
  <c r="E59" i="15"/>
  <c r="F59" i="15" s="1"/>
  <c r="E58" i="15"/>
  <c r="D55" i="15"/>
  <c r="C55" i="15"/>
  <c r="F54" i="15"/>
  <c r="E54" i="15"/>
  <c r="E53" i="15"/>
  <c r="F53" i="15" s="1"/>
  <c r="D50" i="15"/>
  <c r="E50" i="15" s="1"/>
  <c r="F50" i="15" s="1"/>
  <c r="C50" i="15"/>
  <c r="E49" i="15"/>
  <c r="F49" i="15" s="1"/>
  <c r="E48" i="15"/>
  <c r="F48" i="15" s="1"/>
  <c r="D45" i="15"/>
  <c r="E45" i="15" s="1"/>
  <c r="C45" i="15"/>
  <c r="E44" i="15"/>
  <c r="F44" i="15" s="1"/>
  <c r="F43" i="15"/>
  <c r="E43" i="15"/>
  <c r="D37" i="15"/>
  <c r="C37" i="15"/>
  <c r="F36" i="15"/>
  <c r="E36" i="15"/>
  <c r="F35" i="15"/>
  <c r="E35" i="15"/>
  <c r="F34" i="15"/>
  <c r="E34" i="15"/>
  <c r="E33" i="15"/>
  <c r="F33" i="15" s="1"/>
  <c r="D30" i="15"/>
  <c r="C30" i="15"/>
  <c r="F29" i="15"/>
  <c r="E29" i="15"/>
  <c r="F28" i="15"/>
  <c r="E28" i="15"/>
  <c r="F27" i="15"/>
  <c r="E27" i="15"/>
  <c r="F26" i="15"/>
  <c r="E26" i="15"/>
  <c r="D23" i="15"/>
  <c r="E23" i="15" s="1"/>
  <c r="C23" i="15"/>
  <c r="F22" i="15"/>
  <c r="E22" i="15"/>
  <c r="E21" i="15"/>
  <c r="F21" i="15" s="1"/>
  <c r="E20" i="15"/>
  <c r="F20" i="15" s="1"/>
  <c r="E19" i="15"/>
  <c r="F19" i="15" s="1"/>
  <c r="D16" i="15"/>
  <c r="E16" i="15"/>
  <c r="C16" i="15"/>
  <c r="F15" i="15"/>
  <c r="E15" i="15"/>
  <c r="E14" i="15"/>
  <c r="F14" i="15" s="1"/>
  <c r="E13" i="15"/>
  <c r="F13" i="15" s="1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I17" i="14" s="1"/>
  <c r="F17" i="14"/>
  <c r="E17" i="14"/>
  <c r="D17" i="14"/>
  <c r="D33" i="14"/>
  <c r="D36" i="14" s="1"/>
  <c r="D38" i="14" s="1"/>
  <c r="D40" i="14" s="1"/>
  <c r="C17" i="14"/>
  <c r="C31" i="14" s="1"/>
  <c r="I16" i="14"/>
  <c r="H16" i="14"/>
  <c r="I15" i="14"/>
  <c r="H15" i="14"/>
  <c r="I13" i="14"/>
  <c r="H13" i="14"/>
  <c r="I11" i="14"/>
  <c r="H11" i="14"/>
  <c r="E79" i="13"/>
  <c r="D79" i="13"/>
  <c r="C79" i="13"/>
  <c r="C80" i="13" s="1"/>
  <c r="C77" i="13" s="1"/>
  <c r="E78" i="13"/>
  <c r="D78" i="13"/>
  <c r="D80" i="13" s="1"/>
  <c r="D77" i="13" s="1"/>
  <c r="C78" i="13"/>
  <c r="C75" i="13"/>
  <c r="E73" i="13"/>
  <c r="E75" i="13" s="1"/>
  <c r="D73" i="13"/>
  <c r="D75" i="13" s="1"/>
  <c r="C73" i="13"/>
  <c r="E71" i="13"/>
  <c r="D71" i="13"/>
  <c r="C71" i="13"/>
  <c r="E66" i="13"/>
  <c r="E65" i="13" s="1"/>
  <c r="D66" i="13"/>
  <c r="D65" i="13" s="1"/>
  <c r="C66" i="13"/>
  <c r="C65" i="13" s="1"/>
  <c r="E60" i="13"/>
  <c r="D60" i="13"/>
  <c r="C60" i="13"/>
  <c r="E58" i="13"/>
  <c r="D58" i="13"/>
  <c r="C58" i="13"/>
  <c r="E55" i="13"/>
  <c r="D55" i="13"/>
  <c r="C55" i="13"/>
  <c r="E54" i="13"/>
  <c r="D54" i="13"/>
  <c r="C54" i="13"/>
  <c r="C50" i="13"/>
  <c r="E48" i="13"/>
  <c r="C48" i="13"/>
  <c r="E46" i="13"/>
  <c r="E59" i="13"/>
  <c r="E61" i="13" s="1"/>
  <c r="E57" i="13" s="1"/>
  <c r="D46" i="13"/>
  <c r="D59" i="13" s="1"/>
  <c r="D61" i="13"/>
  <c r="D57" i="13" s="1"/>
  <c r="C46" i="13"/>
  <c r="C59" i="13"/>
  <c r="E45" i="13"/>
  <c r="D45" i="13"/>
  <c r="D42" i="13" s="1"/>
  <c r="C45" i="13"/>
  <c r="E38" i="13"/>
  <c r="D38" i="13"/>
  <c r="C38" i="13"/>
  <c r="E33" i="13"/>
  <c r="E34" i="13" s="1"/>
  <c r="D33" i="13"/>
  <c r="D34" i="13" s="1"/>
  <c r="E26" i="13"/>
  <c r="D26" i="13"/>
  <c r="C26" i="13"/>
  <c r="E13" i="13"/>
  <c r="D13" i="13"/>
  <c r="D25" i="13" s="1"/>
  <c r="C13" i="13"/>
  <c r="C15" i="13" s="1"/>
  <c r="C24" i="13" s="1"/>
  <c r="C25" i="13"/>
  <c r="C27" i="13" s="1"/>
  <c r="D47" i="12"/>
  <c r="E47" i="12"/>
  <c r="C47" i="12"/>
  <c r="F46" i="12"/>
  <c r="E46" i="12"/>
  <c r="F45" i="12"/>
  <c r="E45" i="12"/>
  <c r="D40" i="12"/>
  <c r="C40" i="12"/>
  <c r="F39" i="12"/>
  <c r="E39" i="12"/>
  <c r="E38" i="12"/>
  <c r="F38" i="12" s="1"/>
  <c r="E37" i="12"/>
  <c r="F37" i="12" s="1"/>
  <c r="D32" i="12"/>
  <c r="E32" i="12"/>
  <c r="F32" i="12" s="1"/>
  <c r="C32" i="12"/>
  <c r="E31" i="12"/>
  <c r="F31" i="12" s="1"/>
  <c r="E30" i="12"/>
  <c r="F30" i="12" s="1"/>
  <c r="E29" i="12"/>
  <c r="F29" i="12" s="1"/>
  <c r="F28" i="12"/>
  <c r="E28" i="12"/>
  <c r="F27" i="12"/>
  <c r="E27" i="12"/>
  <c r="F26" i="12"/>
  <c r="E26" i="12"/>
  <c r="E25" i="12"/>
  <c r="F25" i="12" s="1"/>
  <c r="F24" i="12"/>
  <c r="E24" i="12"/>
  <c r="E23" i="12"/>
  <c r="F23" i="12" s="1"/>
  <c r="E19" i="12"/>
  <c r="F19" i="12" s="1"/>
  <c r="E18" i="12"/>
  <c r="F18" i="12" s="1"/>
  <c r="F16" i="12"/>
  <c r="E16" i="12"/>
  <c r="D15" i="12"/>
  <c r="D17" i="12" s="1"/>
  <c r="D20" i="12" s="1"/>
  <c r="C15" i="12"/>
  <c r="C17" i="12" s="1"/>
  <c r="F14" i="12"/>
  <c r="E14" i="12"/>
  <c r="F13" i="12"/>
  <c r="E13" i="12"/>
  <c r="E12" i="12"/>
  <c r="F12" i="12" s="1"/>
  <c r="E11" i="12"/>
  <c r="F11" i="12" s="1"/>
  <c r="D73" i="11"/>
  <c r="C73" i="11"/>
  <c r="E72" i="11"/>
  <c r="F72" i="11" s="1"/>
  <c r="E71" i="11"/>
  <c r="F71" i="11"/>
  <c r="E70" i="11"/>
  <c r="F70" i="11" s="1"/>
  <c r="F67" i="11"/>
  <c r="E67" i="11"/>
  <c r="E64" i="11"/>
  <c r="F64" i="11" s="1"/>
  <c r="E63" i="11"/>
  <c r="F63" i="11" s="1"/>
  <c r="D61" i="11"/>
  <c r="D65" i="11" s="1"/>
  <c r="C61" i="11"/>
  <c r="E60" i="11"/>
  <c r="F60" i="11" s="1"/>
  <c r="F59" i="11"/>
  <c r="E59" i="11"/>
  <c r="D56" i="11"/>
  <c r="C56" i="11"/>
  <c r="E56" i="11" s="1"/>
  <c r="F56" i="11" s="1"/>
  <c r="F55" i="11"/>
  <c r="E55" i="11"/>
  <c r="F54" i="11"/>
  <c r="E54" i="11"/>
  <c r="E53" i="11"/>
  <c r="F53" i="11" s="1"/>
  <c r="F52" i="11"/>
  <c r="E52" i="11"/>
  <c r="E51" i="11"/>
  <c r="F51" i="11" s="1"/>
  <c r="E50" i="11"/>
  <c r="F50" i="11" s="1"/>
  <c r="A50" i="11"/>
  <c r="A51" i="11"/>
  <c r="A52" i="11" s="1"/>
  <c r="A53" i="11" s="1"/>
  <c r="A54" i="11" s="1"/>
  <c r="A55" i="11" s="1"/>
  <c r="E49" i="11"/>
  <c r="F49" i="11" s="1"/>
  <c r="E40" i="11"/>
  <c r="F40" i="11" s="1"/>
  <c r="D38" i="11"/>
  <c r="D41" i="11" s="1"/>
  <c r="C38" i="11"/>
  <c r="E37" i="11"/>
  <c r="F37" i="11" s="1"/>
  <c r="E36" i="11"/>
  <c r="F36" i="11" s="1"/>
  <c r="E33" i="11"/>
  <c r="F33" i="11" s="1"/>
  <c r="E32" i="11"/>
  <c r="F32" i="11" s="1"/>
  <c r="F31" i="11"/>
  <c r="E31" i="11"/>
  <c r="D29" i="11"/>
  <c r="E29" i="11" s="1"/>
  <c r="F29" i="11" s="1"/>
  <c r="C29" i="11"/>
  <c r="E28" i="11"/>
  <c r="F28" i="11"/>
  <c r="F27" i="11"/>
  <c r="E27" i="11"/>
  <c r="F26" i="11"/>
  <c r="E26" i="11"/>
  <c r="E25" i="11"/>
  <c r="F25" i="11" s="1"/>
  <c r="D22" i="11"/>
  <c r="C22" i="11"/>
  <c r="E22" i="11" s="1"/>
  <c r="F22" i="11" s="1"/>
  <c r="E21" i="11"/>
  <c r="F21" i="11" s="1"/>
  <c r="E20" i="11"/>
  <c r="F20" i="11" s="1"/>
  <c r="E19" i="11"/>
  <c r="F19" i="11"/>
  <c r="F18" i="11"/>
  <c r="E18" i="11"/>
  <c r="F17" i="11"/>
  <c r="E17" i="11"/>
  <c r="E16" i="11"/>
  <c r="F16" i="11" s="1"/>
  <c r="E15" i="11"/>
  <c r="F15" i="11" s="1"/>
  <c r="E14" i="11"/>
  <c r="F14" i="11" s="1"/>
  <c r="E13" i="11"/>
  <c r="F13" i="11" s="1"/>
  <c r="F120" i="10"/>
  <c r="D120" i="10"/>
  <c r="E120" i="10" s="1"/>
  <c r="C120" i="10"/>
  <c r="D119" i="10"/>
  <c r="C119" i="10"/>
  <c r="F119" i="10" s="1"/>
  <c r="D118" i="10"/>
  <c r="C118" i="10"/>
  <c r="F118" i="10" s="1"/>
  <c r="F117" i="10"/>
  <c r="D117" i="10"/>
  <c r="C117" i="10"/>
  <c r="D116" i="10"/>
  <c r="C116" i="10"/>
  <c r="F116" i="10" s="1"/>
  <c r="D115" i="10"/>
  <c r="E115" i="10" s="1"/>
  <c r="C115" i="10"/>
  <c r="F115" i="10" s="1"/>
  <c r="D114" i="10"/>
  <c r="C114" i="10"/>
  <c r="F114" i="10" s="1"/>
  <c r="D113" i="10"/>
  <c r="C113" i="10"/>
  <c r="D112" i="10"/>
  <c r="C112" i="10"/>
  <c r="D108" i="10"/>
  <c r="E108" i="10" s="1"/>
  <c r="C108" i="10"/>
  <c r="F108" i="10" s="1"/>
  <c r="D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E96" i="10" s="1"/>
  <c r="C96" i="10"/>
  <c r="F96" i="10" s="1"/>
  <c r="D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 s="1"/>
  <c r="C84" i="10"/>
  <c r="D83" i="10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2" i="10" s="1"/>
  <c r="D71" i="10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E60" i="10" s="1"/>
  <c r="C60" i="10"/>
  <c r="F60" i="10" s="1"/>
  <c r="F59" i="10"/>
  <c r="D59" i="10"/>
  <c r="E59" i="10" s="1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C48" i="10"/>
  <c r="F48" i="10" s="1"/>
  <c r="D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F36" i="10" s="1"/>
  <c r="D35" i="10"/>
  <c r="C35" i="10"/>
  <c r="F35" i="10" s="1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F24" i="10" s="1"/>
  <c r="D23" i="10"/>
  <c r="E23" i="10" s="1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D205" i="9"/>
  <c r="C205" i="9"/>
  <c r="D204" i="9"/>
  <c r="C204" i="9"/>
  <c r="D203" i="9"/>
  <c r="E203" i="9" s="1"/>
  <c r="F203" i="9" s="1"/>
  <c r="C203" i="9"/>
  <c r="D202" i="9"/>
  <c r="E202" i="9" s="1"/>
  <c r="C202" i="9"/>
  <c r="D201" i="9"/>
  <c r="E201" i="9" s="1"/>
  <c r="F201" i="9" s="1"/>
  <c r="C201" i="9"/>
  <c r="D200" i="9"/>
  <c r="C200" i="9"/>
  <c r="D199" i="9"/>
  <c r="C199" i="9"/>
  <c r="C208" i="9"/>
  <c r="D198" i="9"/>
  <c r="D207" i="9" s="1"/>
  <c r="C198" i="9"/>
  <c r="D193" i="9"/>
  <c r="E193" i="9" s="1"/>
  <c r="F193" i="9" s="1"/>
  <c r="C193" i="9"/>
  <c r="D192" i="9"/>
  <c r="E192" i="9" s="1"/>
  <c r="F192" i="9" s="1"/>
  <c r="C192" i="9"/>
  <c r="E191" i="9"/>
  <c r="F191" i="9" s="1"/>
  <c r="F190" i="9"/>
  <c r="E190" i="9"/>
  <c r="F189" i="9"/>
  <c r="E189" i="9"/>
  <c r="F188" i="9"/>
  <c r="E188" i="9"/>
  <c r="E187" i="9"/>
  <c r="F187" i="9" s="1"/>
  <c r="E186" i="9"/>
  <c r="F186" i="9" s="1"/>
  <c r="E185" i="9"/>
  <c r="F185" i="9" s="1"/>
  <c r="F184" i="9"/>
  <c r="E184" i="9"/>
  <c r="E183" i="9"/>
  <c r="F183" i="9" s="1"/>
  <c r="D180" i="9"/>
  <c r="C180" i="9"/>
  <c r="F180" i="9" s="1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C167" i="9"/>
  <c r="F167" i="9" s="1"/>
  <c r="D166" i="9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D153" i="9"/>
  <c r="C153" i="9"/>
  <c r="F153" i="9" s="1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 s="1"/>
  <c r="C141" i="9"/>
  <c r="D140" i="9"/>
  <c r="C140" i="9"/>
  <c r="E139" i="9"/>
  <c r="F139" i="9" s="1"/>
  <c r="E138" i="9"/>
  <c r="F138" i="9" s="1"/>
  <c r="E137" i="9"/>
  <c r="F137" i="9" s="1"/>
  <c r="E136" i="9"/>
  <c r="F136" i="9" s="1"/>
  <c r="E135" i="9"/>
  <c r="F135" i="9" s="1"/>
  <c r="E134" i="9"/>
  <c r="F134" i="9" s="1"/>
  <c r="E133" i="9"/>
  <c r="F133" i="9" s="1"/>
  <c r="E132" i="9"/>
  <c r="F132" i="9" s="1"/>
  <c r="F131" i="9"/>
  <c r="E131" i="9"/>
  <c r="D128" i="9"/>
  <c r="E128" i="9" s="1"/>
  <c r="C128" i="9"/>
  <c r="D127" i="9"/>
  <c r="E127" i="9"/>
  <c r="F127" i="9" s="1"/>
  <c r="C127" i="9"/>
  <c r="E126" i="9"/>
  <c r="F126" i="9" s="1"/>
  <c r="E125" i="9"/>
  <c r="F125" i="9" s="1"/>
  <c r="E124" i="9"/>
  <c r="F124" i="9" s="1"/>
  <c r="E123" i="9"/>
  <c r="F123" i="9" s="1"/>
  <c r="E122" i="9"/>
  <c r="F122" i="9" s="1"/>
  <c r="E121" i="9"/>
  <c r="F121" i="9" s="1"/>
  <c r="E120" i="9"/>
  <c r="F120" i="9" s="1"/>
  <c r="E119" i="9"/>
  <c r="F119" i="9" s="1"/>
  <c r="F118" i="9"/>
  <c r="E118" i="9"/>
  <c r="D115" i="9"/>
  <c r="C115" i="9"/>
  <c r="D114" i="9"/>
  <c r="C114" i="9"/>
  <c r="E114" i="9" s="1"/>
  <c r="F114" i="9" s="1"/>
  <c r="F113" i="9"/>
  <c r="E113" i="9"/>
  <c r="F112" i="9"/>
  <c r="E112" i="9"/>
  <c r="F111" i="9"/>
  <c r="E111" i="9"/>
  <c r="E110" i="9"/>
  <c r="F110" i="9" s="1"/>
  <c r="F109" i="9"/>
  <c r="E109" i="9"/>
  <c r="F108" i="9"/>
  <c r="E108" i="9"/>
  <c r="F107" i="9"/>
  <c r="E107" i="9"/>
  <c r="E106" i="9"/>
  <c r="F106" i="9" s="1"/>
  <c r="F105" i="9"/>
  <c r="E105" i="9"/>
  <c r="D102" i="9"/>
  <c r="C102" i="9"/>
  <c r="D101" i="9"/>
  <c r="E101" i="9" s="1"/>
  <c r="F101" i="9" s="1"/>
  <c r="C101" i="9"/>
  <c r="E100" i="9"/>
  <c r="F100" i="9" s="1"/>
  <c r="E99" i="9"/>
  <c r="F99" i="9" s="1"/>
  <c r="F98" i="9"/>
  <c r="E98" i="9"/>
  <c r="E97" i="9"/>
  <c r="F97" i="9" s="1"/>
  <c r="E96" i="9"/>
  <c r="F96" i="9" s="1"/>
  <c r="E95" i="9"/>
  <c r="F95" i="9" s="1"/>
  <c r="F94" i="9"/>
  <c r="E94" i="9"/>
  <c r="E93" i="9"/>
  <c r="F93" i="9" s="1"/>
  <c r="F92" i="9"/>
  <c r="E92" i="9"/>
  <c r="D89" i="9"/>
  <c r="C89" i="9"/>
  <c r="E89" i="9" s="1"/>
  <c r="F89" i="9" s="1"/>
  <c r="D88" i="9"/>
  <c r="E88" i="9" s="1"/>
  <c r="C88" i="9"/>
  <c r="F87" i="9"/>
  <c r="E87" i="9"/>
  <c r="F86" i="9"/>
  <c r="E86" i="9"/>
  <c r="E85" i="9"/>
  <c r="F85" i="9" s="1"/>
  <c r="F84" i="9"/>
  <c r="E84" i="9"/>
  <c r="F83" i="9"/>
  <c r="E83" i="9"/>
  <c r="F82" i="9"/>
  <c r="E82" i="9"/>
  <c r="E81" i="9"/>
  <c r="F81" i="9" s="1"/>
  <c r="F80" i="9"/>
  <c r="E80" i="9"/>
  <c r="F79" i="9"/>
  <c r="E79" i="9"/>
  <c r="D76" i="9"/>
  <c r="E76" i="9" s="1"/>
  <c r="F76" i="9" s="1"/>
  <c r="C76" i="9"/>
  <c r="D75" i="9"/>
  <c r="C75" i="9"/>
  <c r="E74" i="9"/>
  <c r="F74" i="9" s="1"/>
  <c r="E73" i="9"/>
  <c r="F73" i="9" s="1"/>
  <c r="F72" i="9"/>
  <c r="E72" i="9"/>
  <c r="E71" i="9"/>
  <c r="F71" i="9" s="1"/>
  <c r="E70" i="9"/>
  <c r="F70" i="9" s="1"/>
  <c r="F69" i="9"/>
  <c r="E69" i="9"/>
  <c r="E68" i="9"/>
  <c r="F68" i="9" s="1"/>
  <c r="F67" i="9"/>
  <c r="E67" i="9"/>
  <c r="E66" i="9"/>
  <c r="F66" i="9" s="1"/>
  <c r="F63" i="9"/>
  <c r="D63" i="9"/>
  <c r="E63" i="9" s="1"/>
  <c r="C63" i="9"/>
  <c r="D62" i="9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D49" i="9"/>
  <c r="C49" i="9"/>
  <c r="E48" i="9"/>
  <c r="F48" i="9" s="1"/>
  <c r="E47" i="9"/>
  <c r="F47" i="9" s="1"/>
  <c r="E46" i="9"/>
  <c r="F46" i="9" s="1"/>
  <c r="F45" i="9"/>
  <c r="E45" i="9"/>
  <c r="E44" i="9"/>
  <c r="F44" i="9" s="1"/>
  <c r="E43" i="9"/>
  <c r="F43" i="9" s="1"/>
  <c r="E42" i="9"/>
  <c r="F42" i="9" s="1"/>
  <c r="E41" i="9"/>
  <c r="F41" i="9" s="1"/>
  <c r="E40" i="9"/>
  <c r="F40" i="9" s="1"/>
  <c r="D37" i="9"/>
  <c r="E37" i="9"/>
  <c r="C37" i="9"/>
  <c r="F37" i="9" s="1"/>
  <c r="D36" i="9"/>
  <c r="E36" i="9" s="1"/>
  <c r="C36" i="9"/>
  <c r="F36" i="9" s="1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C24" i="9"/>
  <c r="D23" i="9"/>
  <c r="C23" i="9"/>
  <c r="F22" i="9"/>
  <c r="E22" i="9"/>
  <c r="E21" i="9"/>
  <c r="F21" i="9" s="1"/>
  <c r="E20" i="9"/>
  <c r="F20" i="9" s="1"/>
  <c r="E19" i="9"/>
  <c r="F19" i="9" s="1"/>
  <c r="E18" i="9"/>
  <c r="F18" i="9" s="1"/>
  <c r="E17" i="9"/>
  <c r="F17" i="9" s="1"/>
  <c r="E16" i="9"/>
  <c r="F16" i="9" s="1"/>
  <c r="F15" i="9"/>
  <c r="E15" i="9"/>
  <c r="F14" i="9"/>
  <c r="E14" i="9"/>
  <c r="E191" i="8"/>
  <c r="D191" i="8"/>
  <c r="C191" i="8"/>
  <c r="E176" i="8"/>
  <c r="D176" i="8"/>
  <c r="C176" i="8"/>
  <c r="E164" i="8"/>
  <c r="E160" i="8" s="1"/>
  <c r="D164" i="8"/>
  <c r="D160" i="8" s="1"/>
  <c r="D166" i="8" s="1"/>
  <c r="C164" i="8"/>
  <c r="C160" i="8" s="1"/>
  <c r="E162" i="8"/>
  <c r="D162" i="8"/>
  <c r="C162" i="8"/>
  <c r="E161" i="8"/>
  <c r="D161" i="8"/>
  <c r="C161" i="8"/>
  <c r="E147" i="8"/>
  <c r="E143" i="8" s="1"/>
  <c r="D147" i="8"/>
  <c r="D143" i="8" s="1"/>
  <c r="C147" i="8"/>
  <c r="C143" i="8" s="1"/>
  <c r="C149" i="8" s="1"/>
  <c r="C139" i="8" s="1"/>
  <c r="E145" i="8"/>
  <c r="D145" i="8"/>
  <c r="C145" i="8"/>
  <c r="E144" i="8"/>
  <c r="D144" i="8"/>
  <c r="C144" i="8"/>
  <c r="E126" i="8"/>
  <c r="D126" i="8"/>
  <c r="C126" i="8"/>
  <c r="E119" i="8"/>
  <c r="D119" i="8"/>
  <c r="C119" i="8"/>
  <c r="E108" i="8"/>
  <c r="D108" i="8"/>
  <c r="C108" i="8"/>
  <c r="C109" i="8" s="1"/>
  <c r="C106" i="8" s="1"/>
  <c r="E107" i="8"/>
  <c r="E109" i="8" s="1"/>
  <c r="E106" i="8" s="1"/>
  <c r="D107" i="8"/>
  <c r="D109" i="8" s="1"/>
  <c r="D106" i="8" s="1"/>
  <c r="C107" i="8"/>
  <c r="E102" i="8"/>
  <c r="E104" i="8" s="1"/>
  <c r="D102" i="8"/>
  <c r="D104" i="8" s="1"/>
  <c r="C102" i="8"/>
  <c r="C104" i="8" s="1"/>
  <c r="E100" i="8"/>
  <c r="D100" i="8"/>
  <c r="C100" i="8"/>
  <c r="E95" i="8"/>
  <c r="E94" i="8" s="1"/>
  <c r="D95" i="8"/>
  <c r="D94" i="8" s="1"/>
  <c r="C95" i="8"/>
  <c r="C94" i="8" s="1"/>
  <c r="E89" i="8"/>
  <c r="D89" i="8"/>
  <c r="C89" i="8"/>
  <c r="E88" i="8"/>
  <c r="E90" i="8" s="1"/>
  <c r="E86" i="8" s="1"/>
  <c r="E87" i="8"/>
  <c r="D87" i="8"/>
  <c r="C87" i="8"/>
  <c r="E84" i="8"/>
  <c r="D84" i="8"/>
  <c r="D79" i="8" s="1"/>
  <c r="C84" i="8"/>
  <c r="E83" i="8"/>
  <c r="D83" i="8"/>
  <c r="C83" i="8"/>
  <c r="C79" i="8"/>
  <c r="E77" i="8"/>
  <c r="E71" i="8" s="1"/>
  <c r="E75" i="8"/>
  <c r="D75" i="8"/>
  <c r="D88" i="8"/>
  <c r="C75" i="8"/>
  <c r="E74" i="8"/>
  <c r="D74" i="8"/>
  <c r="C74" i="8"/>
  <c r="E67" i="8"/>
  <c r="D67" i="8"/>
  <c r="C67" i="8"/>
  <c r="D43" i="8"/>
  <c r="E38" i="8"/>
  <c r="E49" i="8" s="1"/>
  <c r="D38" i="8"/>
  <c r="D53" i="8" s="1"/>
  <c r="D57" i="8"/>
  <c r="D62" i="8" s="1"/>
  <c r="C38" i="8"/>
  <c r="E33" i="8"/>
  <c r="E34" i="8" s="1"/>
  <c r="D33" i="8"/>
  <c r="D34" i="8"/>
  <c r="E26" i="8"/>
  <c r="D26" i="8"/>
  <c r="C26" i="8"/>
  <c r="E25" i="8"/>
  <c r="E27" i="8" s="1"/>
  <c r="E20" i="8" s="1"/>
  <c r="E13" i="8"/>
  <c r="E15" i="8" s="1"/>
  <c r="E24" i="8" s="1"/>
  <c r="D13" i="8"/>
  <c r="D25" i="8" s="1"/>
  <c r="D27" i="8" s="1"/>
  <c r="C13" i="8"/>
  <c r="F186" i="7"/>
  <c r="E186" i="7"/>
  <c r="D183" i="7"/>
  <c r="C183" i="7"/>
  <c r="F182" i="7"/>
  <c r="E182" i="7"/>
  <c r="E181" i="7"/>
  <c r="F181" i="7" s="1"/>
  <c r="F180" i="7"/>
  <c r="E180" i="7"/>
  <c r="E179" i="7"/>
  <c r="F179" i="7" s="1"/>
  <c r="F178" i="7"/>
  <c r="E178" i="7"/>
  <c r="E177" i="7"/>
  <c r="F177" i="7" s="1"/>
  <c r="E176" i="7"/>
  <c r="F176" i="7" s="1"/>
  <c r="E175" i="7"/>
  <c r="F175" i="7" s="1"/>
  <c r="E174" i="7"/>
  <c r="F174" i="7" s="1"/>
  <c r="E173" i="7"/>
  <c r="F173" i="7" s="1"/>
  <c r="F172" i="7"/>
  <c r="E172" i="7"/>
  <c r="E171" i="7"/>
  <c r="F171" i="7" s="1"/>
  <c r="E170" i="7"/>
  <c r="F170" i="7" s="1"/>
  <c r="D167" i="7"/>
  <c r="C167" i="7"/>
  <c r="E167" i="7" s="1"/>
  <c r="F167" i="7" s="1"/>
  <c r="E166" i="7"/>
  <c r="F166" i="7" s="1"/>
  <c r="E165" i="7"/>
  <c r="F165" i="7" s="1"/>
  <c r="E164" i="7"/>
  <c r="F164" i="7" s="1"/>
  <c r="E163" i="7"/>
  <c r="F163" i="7" s="1"/>
  <c r="F162" i="7"/>
  <c r="E162" i="7"/>
  <c r="F161" i="7"/>
  <c r="E161" i="7"/>
  <c r="E160" i="7"/>
  <c r="F160" i="7" s="1"/>
  <c r="F159" i="7"/>
  <c r="E159" i="7"/>
  <c r="F158" i="7"/>
  <c r="E158" i="7"/>
  <c r="E157" i="7"/>
  <c r="F157" i="7" s="1"/>
  <c r="E156" i="7"/>
  <c r="F156" i="7" s="1"/>
  <c r="E155" i="7"/>
  <c r="F155" i="7" s="1"/>
  <c r="E154" i="7"/>
  <c r="F154" i="7" s="1"/>
  <c r="F153" i="7"/>
  <c r="E153" i="7"/>
  <c r="E152" i="7"/>
  <c r="F152" i="7" s="1"/>
  <c r="F151" i="7"/>
  <c r="E151" i="7"/>
  <c r="E150" i="7"/>
  <c r="F150" i="7" s="1"/>
  <c r="E149" i="7"/>
  <c r="F149" i="7" s="1"/>
  <c r="E148" i="7"/>
  <c r="F148" i="7" s="1"/>
  <c r="F147" i="7"/>
  <c r="E147" i="7"/>
  <c r="E146" i="7"/>
  <c r="F146" i="7" s="1"/>
  <c r="E145" i="7"/>
  <c r="F145" i="7" s="1"/>
  <c r="F144" i="7"/>
  <c r="E144" i="7"/>
  <c r="F143" i="7"/>
  <c r="E143" i="7"/>
  <c r="E142" i="7"/>
  <c r="F142" i="7" s="1"/>
  <c r="F141" i="7"/>
  <c r="E141" i="7"/>
  <c r="E140" i="7"/>
  <c r="F140" i="7" s="1"/>
  <c r="E139" i="7"/>
  <c r="F139" i="7" s="1"/>
  <c r="E138" i="7"/>
  <c r="F138" i="7" s="1"/>
  <c r="E137" i="7"/>
  <c r="F137" i="7" s="1"/>
  <c r="E136" i="7"/>
  <c r="F136" i="7" s="1"/>
  <c r="F135" i="7"/>
  <c r="E135" i="7"/>
  <c r="E134" i="7"/>
  <c r="F134" i="7" s="1"/>
  <c r="F133" i="7"/>
  <c r="E133" i="7"/>
  <c r="D130" i="7"/>
  <c r="E130" i="7" s="1"/>
  <c r="F130" i="7" s="1"/>
  <c r="C130" i="7"/>
  <c r="E129" i="7"/>
  <c r="F129" i="7" s="1"/>
  <c r="E128" i="7"/>
  <c r="F128" i="7" s="1"/>
  <c r="E127" i="7"/>
  <c r="F127" i="7" s="1"/>
  <c r="F126" i="7"/>
  <c r="E126" i="7"/>
  <c r="E125" i="7"/>
  <c r="F125" i="7" s="1"/>
  <c r="F124" i="7"/>
  <c r="E124" i="7"/>
  <c r="D121" i="7"/>
  <c r="C121" i="7"/>
  <c r="F120" i="7"/>
  <c r="E120" i="7"/>
  <c r="E119" i="7"/>
  <c r="F119" i="7" s="1"/>
  <c r="E118" i="7"/>
  <c r="F118" i="7" s="1"/>
  <c r="E117" i="7"/>
  <c r="F117" i="7" s="1"/>
  <c r="F116" i="7"/>
  <c r="E116" i="7"/>
  <c r="E115" i="7"/>
  <c r="F115" i="7" s="1"/>
  <c r="E114" i="7"/>
  <c r="F114" i="7" s="1"/>
  <c r="F113" i="7"/>
  <c r="E113" i="7"/>
  <c r="E112" i="7"/>
  <c r="F112" i="7" s="1"/>
  <c r="E111" i="7"/>
  <c r="F111" i="7" s="1"/>
  <c r="E110" i="7"/>
  <c r="F110" i="7" s="1"/>
  <c r="E109" i="7"/>
  <c r="F109" i="7" s="1"/>
  <c r="E108" i="7"/>
  <c r="F108" i="7" s="1"/>
  <c r="E107" i="7"/>
  <c r="F107" i="7" s="1"/>
  <c r="F106" i="7"/>
  <c r="E106" i="7"/>
  <c r="F105" i="7"/>
  <c r="E105" i="7"/>
  <c r="F104" i="7"/>
  <c r="E104" i="7"/>
  <c r="E103" i="7"/>
  <c r="F103" i="7" s="1"/>
  <c r="F93" i="7"/>
  <c r="E93" i="7"/>
  <c r="D90" i="7"/>
  <c r="C90" i="7"/>
  <c r="E89" i="7"/>
  <c r="F89" i="7" s="1"/>
  <c r="E88" i="7"/>
  <c r="F88" i="7" s="1"/>
  <c r="F87" i="7"/>
  <c r="E87" i="7"/>
  <c r="E86" i="7"/>
  <c r="F86" i="7" s="1"/>
  <c r="E85" i="7"/>
  <c r="F85" i="7" s="1"/>
  <c r="F84" i="7"/>
  <c r="E84" i="7"/>
  <c r="E83" i="7"/>
  <c r="F83" i="7" s="1"/>
  <c r="F82" i="7"/>
  <c r="E82" i="7"/>
  <c r="E81" i="7"/>
  <c r="F81" i="7" s="1"/>
  <c r="E80" i="7"/>
  <c r="F80" i="7" s="1"/>
  <c r="E79" i="7"/>
  <c r="F79" i="7" s="1"/>
  <c r="F78" i="7"/>
  <c r="E78" i="7"/>
  <c r="E77" i="7"/>
  <c r="F77" i="7" s="1"/>
  <c r="F76" i="7"/>
  <c r="E76" i="7"/>
  <c r="E75" i="7"/>
  <c r="F75" i="7" s="1"/>
  <c r="E74" i="7"/>
  <c r="F74" i="7" s="1"/>
  <c r="E73" i="7"/>
  <c r="F73" i="7" s="1"/>
  <c r="E72" i="7"/>
  <c r="F72" i="7" s="1"/>
  <c r="E71" i="7"/>
  <c r="F71" i="7" s="1"/>
  <c r="E70" i="7"/>
  <c r="F70" i="7" s="1"/>
  <c r="E69" i="7"/>
  <c r="F69" i="7" s="1"/>
  <c r="E68" i="7"/>
  <c r="F68" i="7" s="1"/>
  <c r="E67" i="7"/>
  <c r="F67" i="7" s="1"/>
  <c r="E66" i="7"/>
  <c r="F66" i="7" s="1"/>
  <c r="E65" i="7"/>
  <c r="F65" i="7" s="1"/>
  <c r="F64" i="7"/>
  <c r="E64" i="7"/>
  <c r="E63" i="7"/>
  <c r="F63" i="7" s="1"/>
  <c r="E62" i="7"/>
  <c r="F62" i="7" s="1"/>
  <c r="D59" i="7"/>
  <c r="C59" i="7"/>
  <c r="F58" i="7"/>
  <c r="E58" i="7"/>
  <c r="E57" i="7"/>
  <c r="F57" i="7" s="1"/>
  <c r="E56" i="7"/>
  <c r="F56" i="7" s="1"/>
  <c r="E55" i="7"/>
  <c r="F55" i="7" s="1"/>
  <c r="E54" i="7"/>
  <c r="F54" i="7" s="1"/>
  <c r="E53" i="7"/>
  <c r="F53" i="7" s="1"/>
  <c r="E50" i="7"/>
  <c r="F50" i="7" s="1"/>
  <c r="E47" i="7"/>
  <c r="F47" i="7" s="1"/>
  <c r="F44" i="7"/>
  <c r="E44" i="7"/>
  <c r="D41" i="7"/>
  <c r="E41" i="7" s="1"/>
  <c r="C41" i="7"/>
  <c r="F40" i="7"/>
  <c r="E40" i="7"/>
  <c r="E39" i="7"/>
  <c r="F39" i="7" s="1"/>
  <c r="F38" i="7"/>
  <c r="E38" i="7"/>
  <c r="D35" i="7"/>
  <c r="E35" i="7" s="1"/>
  <c r="F35" i="7" s="1"/>
  <c r="C35" i="7"/>
  <c r="E34" i="7"/>
  <c r="F34" i="7" s="1"/>
  <c r="F33" i="7"/>
  <c r="E33" i="7"/>
  <c r="D30" i="7"/>
  <c r="C30" i="7"/>
  <c r="E29" i="7"/>
  <c r="F29" i="7" s="1"/>
  <c r="E28" i="7"/>
  <c r="F28" i="7" s="1"/>
  <c r="E27" i="7"/>
  <c r="F27" i="7" s="1"/>
  <c r="D24" i="7"/>
  <c r="E24" i="7" s="1"/>
  <c r="C24" i="7"/>
  <c r="E23" i="7"/>
  <c r="F23" i="7" s="1"/>
  <c r="E22" i="7"/>
  <c r="F22" i="7" s="1"/>
  <c r="E21" i="7"/>
  <c r="F21" i="7" s="1"/>
  <c r="D18" i="7"/>
  <c r="E18" i="7" s="1"/>
  <c r="F18" i="7" s="1"/>
  <c r="C18" i="7"/>
  <c r="E17" i="7"/>
  <c r="F17" i="7" s="1"/>
  <c r="F16" i="7"/>
  <c r="E16" i="7"/>
  <c r="E15" i="7"/>
  <c r="F15" i="7" s="1"/>
  <c r="D179" i="6"/>
  <c r="E179" i="6" s="1"/>
  <c r="F179" i="6" s="1"/>
  <c r="C179" i="6"/>
  <c r="E178" i="6"/>
  <c r="F178" i="6" s="1"/>
  <c r="F177" i="6"/>
  <c r="E177" i="6"/>
  <c r="E176" i="6"/>
  <c r="F176" i="6" s="1"/>
  <c r="E175" i="6"/>
  <c r="F175" i="6" s="1"/>
  <c r="F174" i="6"/>
  <c r="E174" i="6"/>
  <c r="E173" i="6"/>
  <c r="F173" i="6" s="1"/>
  <c r="E172" i="6"/>
  <c r="F172" i="6" s="1"/>
  <c r="F171" i="6"/>
  <c r="E171" i="6"/>
  <c r="E170" i="6"/>
  <c r="F170" i="6" s="1"/>
  <c r="F169" i="6"/>
  <c r="E169" i="6"/>
  <c r="E168" i="6"/>
  <c r="F168" i="6" s="1"/>
  <c r="D166" i="6"/>
  <c r="C166" i="6"/>
  <c r="E166" i="6" s="1"/>
  <c r="E165" i="6"/>
  <c r="F165" i="6" s="1"/>
  <c r="F164" i="6"/>
  <c r="E164" i="6"/>
  <c r="E163" i="6"/>
  <c r="F163" i="6" s="1"/>
  <c r="E162" i="6"/>
  <c r="F162" i="6" s="1"/>
  <c r="F161" i="6"/>
  <c r="E161" i="6"/>
  <c r="E160" i="6"/>
  <c r="F160" i="6" s="1"/>
  <c r="E159" i="6"/>
  <c r="F159" i="6" s="1"/>
  <c r="F158" i="6"/>
  <c r="E158" i="6"/>
  <c r="E157" i="6"/>
  <c r="F157" i="6" s="1"/>
  <c r="E156" i="6"/>
  <c r="F156" i="6" s="1"/>
  <c r="E155" i="6"/>
  <c r="F155" i="6" s="1"/>
  <c r="D153" i="6"/>
  <c r="E153" i="6"/>
  <c r="F153" i="6"/>
  <c r="C153" i="6"/>
  <c r="E152" i="6"/>
  <c r="F152" i="6" s="1"/>
  <c r="F151" i="6"/>
  <c r="E151" i="6"/>
  <c r="E150" i="6"/>
  <c r="F150" i="6" s="1"/>
  <c r="F149" i="6"/>
  <c r="E149" i="6"/>
  <c r="E148" i="6"/>
  <c r="F148" i="6" s="1"/>
  <c r="F147" i="6"/>
  <c r="E147" i="6"/>
  <c r="E146" i="6"/>
  <c r="F146" i="6" s="1"/>
  <c r="F145" i="6"/>
  <c r="E145" i="6"/>
  <c r="E144" i="6"/>
  <c r="F144" i="6" s="1"/>
  <c r="F143" i="6"/>
  <c r="E143" i="6"/>
  <c r="E142" i="6"/>
  <c r="F142" i="6" s="1"/>
  <c r="D137" i="6"/>
  <c r="C137" i="6"/>
  <c r="E136" i="6"/>
  <c r="F136" i="6" s="1"/>
  <c r="F135" i="6"/>
  <c r="E135" i="6"/>
  <c r="F134" i="6"/>
  <c r="E134" i="6"/>
  <c r="E133" i="6"/>
  <c r="F133" i="6" s="1"/>
  <c r="E132" i="6"/>
  <c r="F132" i="6" s="1"/>
  <c r="E131" i="6"/>
  <c r="F131" i="6" s="1"/>
  <c r="E130" i="6"/>
  <c r="F130" i="6" s="1"/>
  <c r="F129" i="6"/>
  <c r="E129" i="6"/>
  <c r="E128" i="6"/>
  <c r="F128" i="6" s="1"/>
  <c r="E127" i="6"/>
  <c r="F127" i="6" s="1"/>
  <c r="F126" i="6"/>
  <c r="E126" i="6"/>
  <c r="D124" i="6"/>
  <c r="C124" i="6"/>
  <c r="E123" i="6"/>
  <c r="F123" i="6" s="1"/>
  <c r="F122" i="6"/>
  <c r="E122" i="6"/>
  <c r="E121" i="6"/>
  <c r="F121" i="6" s="1"/>
  <c r="E120" i="6"/>
  <c r="F120" i="6" s="1"/>
  <c r="E119" i="6"/>
  <c r="F119" i="6" s="1"/>
  <c r="F118" i="6"/>
  <c r="E118" i="6"/>
  <c r="E117" i="6"/>
  <c r="F117" i="6" s="1"/>
  <c r="F116" i="6"/>
  <c r="E116" i="6"/>
  <c r="E115" i="6"/>
  <c r="F115" i="6" s="1"/>
  <c r="F114" i="6"/>
  <c r="E114" i="6"/>
  <c r="E113" i="6"/>
  <c r="F113" i="6" s="1"/>
  <c r="D111" i="6"/>
  <c r="E111" i="6"/>
  <c r="F111" i="6"/>
  <c r="C111" i="6"/>
  <c r="E110" i="6"/>
  <c r="F110" i="6" s="1"/>
  <c r="F109" i="6"/>
  <c r="E109" i="6"/>
  <c r="E108" i="6"/>
  <c r="F108" i="6" s="1"/>
  <c r="E107" i="6"/>
  <c r="F107" i="6" s="1"/>
  <c r="F106" i="6"/>
  <c r="E106" i="6"/>
  <c r="E105" i="6"/>
  <c r="F105" i="6" s="1"/>
  <c r="E104" i="6"/>
  <c r="F104" i="6" s="1"/>
  <c r="F103" i="6"/>
  <c r="E103" i="6"/>
  <c r="E102" i="6"/>
  <c r="F102" i="6" s="1"/>
  <c r="E101" i="6"/>
  <c r="F101" i="6" s="1"/>
  <c r="E100" i="6"/>
  <c r="F100" i="6" s="1"/>
  <c r="D94" i="6"/>
  <c r="E94" i="6" s="1"/>
  <c r="C94" i="6"/>
  <c r="D93" i="6"/>
  <c r="C93" i="6"/>
  <c r="F93" i="6" s="1"/>
  <c r="D92" i="6"/>
  <c r="C92" i="6"/>
  <c r="D91" i="6"/>
  <c r="E91" i="6" s="1"/>
  <c r="C91" i="6"/>
  <c r="D90" i="6"/>
  <c r="C90" i="6"/>
  <c r="D89" i="6"/>
  <c r="C89" i="6"/>
  <c r="E89" i="6" s="1"/>
  <c r="D88" i="6"/>
  <c r="C88" i="6"/>
  <c r="D87" i="6"/>
  <c r="C87" i="6"/>
  <c r="F87" i="6" s="1"/>
  <c r="D86" i="6"/>
  <c r="E86" i="6" s="1"/>
  <c r="F86" i="6" s="1"/>
  <c r="C86" i="6"/>
  <c r="D85" i="6"/>
  <c r="C85" i="6"/>
  <c r="D84" i="6"/>
  <c r="C84" i="6"/>
  <c r="D81" i="6"/>
  <c r="C81" i="6"/>
  <c r="E81" i="6" s="1"/>
  <c r="F80" i="6"/>
  <c r="E80" i="6"/>
  <c r="F79" i="6"/>
  <c r="E79" i="6"/>
  <c r="E78" i="6"/>
  <c r="F78" i="6" s="1"/>
  <c r="E77" i="6"/>
  <c r="F77" i="6" s="1"/>
  <c r="E76" i="6"/>
  <c r="F76" i="6" s="1"/>
  <c r="E75" i="6"/>
  <c r="F75" i="6" s="1"/>
  <c r="E74" i="6"/>
  <c r="F74" i="6" s="1"/>
  <c r="F73" i="6"/>
  <c r="E73" i="6"/>
  <c r="E72" i="6"/>
  <c r="F72" i="6" s="1"/>
  <c r="F71" i="6"/>
  <c r="E71" i="6"/>
  <c r="E70" i="6"/>
  <c r="F70" i="6" s="1"/>
  <c r="D68" i="6"/>
  <c r="E68" i="6" s="1"/>
  <c r="F68" i="6" s="1"/>
  <c r="C68" i="6"/>
  <c r="E67" i="6"/>
  <c r="F67" i="6" s="1"/>
  <c r="F66" i="6"/>
  <c r="E66" i="6"/>
  <c r="E65" i="6"/>
  <c r="F65" i="6" s="1"/>
  <c r="E64" i="6"/>
  <c r="F64" i="6" s="1"/>
  <c r="F63" i="6"/>
  <c r="E63" i="6"/>
  <c r="E62" i="6"/>
  <c r="F62" i="6" s="1"/>
  <c r="E61" i="6"/>
  <c r="F61" i="6" s="1"/>
  <c r="F60" i="6"/>
  <c r="E60" i="6"/>
  <c r="E59" i="6"/>
  <c r="F59" i="6" s="1"/>
  <c r="E58" i="6"/>
  <c r="F58" i="6" s="1"/>
  <c r="E57" i="6"/>
  <c r="F57" i="6" s="1"/>
  <c r="D51" i="6"/>
  <c r="C51" i="6"/>
  <c r="D50" i="6"/>
  <c r="E50" i="6"/>
  <c r="C50" i="6"/>
  <c r="F50" i="6" s="1"/>
  <c r="D49" i="6"/>
  <c r="E49" i="6"/>
  <c r="F49" i="6" s="1"/>
  <c r="C49" i="6"/>
  <c r="D48" i="6"/>
  <c r="C48" i="6"/>
  <c r="D47" i="6"/>
  <c r="C47" i="6"/>
  <c r="D46" i="6"/>
  <c r="C46" i="6"/>
  <c r="D45" i="6"/>
  <c r="E45" i="6" s="1"/>
  <c r="F45" i="6" s="1"/>
  <c r="C45" i="6"/>
  <c r="D44" i="6"/>
  <c r="C44" i="6"/>
  <c r="D43" i="6"/>
  <c r="C43" i="6"/>
  <c r="D42" i="6"/>
  <c r="E42" i="6" s="1"/>
  <c r="F42" i="6" s="1"/>
  <c r="C42" i="6"/>
  <c r="D41" i="6"/>
  <c r="C41" i="6"/>
  <c r="D38" i="6"/>
  <c r="E38" i="6"/>
  <c r="F38" i="6" s="1"/>
  <c r="C38" i="6"/>
  <c r="E37" i="6"/>
  <c r="F37" i="6" s="1"/>
  <c r="F36" i="6"/>
  <c r="E36" i="6"/>
  <c r="E35" i="6"/>
  <c r="F35" i="6" s="1"/>
  <c r="E34" i="6"/>
  <c r="F34" i="6" s="1"/>
  <c r="E33" i="6"/>
  <c r="F33" i="6" s="1"/>
  <c r="E32" i="6"/>
  <c r="F32" i="6" s="1"/>
  <c r="E31" i="6"/>
  <c r="F31" i="6" s="1"/>
  <c r="F30" i="6"/>
  <c r="E30" i="6"/>
  <c r="F29" i="6"/>
  <c r="E29" i="6"/>
  <c r="E28" i="6"/>
  <c r="F28" i="6" s="1"/>
  <c r="E27" i="6"/>
  <c r="F27" i="6" s="1"/>
  <c r="D25" i="6"/>
  <c r="E25" i="6"/>
  <c r="F25" i="6" s="1"/>
  <c r="C25" i="6"/>
  <c r="E24" i="6"/>
  <c r="F24" i="6" s="1"/>
  <c r="F23" i="6"/>
  <c r="E23" i="6"/>
  <c r="E22" i="6"/>
  <c r="F22" i="6" s="1"/>
  <c r="E21" i="6"/>
  <c r="F21" i="6" s="1"/>
  <c r="E20" i="6"/>
  <c r="F20" i="6" s="1"/>
  <c r="E19" i="6"/>
  <c r="F19" i="6" s="1"/>
  <c r="E18" i="6"/>
  <c r="F18" i="6" s="1"/>
  <c r="F17" i="6"/>
  <c r="E17" i="6"/>
  <c r="E16" i="6"/>
  <c r="F16" i="6" s="1"/>
  <c r="E15" i="6"/>
  <c r="F15" i="6" s="1"/>
  <c r="F14" i="6"/>
  <c r="E14" i="6"/>
  <c r="E51" i="5"/>
  <c r="F51" i="5" s="1"/>
  <c r="D48" i="5"/>
  <c r="C48" i="5"/>
  <c r="F47" i="5"/>
  <c r="E47" i="5"/>
  <c r="E46" i="5"/>
  <c r="F46" i="5" s="1"/>
  <c r="D41" i="5"/>
  <c r="C41" i="5"/>
  <c r="E41" i="5" s="1"/>
  <c r="E40" i="5"/>
  <c r="F40" i="5" s="1"/>
  <c r="F39" i="5"/>
  <c r="E39" i="5"/>
  <c r="E38" i="5"/>
  <c r="F38" i="5"/>
  <c r="D33" i="5"/>
  <c r="E33" i="5" s="1"/>
  <c r="F33" i="5" s="1"/>
  <c r="C33" i="5"/>
  <c r="E32" i="5"/>
  <c r="F32" i="5" s="1"/>
  <c r="E31" i="5"/>
  <c r="F31" i="5" s="1"/>
  <c r="E30" i="5"/>
  <c r="F30" i="5" s="1"/>
  <c r="F29" i="5"/>
  <c r="E29" i="5"/>
  <c r="E28" i="5"/>
  <c r="F28" i="5" s="1"/>
  <c r="E27" i="5"/>
  <c r="F27" i="5" s="1"/>
  <c r="E26" i="5"/>
  <c r="F26" i="5"/>
  <c r="E25" i="5"/>
  <c r="F25" i="5" s="1"/>
  <c r="E24" i="5"/>
  <c r="F24" i="5"/>
  <c r="E20" i="5"/>
  <c r="F20" i="5" s="1"/>
  <c r="E19" i="5"/>
  <c r="F19" i="5"/>
  <c r="E17" i="5"/>
  <c r="F17" i="5" s="1"/>
  <c r="D16" i="5"/>
  <c r="D18" i="5" s="1"/>
  <c r="C16" i="5"/>
  <c r="F15" i="5"/>
  <c r="E15" i="5"/>
  <c r="E14" i="5"/>
  <c r="F14" i="5"/>
  <c r="E13" i="5"/>
  <c r="F13" i="5" s="1"/>
  <c r="E12" i="5"/>
  <c r="F12" i="5" s="1"/>
  <c r="D73" i="4"/>
  <c r="C73" i="4"/>
  <c r="E72" i="4"/>
  <c r="F72" i="4" s="1"/>
  <c r="E71" i="4"/>
  <c r="F71" i="4" s="1"/>
  <c r="E70" i="4"/>
  <c r="F70" i="4" s="1"/>
  <c r="F67" i="4"/>
  <c r="E67" i="4"/>
  <c r="E64" i="4"/>
  <c r="F64" i="4" s="1"/>
  <c r="E63" i="4"/>
  <c r="F63" i="4" s="1"/>
  <c r="D61" i="4"/>
  <c r="C61" i="4"/>
  <c r="E60" i="4"/>
  <c r="F60" i="4"/>
  <c r="E59" i="4"/>
  <c r="F59" i="4" s="1"/>
  <c r="D56" i="4"/>
  <c r="C56" i="4"/>
  <c r="E55" i="4"/>
  <c r="F55" i="4" s="1"/>
  <c r="E54" i="4"/>
  <c r="F54" i="4" s="1"/>
  <c r="E53" i="4"/>
  <c r="F53" i="4" s="1"/>
  <c r="E52" i="4"/>
  <c r="F52" i="4" s="1"/>
  <c r="E51" i="4"/>
  <c r="F51" i="4" s="1"/>
  <c r="E50" i="4"/>
  <c r="F50" i="4" s="1"/>
  <c r="A50" i="4"/>
  <c r="A51" i="4" s="1"/>
  <c r="A52" i="4" s="1"/>
  <c r="A53" i="4" s="1"/>
  <c r="A54" i="4" s="1"/>
  <c r="A55" i="4" s="1"/>
  <c r="E49" i="4"/>
  <c r="F49" i="4" s="1"/>
  <c r="E40" i="4"/>
  <c r="F40" i="4" s="1"/>
  <c r="D38" i="4"/>
  <c r="C38" i="4"/>
  <c r="E37" i="4"/>
  <c r="F37" i="4"/>
  <c r="E36" i="4"/>
  <c r="F36" i="4" s="1"/>
  <c r="E33" i="4"/>
  <c r="F33" i="4" s="1"/>
  <c r="E32" i="4"/>
  <c r="F32" i="4" s="1"/>
  <c r="E31" i="4"/>
  <c r="F31" i="4" s="1"/>
  <c r="D29" i="4"/>
  <c r="C29" i="4"/>
  <c r="E28" i="4"/>
  <c r="F28" i="4"/>
  <c r="F27" i="4"/>
  <c r="E27" i="4"/>
  <c r="F26" i="4"/>
  <c r="E26" i="4"/>
  <c r="E25" i="4"/>
  <c r="F25" i="4" s="1"/>
  <c r="D22" i="4"/>
  <c r="C22" i="4"/>
  <c r="E21" i="4"/>
  <c r="F21" i="4"/>
  <c r="E20" i="4"/>
  <c r="F20" i="4" s="1"/>
  <c r="E19" i="4"/>
  <c r="F19" i="4" s="1"/>
  <c r="F18" i="4"/>
  <c r="E18" i="4"/>
  <c r="E17" i="4"/>
  <c r="F17" i="4" s="1"/>
  <c r="F16" i="4"/>
  <c r="E16" i="4"/>
  <c r="E15" i="4"/>
  <c r="F15" i="4" s="1"/>
  <c r="E14" i="4"/>
  <c r="F14" i="4"/>
  <c r="E13" i="4"/>
  <c r="F13" i="4"/>
  <c r="D22" i="22"/>
  <c r="C23" i="22"/>
  <c r="C34" i="22"/>
  <c r="E34" i="22"/>
  <c r="E102" i="22"/>
  <c r="C22" i="22"/>
  <c r="C45" i="22" s="1"/>
  <c r="E43" i="20"/>
  <c r="F43" i="20" s="1"/>
  <c r="E145" i="17"/>
  <c r="F145" i="17" s="1"/>
  <c r="E155" i="17"/>
  <c r="F155" i="17" s="1"/>
  <c r="E21" i="18"/>
  <c r="D22" i="18"/>
  <c r="C55" i="18"/>
  <c r="C71" i="18"/>
  <c r="C76" i="18" s="1"/>
  <c r="C77" i="18" s="1"/>
  <c r="E94" i="17"/>
  <c r="F94" i="17" s="1"/>
  <c r="E95" i="17"/>
  <c r="E120" i="17"/>
  <c r="F120" i="17" s="1"/>
  <c r="E180" i="17"/>
  <c r="F180" i="17" s="1"/>
  <c r="E36" i="18"/>
  <c r="E69" i="18"/>
  <c r="D144" i="18"/>
  <c r="D175" i="18"/>
  <c r="C210" i="18"/>
  <c r="C211" i="18" s="1"/>
  <c r="E244" i="18"/>
  <c r="D260" i="18"/>
  <c r="E260" i="18" s="1"/>
  <c r="D303" i="18"/>
  <c r="E265" i="18"/>
  <c r="E216" i="18"/>
  <c r="E220" i="18"/>
  <c r="E233" i="18"/>
  <c r="D32" i="17"/>
  <c r="C21" i="17"/>
  <c r="E30" i="17"/>
  <c r="F30" i="17" s="1"/>
  <c r="E102" i="17"/>
  <c r="F102" i="17" s="1"/>
  <c r="D103" i="17"/>
  <c r="D21" i="17"/>
  <c r="C173" i="17"/>
  <c r="E76" i="17"/>
  <c r="F76" i="17" s="1"/>
  <c r="F95" i="17"/>
  <c r="D277" i="17"/>
  <c r="D287" i="17" s="1"/>
  <c r="D261" i="17"/>
  <c r="D271" i="17" s="1"/>
  <c r="D285" i="17"/>
  <c r="D269" i="17"/>
  <c r="E204" i="17"/>
  <c r="F204" i="17" s="1"/>
  <c r="E101" i="17"/>
  <c r="F101" i="17" s="1"/>
  <c r="C193" i="17"/>
  <c r="C192" i="17"/>
  <c r="C277" i="17"/>
  <c r="C261" i="17"/>
  <c r="C190" i="17"/>
  <c r="D280" i="17"/>
  <c r="D264" i="17"/>
  <c r="E191" i="17"/>
  <c r="D283" i="17"/>
  <c r="D267" i="17"/>
  <c r="C199" i="17"/>
  <c r="E226" i="17"/>
  <c r="F226" i="17" s="1"/>
  <c r="C262" i="17"/>
  <c r="C264" i="17"/>
  <c r="C269" i="17"/>
  <c r="C274" i="17"/>
  <c r="D31" i="14"/>
  <c r="C17" i="13"/>
  <c r="C28" i="13"/>
  <c r="C70" i="13" s="1"/>
  <c r="C72" i="13" s="1"/>
  <c r="D48" i="13"/>
  <c r="F38" i="11"/>
  <c r="E38" i="11"/>
  <c r="C41" i="11"/>
  <c r="C43" i="11" s="1"/>
  <c r="E61" i="11"/>
  <c r="F61" i="11" s="1"/>
  <c r="C65" i="11"/>
  <c r="D121" i="10"/>
  <c r="D122" i="10"/>
  <c r="E199" i="9"/>
  <c r="F199" i="9"/>
  <c r="E21" i="8"/>
  <c r="D15" i="8"/>
  <c r="D24" i="8" s="1"/>
  <c r="E17" i="8"/>
  <c r="D77" i="8"/>
  <c r="E84" i="6"/>
  <c r="F84" i="6"/>
  <c r="E22" i="4"/>
  <c r="F22" i="4"/>
  <c r="C41" i="4"/>
  <c r="C43" i="4" s="1"/>
  <c r="C65" i="4"/>
  <c r="C75" i="4" s="1"/>
  <c r="E73" i="4"/>
  <c r="F73" i="4" s="1"/>
  <c r="D45" i="22"/>
  <c r="D39" i="22"/>
  <c r="D35" i="22"/>
  <c r="E46" i="20"/>
  <c r="D306" i="18"/>
  <c r="D310" i="18" s="1"/>
  <c r="C234" i="18"/>
  <c r="D270" i="17"/>
  <c r="C263" i="17"/>
  <c r="C161" i="17"/>
  <c r="C162" i="17" s="1"/>
  <c r="D105" i="17"/>
  <c r="D106" i="17" s="1"/>
  <c r="D17" i="8"/>
  <c r="D28" i="8" s="1"/>
  <c r="D22" i="8" s="1"/>
  <c r="E112" i="8"/>
  <c r="E111" i="8"/>
  <c r="E28" i="8"/>
  <c r="E99" i="8" s="1"/>
  <c r="E101" i="8" s="1"/>
  <c r="D112" i="8"/>
  <c r="D111" i="8" s="1"/>
  <c r="D99" i="8"/>
  <c r="D101" i="8" s="1"/>
  <c r="D98" i="8" s="1"/>
  <c r="E302" i="18" l="1"/>
  <c r="C303" i="18"/>
  <c r="C109" i="18"/>
  <c r="C113" i="18"/>
  <c r="C110" i="18"/>
  <c r="C124" i="18"/>
  <c r="C125" i="18"/>
  <c r="F113" i="10"/>
  <c r="C122" i="10"/>
  <c r="F122" i="10" s="1"/>
  <c r="C21" i="13"/>
  <c r="C22" i="13"/>
  <c r="C282" i="17"/>
  <c r="C194" i="17"/>
  <c r="C196" i="17" s="1"/>
  <c r="C266" i="17"/>
  <c r="D37" i="17"/>
  <c r="E37" i="17" s="1"/>
  <c r="F31" i="17"/>
  <c r="E31" i="17"/>
  <c r="C32" i="17"/>
  <c r="C175" i="17" s="1"/>
  <c r="C176" i="17" s="1"/>
  <c r="C183" i="17" s="1"/>
  <c r="E60" i="18"/>
  <c r="D289" i="18"/>
  <c r="E289" i="18" s="1"/>
  <c r="D71" i="18"/>
  <c r="E71" i="18" s="1"/>
  <c r="D180" i="18"/>
  <c r="E47" i="6"/>
  <c r="F47" i="6" s="1"/>
  <c r="E30" i="7"/>
  <c r="F30" i="7" s="1"/>
  <c r="F107" i="10"/>
  <c r="E107" i="10"/>
  <c r="D15" i="13"/>
  <c r="C88" i="8"/>
  <c r="C90" i="8" s="1"/>
  <c r="C86" i="8" s="1"/>
  <c r="C77" i="8"/>
  <c r="C71" i="8" s="1"/>
  <c r="E307" i="17"/>
  <c r="F307" i="17"/>
  <c r="D239" i="18"/>
  <c r="E239" i="18" s="1"/>
  <c r="E215" i="18"/>
  <c r="E22" i="8"/>
  <c r="E140" i="9"/>
  <c r="F140" i="9"/>
  <c r="F73" i="11"/>
  <c r="E110" i="17"/>
  <c r="F110" i="17" s="1"/>
  <c r="C126" i="17"/>
  <c r="C127" i="17" s="1"/>
  <c r="E159" i="17"/>
  <c r="F159" i="17"/>
  <c r="E229" i="17"/>
  <c r="D168" i="18"/>
  <c r="C222" i="18"/>
  <c r="C246" i="18" s="1"/>
  <c r="C54" i="22"/>
  <c r="C46" i="22"/>
  <c r="C40" i="22"/>
  <c r="E166" i="8"/>
  <c r="E119" i="10"/>
  <c r="E73" i="11"/>
  <c r="E124" i="17"/>
  <c r="D278" i="17"/>
  <c r="D288" i="17" s="1"/>
  <c r="D215" i="17"/>
  <c r="F285" i="17"/>
  <c r="C189" i="18"/>
  <c r="C261" i="18"/>
  <c r="D210" i="18"/>
  <c r="E205" i="18"/>
  <c r="C330" i="18"/>
  <c r="E330" i="18" s="1"/>
  <c r="E326" i="18"/>
  <c r="E198" i="9"/>
  <c r="F198" i="9" s="1"/>
  <c r="C33" i="14"/>
  <c r="C36" i="14" s="1"/>
  <c r="C38" i="14" s="1"/>
  <c r="C40" i="14" s="1"/>
  <c r="E189" i="17"/>
  <c r="F189" i="17" s="1"/>
  <c r="D29" i="22"/>
  <c r="D110" i="22"/>
  <c r="D53" i="22"/>
  <c r="F88" i="6"/>
  <c r="E124" i="6"/>
  <c r="F124" i="6"/>
  <c r="F141" i="9"/>
  <c r="C160" i="17"/>
  <c r="C90" i="17"/>
  <c r="C281" i="17"/>
  <c r="E23" i="22"/>
  <c r="E22" i="22"/>
  <c r="E33" i="22"/>
  <c r="D108" i="22"/>
  <c r="D109" i="22"/>
  <c r="F47" i="17"/>
  <c r="E122" i="10"/>
  <c r="F41" i="5"/>
  <c r="E72" i="10"/>
  <c r="E113" i="10"/>
  <c r="E47" i="17"/>
  <c r="D48" i="17"/>
  <c r="D160" i="17" s="1"/>
  <c r="E41" i="18"/>
  <c r="E261" i="17"/>
  <c r="F261" i="17" s="1"/>
  <c r="C272" i="17"/>
  <c r="E269" i="17"/>
  <c r="F269" i="17" s="1"/>
  <c r="D65" i="18"/>
  <c r="D208" i="9"/>
  <c r="E208" i="9" s="1"/>
  <c r="F208" i="9" s="1"/>
  <c r="F165" i="17"/>
  <c r="D172" i="17"/>
  <c r="D173" i="17" s="1"/>
  <c r="E173" i="17" s="1"/>
  <c r="F173" i="17" s="1"/>
  <c r="D206" i="17"/>
  <c r="D214" i="17"/>
  <c r="D254" i="17" s="1"/>
  <c r="E188" i="17"/>
  <c r="F188" i="17" s="1"/>
  <c r="D274" i="17"/>
  <c r="E274" i="17" s="1"/>
  <c r="E198" i="17"/>
  <c r="F198" i="17" s="1"/>
  <c r="F223" i="17"/>
  <c r="F45" i="20"/>
  <c r="E40" i="20"/>
  <c r="E44" i="6"/>
  <c r="C15" i="8"/>
  <c r="C24" i="8" s="1"/>
  <c r="C25" i="8"/>
  <c r="C27" i="8" s="1"/>
  <c r="C21" i="8" s="1"/>
  <c r="E62" i="9"/>
  <c r="E41" i="11"/>
  <c r="F41" i="11" s="1"/>
  <c r="E42" i="13"/>
  <c r="D71" i="8"/>
  <c r="E277" i="17"/>
  <c r="F277" i="17" s="1"/>
  <c r="E285" i="17"/>
  <c r="E48" i="10"/>
  <c r="F95" i="10"/>
  <c r="E95" i="10"/>
  <c r="C61" i="13"/>
  <c r="C57" i="13" s="1"/>
  <c r="D104" i="17"/>
  <c r="F191" i="17"/>
  <c r="C200" i="17"/>
  <c r="E38" i="18"/>
  <c r="C242" i="18"/>
  <c r="E242" i="18" s="1"/>
  <c r="C217" i="18"/>
  <c r="C241" i="18" s="1"/>
  <c r="E231" i="18"/>
  <c r="C252" i="18"/>
  <c r="D41" i="20"/>
  <c r="E36" i="20"/>
  <c r="F36" i="20" s="1"/>
  <c r="C69" i="13"/>
  <c r="F94" i="6"/>
  <c r="E79" i="8"/>
  <c r="F115" i="9"/>
  <c r="E31" i="14"/>
  <c r="E33" i="14"/>
  <c r="E36" i="14" s="1"/>
  <c r="E38" i="14" s="1"/>
  <c r="E40" i="14" s="1"/>
  <c r="C37" i="17"/>
  <c r="F37" i="17" s="1"/>
  <c r="F164" i="17"/>
  <c r="C22" i="18"/>
  <c r="E158" i="17"/>
  <c r="F158" i="17" s="1"/>
  <c r="E103" i="17"/>
  <c r="F103" i="17" s="1"/>
  <c r="F46" i="6"/>
  <c r="F91" i="6"/>
  <c r="E115" i="9"/>
  <c r="E118" i="10"/>
  <c r="E80" i="13"/>
  <c r="E77" i="13" s="1"/>
  <c r="E35" i="17"/>
  <c r="F35" i="17" s="1"/>
  <c r="D137" i="17"/>
  <c r="E136" i="17"/>
  <c r="F136" i="17" s="1"/>
  <c r="E311" i="17"/>
  <c r="E174" i="18"/>
  <c r="E121" i="7"/>
  <c r="F121" i="7" s="1"/>
  <c r="E102" i="9"/>
  <c r="F102" i="9" s="1"/>
  <c r="E153" i="9"/>
  <c r="E167" i="9"/>
  <c r="E180" i="9"/>
  <c r="E36" i="10"/>
  <c r="E135" i="17"/>
  <c r="F135" i="17" s="1"/>
  <c r="C288" i="17"/>
  <c r="E296" i="17"/>
  <c r="F296" i="17" s="1"/>
  <c r="E177" i="18"/>
  <c r="C37" i="19"/>
  <c r="C38" i="19" s="1"/>
  <c r="C127" i="19" s="1"/>
  <c r="C129" i="19" s="1"/>
  <c r="C133" i="19" s="1"/>
  <c r="C46" i="20"/>
  <c r="F46" i="20" s="1"/>
  <c r="D49" i="8"/>
  <c r="C22" i="19"/>
  <c r="E88" i="6"/>
  <c r="D90" i="8"/>
  <c r="D86" i="8" s="1"/>
  <c r="D149" i="8"/>
  <c r="D136" i="8" s="1"/>
  <c r="F88" i="9"/>
  <c r="E205" i="9"/>
  <c r="F205" i="9" s="1"/>
  <c r="E83" i="10"/>
  <c r="E117" i="10"/>
  <c r="C42" i="13"/>
  <c r="D50" i="13"/>
  <c r="C111" i="17"/>
  <c r="E129" i="17"/>
  <c r="F129" i="17" s="1"/>
  <c r="E39" i="18"/>
  <c r="E230" i="18"/>
  <c r="E282" i="18"/>
  <c r="E290" i="18"/>
  <c r="D46" i="20"/>
  <c r="E41" i="6"/>
  <c r="F41" i="6" s="1"/>
  <c r="E51" i="6"/>
  <c r="F51" i="6" s="1"/>
  <c r="E92" i="6"/>
  <c r="F92" i="6" s="1"/>
  <c r="D188" i="7"/>
  <c r="E23" i="9"/>
  <c r="F23" i="9" s="1"/>
  <c r="E35" i="10"/>
  <c r="F73" i="15"/>
  <c r="E75" i="15"/>
  <c r="F75" i="15" s="1"/>
  <c r="E74" i="18"/>
  <c r="E166" i="18"/>
  <c r="E227" i="18"/>
  <c r="E262" i="18"/>
  <c r="E277" i="18"/>
  <c r="E280" i="18"/>
  <c r="E292" i="18"/>
  <c r="E324" i="18"/>
  <c r="E43" i="6"/>
  <c r="F43" i="6" s="1"/>
  <c r="E46" i="6"/>
  <c r="E87" i="6"/>
  <c r="E90" i="6"/>
  <c r="F90" i="6" s="1"/>
  <c r="E71" i="10"/>
  <c r="E116" i="10"/>
  <c r="E50" i="13"/>
  <c r="E55" i="15"/>
  <c r="F55" i="15" s="1"/>
  <c r="D68" i="17"/>
  <c r="E173" i="18"/>
  <c r="E264" i="17"/>
  <c r="F264" i="17"/>
  <c r="C300" i="17"/>
  <c r="C265" i="17"/>
  <c r="E21" i="17"/>
  <c r="F21" i="17" s="1"/>
  <c r="D161" i="17"/>
  <c r="D126" i="17"/>
  <c r="E36" i="22"/>
  <c r="E30" i="22"/>
  <c r="E111" i="22"/>
  <c r="E54" i="22"/>
  <c r="D154" i="8"/>
  <c r="D152" i="8"/>
  <c r="D155" i="8"/>
  <c r="D157" i="8"/>
  <c r="C61" i="17"/>
  <c r="E60" i="17"/>
  <c r="F60" i="17" s="1"/>
  <c r="D192" i="17"/>
  <c r="E123" i="17"/>
  <c r="F123" i="17" s="1"/>
  <c r="D146" i="17"/>
  <c r="E146" i="17" s="1"/>
  <c r="F146" i="17" s="1"/>
  <c r="E144" i="17"/>
  <c r="F144" i="17" s="1"/>
  <c r="D189" i="18"/>
  <c r="D261" i="18"/>
  <c r="E261" i="18" s="1"/>
  <c r="E188" i="18"/>
  <c r="E108" i="22"/>
  <c r="E109" i="22"/>
  <c r="E294" i="17"/>
  <c r="F294" i="17" s="1"/>
  <c r="F39" i="20"/>
  <c r="E41" i="20"/>
  <c r="F166" i="6"/>
  <c r="E90" i="7"/>
  <c r="F90" i="7" s="1"/>
  <c r="C95" i="7"/>
  <c r="E183" i="7"/>
  <c r="F183" i="7" s="1"/>
  <c r="C188" i="7"/>
  <c r="F112" i="10"/>
  <c r="E112" i="10"/>
  <c r="C121" i="10"/>
  <c r="F121" i="10" s="1"/>
  <c r="E40" i="12"/>
  <c r="F40" i="12" s="1"/>
  <c r="E298" i="17"/>
  <c r="F298" i="17" s="1"/>
  <c r="C98" i="22"/>
  <c r="C127" i="18"/>
  <c r="D153" i="8"/>
  <c r="E15" i="12"/>
  <c r="F15" i="12" s="1"/>
  <c r="D268" i="17"/>
  <c r="E65" i="18"/>
  <c r="C66" i="18"/>
  <c r="E61" i="4"/>
  <c r="F61" i="4" s="1"/>
  <c r="D65" i="4"/>
  <c r="E37" i="18"/>
  <c r="C43" i="18"/>
  <c r="C144" i="18"/>
  <c r="C175" i="18"/>
  <c r="E175" i="18" s="1"/>
  <c r="C163" i="18"/>
  <c r="E163" i="18" s="1"/>
  <c r="E139" i="18"/>
  <c r="E151" i="18"/>
  <c r="C156" i="18"/>
  <c r="E280" i="17"/>
  <c r="F280" i="17" s="1"/>
  <c r="D156" i="8"/>
  <c r="E17" i="12"/>
  <c r="F17" i="12" s="1"/>
  <c r="C20" i="13"/>
  <c r="F32" i="17"/>
  <c r="C105" i="17"/>
  <c r="E35" i="22"/>
  <c r="E53" i="22"/>
  <c r="E45" i="22"/>
  <c r="E16" i="5"/>
  <c r="F16" i="5"/>
  <c r="C18" i="5"/>
  <c r="D52" i="6"/>
  <c r="E52" i="6" s="1"/>
  <c r="E48" i="6"/>
  <c r="F48" i="6" s="1"/>
  <c r="C57" i="8"/>
  <c r="C62" i="8" s="1"/>
  <c r="C53" i="8"/>
  <c r="C49" i="8"/>
  <c r="C43" i="8"/>
  <c r="F154" i="9"/>
  <c r="E154" i="9"/>
  <c r="E24" i="10"/>
  <c r="C245" i="18"/>
  <c r="E245" i="18" s="1"/>
  <c r="C253" i="18"/>
  <c r="E221" i="18"/>
  <c r="C39" i="22"/>
  <c r="C35" i="22"/>
  <c r="C53" i="22"/>
  <c r="C110" i="22"/>
  <c r="E85" i="6"/>
  <c r="F85" i="6" s="1"/>
  <c r="F33" i="14"/>
  <c r="F31" i="14"/>
  <c r="H31" i="14" s="1"/>
  <c r="H17" i="14"/>
  <c r="E109" i="17"/>
  <c r="F109" i="17" s="1"/>
  <c r="D111" i="17"/>
  <c r="E111" i="17" s="1"/>
  <c r="F111" i="17" s="1"/>
  <c r="C207" i="17"/>
  <c r="C205" i="17"/>
  <c r="C283" i="17"/>
  <c r="C287" i="17" s="1"/>
  <c r="E203" i="17"/>
  <c r="F203" i="17" s="1"/>
  <c r="C254" i="17"/>
  <c r="C267" i="17"/>
  <c r="C214" i="17"/>
  <c r="C108" i="22"/>
  <c r="C109" i="22"/>
  <c r="C101" i="22"/>
  <c r="C102" i="22"/>
  <c r="D304" i="17"/>
  <c r="E40" i="22"/>
  <c r="C206" i="17"/>
  <c r="F124" i="17"/>
  <c r="E181" i="17"/>
  <c r="F181" i="17" s="1"/>
  <c r="E29" i="4"/>
  <c r="F29" i="4" s="1"/>
  <c r="C135" i="8"/>
  <c r="C138" i="8"/>
  <c r="C140" i="8"/>
  <c r="C136" i="8"/>
  <c r="D135" i="8"/>
  <c r="D140" i="8"/>
  <c r="D139" i="8"/>
  <c r="D137" i="8"/>
  <c r="D138" i="8"/>
  <c r="D34" i="12"/>
  <c r="G31" i="14"/>
  <c r="I31" i="14" s="1"/>
  <c r="G33" i="14"/>
  <c r="F30" i="15"/>
  <c r="E30" i="15"/>
  <c r="D89" i="17"/>
  <c r="E88" i="17"/>
  <c r="F88" i="17" s="1"/>
  <c r="E100" i="17"/>
  <c r="F100" i="17"/>
  <c r="E130" i="17"/>
  <c r="F130" i="17" s="1"/>
  <c r="C306" i="17"/>
  <c r="E250" i="17"/>
  <c r="F250" i="17" s="1"/>
  <c r="C122" i="18"/>
  <c r="C121" i="18"/>
  <c r="C115" i="18"/>
  <c r="C114" i="18"/>
  <c r="C116" i="18" s="1"/>
  <c r="C117" i="18" s="1"/>
  <c r="C123" i="18"/>
  <c r="C126" i="18"/>
  <c r="C112" i="18"/>
  <c r="C111" i="18"/>
  <c r="E46" i="22"/>
  <c r="D41" i="4"/>
  <c r="E41" i="4" s="1"/>
  <c r="F41" i="4" s="1"/>
  <c r="E38" i="4"/>
  <c r="F38" i="4" s="1"/>
  <c r="F89" i="6"/>
  <c r="D279" i="17"/>
  <c r="E279" i="17" s="1"/>
  <c r="D20" i="20"/>
  <c r="E20" i="20" s="1"/>
  <c r="F20" i="20" s="1"/>
  <c r="E19" i="20"/>
  <c r="F19" i="20" s="1"/>
  <c r="E105" i="17"/>
  <c r="C125" i="17"/>
  <c r="C29" i="22"/>
  <c r="C137" i="8"/>
  <c r="C284" i="17"/>
  <c r="C279" i="17"/>
  <c r="E48" i="5"/>
  <c r="F48" i="5" s="1"/>
  <c r="F81" i="6"/>
  <c r="E98" i="8"/>
  <c r="C207" i="9"/>
  <c r="E207" i="9" s="1"/>
  <c r="E200" i="9"/>
  <c r="F200" i="9" s="1"/>
  <c r="F47" i="10"/>
  <c r="E47" i="10"/>
  <c r="D243" i="18"/>
  <c r="E219" i="18"/>
  <c r="D217" i="18"/>
  <c r="D222" i="18"/>
  <c r="C316" i="18"/>
  <c r="E314" i="18"/>
  <c r="C49" i="19"/>
  <c r="C64" i="19"/>
  <c r="C65" i="19" s="1"/>
  <c r="C114" i="19" s="1"/>
  <c r="C116" i="19" s="1"/>
  <c r="C119" i="19" s="1"/>
  <c r="C123" i="19" s="1"/>
  <c r="C49" i="17"/>
  <c r="D145" i="18"/>
  <c r="E144" i="18"/>
  <c r="D21" i="5"/>
  <c r="E137" i="6"/>
  <c r="F137" i="6" s="1"/>
  <c r="E149" i="8"/>
  <c r="E25" i="13"/>
  <c r="E27" i="13" s="1"/>
  <c r="E15" i="13"/>
  <c r="F92" i="15"/>
  <c r="F21" i="16"/>
  <c r="E238" i="17"/>
  <c r="F238" i="17" s="1"/>
  <c r="E54" i="18"/>
  <c r="D283" i="18"/>
  <c r="E283" i="18" s="1"/>
  <c r="D55" i="18"/>
  <c r="D234" i="18"/>
  <c r="E234" i="18" s="1"/>
  <c r="E276" i="18"/>
  <c r="F200" i="17"/>
  <c r="C235" i="18"/>
  <c r="C52" i="6"/>
  <c r="F44" i="6"/>
  <c r="E93" i="6"/>
  <c r="E157" i="8"/>
  <c r="E152" i="8"/>
  <c r="E155" i="8"/>
  <c r="C166" i="8"/>
  <c r="F70" i="15"/>
  <c r="E92" i="15"/>
  <c r="D200" i="17"/>
  <c r="E200" i="17" s="1"/>
  <c r="D199" i="17"/>
  <c r="E199" i="17" s="1"/>
  <c r="F199" i="17" s="1"/>
  <c r="D175" i="17"/>
  <c r="D62" i="17"/>
  <c r="C36" i="22"/>
  <c r="C30" i="22"/>
  <c r="C111" i="22"/>
  <c r="E59" i="7"/>
  <c r="F59" i="7"/>
  <c r="E100" i="15"/>
  <c r="F100" i="15" s="1"/>
  <c r="C195" i="17"/>
  <c r="D190" i="17"/>
  <c r="E190" i="17" s="1"/>
  <c r="F190" i="17" s="1"/>
  <c r="D262" i="17"/>
  <c r="C33" i="18"/>
  <c r="C294" i="18"/>
  <c r="D174" i="17"/>
  <c r="E32" i="17"/>
  <c r="C91" i="17"/>
  <c r="E48" i="17"/>
  <c r="F48" i="17" s="1"/>
  <c r="C75" i="11"/>
  <c r="E32" i="18"/>
  <c r="C95" i="6"/>
  <c r="D21" i="8"/>
  <c r="D20" i="8"/>
  <c r="E53" i="8"/>
  <c r="E43" i="8"/>
  <c r="E57" i="8"/>
  <c r="E62" i="8" s="1"/>
  <c r="C20" i="12"/>
  <c r="F23" i="15"/>
  <c r="F45" i="15"/>
  <c r="F67" i="17"/>
  <c r="E70" i="18"/>
  <c r="D76" i="18"/>
  <c r="F274" i="17"/>
  <c r="D284" i="17"/>
  <c r="D286" i="17"/>
  <c r="E56" i="4"/>
  <c r="F56" i="4" s="1"/>
  <c r="E206" i="9"/>
  <c r="F206" i="9" s="1"/>
  <c r="D75" i="11"/>
  <c r="E65" i="11"/>
  <c r="F65" i="11" s="1"/>
  <c r="C68" i="17"/>
  <c r="E172" i="17"/>
  <c r="F172" i="17" s="1"/>
  <c r="E161" i="18"/>
  <c r="E240" i="18"/>
  <c r="D253" i="18"/>
  <c r="C41" i="20"/>
  <c r="F40" i="20"/>
  <c r="D23" i="22"/>
  <c r="D33" i="22"/>
  <c r="D34" i="22"/>
  <c r="D95" i="6"/>
  <c r="F24" i="7"/>
  <c r="E204" i="9"/>
  <c r="F204" i="9" s="1"/>
  <c r="F58" i="15"/>
  <c r="E60" i="15"/>
  <c r="F60" i="15" s="1"/>
  <c r="F44" i="17"/>
  <c r="E53" i="17"/>
  <c r="F53" i="17" s="1"/>
  <c r="E179" i="17"/>
  <c r="F179" i="17" s="1"/>
  <c r="C255" i="17"/>
  <c r="E227" i="17"/>
  <c r="F227" i="17"/>
  <c r="F16" i="20"/>
  <c r="E25" i="20"/>
  <c r="F25" i="20" s="1"/>
  <c r="F22" i="20"/>
  <c r="E49" i="9"/>
  <c r="F49" i="9" s="1"/>
  <c r="F128" i="9"/>
  <c r="E20" i="17"/>
  <c r="F20" i="17" s="1"/>
  <c r="F41" i="7"/>
  <c r="E24" i="9"/>
  <c r="F24" i="9" s="1"/>
  <c r="F47" i="12"/>
  <c r="F36" i="17"/>
  <c r="E75" i="9"/>
  <c r="F75" i="9" s="1"/>
  <c r="E166" i="9"/>
  <c r="D43" i="11"/>
  <c r="E43" i="11" s="1"/>
  <c r="F43" i="11" s="1"/>
  <c r="D27" i="13"/>
  <c r="E21" i="16"/>
  <c r="F23" i="17"/>
  <c r="E291" i="18"/>
  <c r="F44" i="20"/>
  <c r="D102" i="22"/>
  <c r="D101" i="22"/>
  <c r="D95" i="7"/>
  <c r="E50" i="9"/>
  <c r="F50" i="9" s="1"/>
  <c r="F16" i="15"/>
  <c r="E37" i="15"/>
  <c r="F37" i="15" s="1"/>
  <c r="F107" i="15"/>
  <c r="F58" i="17"/>
  <c r="C239" i="17"/>
  <c r="E101" i="22"/>
  <c r="E103" i="22" s="1"/>
  <c r="E114" i="10"/>
  <c r="F229" i="17"/>
  <c r="D43" i="18"/>
  <c r="E40" i="18"/>
  <c r="E98" i="22"/>
  <c r="F202" i="9"/>
  <c r="E17" i="17"/>
  <c r="F17" i="17" s="1"/>
  <c r="D205" i="17"/>
  <c r="E205" i="17" s="1"/>
  <c r="E176" i="18"/>
  <c r="E179" i="18"/>
  <c r="F21" i="21"/>
  <c r="C93" i="22"/>
  <c r="E160" i="17" l="1"/>
  <c r="F160" i="17"/>
  <c r="D255" i="17"/>
  <c r="E255" i="17" s="1"/>
  <c r="F255" i="17" s="1"/>
  <c r="E215" i="17"/>
  <c r="F215" i="17" s="1"/>
  <c r="E75" i="11"/>
  <c r="F75" i="11" s="1"/>
  <c r="C129" i="18"/>
  <c r="C131" i="18" s="1"/>
  <c r="E95" i="7"/>
  <c r="C128" i="18"/>
  <c r="C254" i="18"/>
  <c r="C284" i="18"/>
  <c r="E22" i="18"/>
  <c r="C20" i="8"/>
  <c r="E110" i="22"/>
  <c r="E29" i="22"/>
  <c r="D103" i="22"/>
  <c r="E253" i="18"/>
  <c r="C223" i="18"/>
  <c r="E39" i="22"/>
  <c r="C323" i="17"/>
  <c r="C17" i="8"/>
  <c r="C28" i="8" s="1"/>
  <c r="E189" i="18"/>
  <c r="D24" i="13"/>
  <c r="D17" i="13"/>
  <c r="D28" i="13" s="1"/>
  <c r="D70" i="13" s="1"/>
  <c r="D72" i="13" s="1"/>
  <c r="D69" i="13" s="1"/>
  <c r="D207" i="17"/>
  <c r="D138" i="17"/>
  <c r="D300" i="17"/>
  <c r="E300" i="17" s="1"/>
  <c r="F300" i="17" s="1"/>
  <c r="D294" i="18"/>
  <c r="E294" i="18" s="1"/>
  <c r="D66" i="18"/>
  <c r="D295" i="18" s="1"/>
  <c r="E278" i="17"/>
  <c r="F278" i="17" s="1"/>
  <c r="D141" i="8"/>
  <c r="D216" i="17"/>
  <c r="D49" i="17"/>
  <c r="D211" i="18"/>
  <c r="E210" i="18"/>
  <c r="E303" i="18"/>
  <c r="C306" i="18"/>
  <c r="D125" i="17"/>
  <c r="E125" i="17" s="1"/>
  <c r="E137" i="17"/>
  <c r="F137" i="17" s="1"/>
  <c r="C140" i="17"/>
  <c r="D55" i="22"/>
  <c r="D47" i="22"/>
  <c r="D37" i="22"/>
  <c r="D112" i="22"/>
  <c r="E153" i="8"/>
  <c r="E158" i="8" s="1"/>
  <c r="E156" i="8"/>
  <c r="E154" i="8"/>
  <c r="E156" i="18"/>
  <c r="C157" i="18"/>
  <c r="E157" i="18" s="1"/>
  <c r="E161" i="17"/>
  <c r="F161" i="17" s="1"/>
  <c r="D162" i="17"/>
  <c r="D54" i="22"/>
  <c r="D40" i="22"/>
  <c r="D111" i="22"/>
  <c r="D30" i="22"/>
  <c r="D36" i="22"/>
  <c r="D46" i="22"/>
  <c r="E68" i="17"/>
  <c r="F68" i="17"/>
  <c r="C34" i="12"/>
  <c r="D63" i="17"/>
  <c r="C289" i="17"/>
  <c r="E287" i="17"/>
  <c r="F287" i="17"/>
  <c r="C291" i="17"/>
  <c r="C141" i="17"/>
  <c r="C148" i="17" s="1"/>
  <c r="E284" i="17"/>
  <c r="F284" i="17" s="1"/>
  <c r="D35" i="5"/>
  <c r="D252" i="18"/>
  <c r="E243" i="18"/>
  <c r="E121" i="10"/>
  <c r="E34" i="12"/>
  <c r="D42" i="12"/>
  <c r="C286" i="17"/>
  <c r="E286" i="17" s="1"/>
  <c r="E283" i="17"/>
  <c r="F283" i="17" s="1"/>
  <c r="F239" i="17"/>
  <c r="F41" i="20"/>
  <c r="C247" i="18"/>
  <c r="C103" i="22"/>
  <c r="F188" i="7"/>
  <c r="E188" i="7"/>
  <c r="E262" i="17"/>
  <c r="F262" i="17" s="1"/>
  <c r="D272" i="17"/>
  <c r="E21" i="13"/>
  <c r="C55" i="22"/>
  <c r="C47" i="22"/>
  <c r="C37" i="22"/>
  <c r="C112" i="22"/>
  <c r="E49" i="17"/>
  <c r="D50" i="17"/>
  <c r="E95" i="6"/>
  <c r="F95" i="6" s="1"/>
  <c r="E89" i="17"/>
  <c r="F89" i="17" s="1"/>
  <c r="D90" i="17"/>
  <c r="E90" i="17" s="1"/>
  <c r="F90" i="17" s="1"/>
  <c r="F36" i="14"/>
  <c r="F38" i="14" s="1"/>
  <c r="F40" i="14" s="1"/>
  <c r="H33" i="14"/>
  <c r="H36" i="14" s="1"/>
  <c r="H38" i="14" s="1"/>
  <c r="H40" i="14" s="1"/>
  <c r="D263" i="17"/>
  <c r="E263" i="17" s="1"/>
  <c r="F263" i="17" s="1"/>
  <c r="E254" i="17"/>
  <c r="F254" i="17" s="1"/>
  <c r="C104" i="17"/>
  <c r="F61" i="17"/>
  <c r="C62" i="17"/>
  <c r="E62" i="17" s="1"/>
  <c r="E61" i="17"/>
  <c r="C139" i="17"/>
  <c r="C174" i="17"/>
  <c r="C92" i="17"/>
  <c r="F52" i="6"/>
  <c r="E140" i="8"/>
  <c r="E138" i="8"/>
  <c r="E136" i="8"/>
  <c r="E139" i="8"/>
  <c r="E137" i="8"/>
  <c r="E135" i="8"/>
  <c r="C320" i="18"/>
  <c r="E320" i="18" s="1"/>
  <c r="E316" i="18"/>
  <c r="C216" i="17"/>
  <c r="E216" i="17" s="1"/>
  <c r="E214" i="17"/>
  <c r="F214" i="17" s="1"/>
  <c r="C304" i="17"/>
  <c r="E304" i="17" s="1"/>
  <c r="C208" i="17"/>
  <c r="C209" i="17" s="1"/>
  <c r="C44" i="18"/>
  <c r="C259" i="18"/>
  <c r="C263" i="18" s="1"/>
  <c r="F95" i="7"/>
  <c r="D91" i="17"/>
  <c r="D20" i="13"/>
  <c r="D21" i="13"/>
  <c r="D22" i="13"/>
  <c r="C154" i="8"/>
  <c r="C152" i="8"/>
  <c r="C157" i="8"/>
  <c r="C153" i="8"/>
  <c r="C156" i="8"/>
  <c r="C155" i="8"/>
  <c r="E217" i="18"/>
  <c r="D241" i="18"/>
  <c r="E241" i="18" s="1"/>
  <c r="I33" i="14"/>
  <c r="I36" i="14" s="1"/>
  <c r="I38" i="14" s="1"/>
  <c r="I40" i="14" s="1"/>
  <c r="G36" i="14"/>
  <c r="G38" i="14" s="1"/>
  <c r="G40" i="14" s="1"/>
  <c r="F105" i="17"/>
  <c r="C106" i="17"/>
  <c r="D75" i="4"/>
  <c r="E75" i="4" s="1"/>
  <c r="F75" i="4" s="1"/>
  <c r="E65" i="4"/>
  <c r="F65" i="4" s="1"/>
  <c r="F207" i="9"/>
  <c r="C21" i="5"/>
  <c r="E21" i="5" s="1"/>
  <c r="D158" i="8"/>
  <c r="C295" i="18"/>
  <c r="E175" i="17"/>
  <c r="F175" i="17" s="1"/>
  <c r="D176" i="17"/>
  <c r="E176" i="17" s="1"/>
  <c r="F176" i="17" s="1"/>
  <c r="E17" i="13"/>
  <c r="E28" i="13" s="1"/>
  <c r="E70" i="13" s="1"/>
  <c r="E72" i="13" s="1"/>
  <c r="E69" i="13" s="1"/>
  <c r="E24" i="13"/>
  <c r="E20" i="13" s="1"/>
  <c r="E18" i="5"/>
  <c r="F18" i="5" s="1"/>
  <c r="E33" i="18"/>
  <c r="E20" i="12"/>
  <c r="F20" i="12" s="1"/>
  <c r="E206" i="17"/>
  <c r="F206" i="17" s="1"/>
  <c r="F205" i="17"/>
  <c r="D193" i="17"/>
  <c r="E192" i="17"/>
  <c r="F192" i="17" s="1"/>
  <c r="E76" i="18"/>
  <c r="D77" i="18"/>
  <c r="D284" i="18"/>
  <c r="E55" i="18"/>
  <c r="E288" i="17"/>
  <c r="F288" i="17" s="1"/>
  <c r="D291" i="17"/>
  <c r="D289" i="17"/>
  <c r="E289" i="17" s="1"/>
  <c r="C141" i="8"/>
  <c r="C113" i="22"/>
  <c r="C38" i="22"/>
  <c r="C56" i="22"/>
  <c r="C48" i="22"/>
  <c r="D181" i="18"/>
  <c r="D169" i="18"/>
  <c r="D43" i="4"/>
  <c r="E43" i="4" s="1"/>
  <c r="F43" i="4" s="1"/>
  <c r="C180" i="18"/>
  <c r="E180" i="18" s="1"/>
  <c r="C168" i="18"/>
  <c r="E168" i="18" s="1"/>
  <c r="C145" i="18"/>
  <c r="D44" i="18"/>
  <c r="D259" i="18"/>
  <c r="E43" i="18"/>
  <c r="C50" i="17"/>
  <c r="F49" i="17"/>
  <c r="E222" i="18"/>
  <c r="D246" i="18"/>
  <c r="E246" i="18" s="1"/>
  <c r="D223" i="18"/>
  <c r="F279" i="17"/>
  <c r="F125" i="17"/>
  <c r="E306" i="17"/>
  <c r="E267" i="17"/>
  <c r="F267" i="17" s="1"/>
  <c r="C268" i="17"/>
  <c r="C270" i="17"/>
  <c r="C271" i="17"/>
  <c r="E239" i="17"/>
  <c r="E113" i="22"/>
  <c r="E56" i="22"/>
  <c r="E38" i="22"/>
  <c r="E48" i="22"/>
  <c r="C197" i="17"/>
  <c r="D127" i="17"/>
  <c r="E126" i="17"/>
  <c r="F126" i="17" s="1"/>
  <c r="E306" i="18" l="1"/>
  <c r="C310" i="18"/>
  <c r="E310" i="18" s="1"/>
  <c r="C112" i="8"/>
  <c r="C111" i="8" s="1"/>
  <c r="D235" i="18"/>
  <c r="E235" i="18" s="1"/>
  <c r="E211" i="18"/>
  <c r="D139" i="17"/>
  <c r="E138" i="17"/>
  <c r="F138" i="17" s="1"/>
  <c r="D140" i="17"/>
  <c r="E207" i="17"/>
  <c r="F207" i="17" s="1"/>
  <c r="D208" i="17"/>
  <c r="E284" i="18"/>
  <c r="E295" i="18"/>
  <c r="E66" i="18"/>
  <c r="E55" i="22"/>
  <c r="E112" i="22"/>
  <c r="E47" i="22"/>
  <c r="E37" i="22"/>
  <c r="D263" i="18"/>
  <c r="E263" i="18" s="1"/>
  <c r="E259" i="18"/>
  <c r="E91" i="17"/>
  <c r="F91" i="17" s="1"/>
  <c r="D92" i="17"/>
  <c r="E139" i="17"/>
  <c r="F139" i="17" s="1"/>
  <c r="E252" i="18"/>
  <c r="D254" i="18"/>
  <c r="E254" i="18" s="1"/>
  <c r="C273" i="17"/>
  <c r="E271" i="17"/>
  <c r="F271" i="17" s="1"/>
  <c r="D96" i="18"/>
  <c r="D95" i="18"/>
  <c r="D258" i="18"/>
  <c r="D99" i="18"/>
  <c r="D100" i="18"/>
  <c r="D97" i="18"/>
  <c r="D86" i="18"/>
  <c r="D85" i="18"/>
  <c r="D83" i="18"/>
  <c r="D101" i="18"/>
  <c r="E44" i="18"/>
  <c r="D98" i="18"/>
  <c r="D88" i="18"/>
  <c r="D84" i="18"/>
  <c r="D89" i="18"/>
  <c r="D87" i="18"/>
  <c r="D305" i="17"/>
  <c r="E291" i="17"/>
  <c r="F291" i="17" s="1"/>
  <c r="E272" i="17"/>
  <c r="F272" i="17" s="1"/>
  <c r="D273" i="17"/>
  <c r="E273" i="17" s="1"/>
  <c r="D43" i="5"/>
  <c r="C305" i="17"/>
  <c r="D183" i="17"/>
  <c r="E183" i="17" s="1"/>
  <c r="F183" i="17" s="1"/>
  <c r="D323" i="17"/>
  <c r="E323" i="17" s="1"/>
  <c r="F323" i="17" s="1"/>
  <c r="E162" i="17"/>
  <c r="F162" i="17" s="1"/>
  <c r="E270" i="17"/>
  <c r="F270" i="17" s="1"/>
  <c r="D247" i="18"/>
  <c r="E247" i="18" s="1"/>
  <c r="E223" i="18"/>
  <c r="C169" i="18"/>
  <c r="C181" i="18"/>
  <c r="E181" i="18" s="1"/>
  <c r="D282" i="17"/>
  <c r="D194" i="17"/>
  <c r="E193" i="17"/>
  <c r="F193" i="17" s="1"/>
  <c r="D266" i="17"/>
  <c r="C99" i="8"/>
  <c r="C101" i="8" s="1"/>
  <c r="C98" i="8" s="1"/>
  <c r="C22" i="8"/>
  <c r="C158" i="8"/>
  <c r="F216" i="17"/>
  <c r="F62" i="17"/>
  <c r="C63" i="17"/>
  <c r="C70" i="17" s="1"/>
  <c r="C99" i="18"/>
  <c r="C96" i="18"/>
  <c r="C101" i="18"/>
  <c r="C89" i="18"/>
  <c r="C97" i="18"/>
  <c r="C87" i="18"/>
  <c r="C84" i="18"/>
  <c r="C258" i="18"/>
  <c r="C83" i="18"/>
  <c r="C86" i="18"/>
  <c r="C100" i="18"/>
  <c r="C95" i="18"/>
  <c r="C98" i="18"/>
  <c r="C85" i="18"/>
  <c r="C88" i="18"/>
  <c r="F286" i="17"/>
  <c r="C210" i="17"/>
  <c r="F21" i="5"/>
  <c r="C35" i="5"/>
  <c r="D49" i="12"/>
  <c r="F289" i="17"/>
  <c r="E106" i="17"/>
  <c r="F106" i="17" s="1"/>
  <c r="E141" i="8"/>
  <c r="E104" i="17"/>
  <c r="F104" i="17"/>
  <c r="D56" i="22"/>
  <c r="D38" i="22"/>
  <c r="D113" i="22"/>
  <c r="D48" i="22"/>
  <c r="E127" i="17"/>
  <c r="F127" i="17" s="1"/>
  <c r="E145" i="18"/>
  <c r="E268" i="17"/>
  <c r="F268" i="17" s="1"/>
  <c r="D121" i="18"/>
  <c r="D122" i="18"/>
  <c r="D114" i="18"/>
  <c r="E114" i="18" s="1"/>
  <c r="D115" i="18"/>
  <c r="E115" i="18" s="1"/>
  <c r="D110" i="18"/>
  <c r="D109" i="18"/>
  <c r="E77" i="18"/>
  <c r="D127" i="18"/>
  <c r="E127" i="18" s="1"/>
  <c r="D124" i="18"/>
  <c r="E124" i="18" s="1"/>
  <c r="D111" i="18"/>
  <c r="E111" i="18" s="1"/>
  <c r="D125" i="18"/>
  <c r="E125" i="18" s="1"/>
  <c r="D112" i="18"/>
  <c r="E112" i="18" s="1"/>
  <c r="D126" i="18"/>
  <c r="E126" i="18" s="1"/>
  <c r="D123" i="18"/>
  <c r="E123" i="18" s="1"/>
  <c r="D113" i="18"/>
  <c r="E113" i="18" s="1"/>
  <c r="C113" i="17"/>
  <c r="C324" i="17"/>
  <c r="E50" i="17"/>
  <c r="F50" i="17" s="1"/>
  <c r="D70" i="17"/>
  <c r="E22" i="13"/>
  <c r="E208" i="17"/>
  <c r="F208" i="17" s="1"/>
  <c r="E169" i="18"/>
  <c r="F304" i="17"/>
  <c r="C322" i="17"/>
  <c r="C211" i="17"/>
  <c r="F34" i="12"/>
  <c r="C42" i="12"/>
  <c r="E174" i="17"/>
  <c r="F174" i="17" s="1"/>
  <c r="E101" i="18" l="1"/>
  <c r="E140" i="17"/>
  <c r="F140" i="17" s="1"/>
  <c r="D141" i="17"/>
  <c r="E86" i="18"/>
  <c r="D210" i="17"/>
  <c r="D211" i="17" s="1"/>
  <c r="E211" i="17" s="1"/>
  <c r="F211" i="17" s="1"/>
  <c r="D209" i="17"/>
  <c r="E209" i="17" s="1"/>
  <c r="F209" i="17" s="1"/>
  <c r="E63" i="17"/>
  <c r="F63" i="17" s="1"/>
  <c r="E282" i="17"/>
  <c r="F282" i="17" s="1"/>
  <c r="D281" i="17"/>
  <c r="E281" i="17" s="1"/>
  <c r="F281" i="17" s="1"/>
  <c r="E305" i="17"/>
  <c r="F305" i="17" s="1"/>
  <c r="D309" i="17"/>
  <c r="E96" i="18"/>
  <c r="D102" i="18"/>
  <c r="D103" i="18" s="1"/>
  <c r="E87" i="18"/>
  <c r="C43" i="5"/>
  <c r="E98" i="18"/>
  <c r="E99" i="18"/>
  <c r="C49" i="12"/>
  <c r="C325" i="17"/>
  <c r="D128" i="18"/>
  <c r="E128" i="18" s="1"/>
  <c r="E122" i="18"/>
  <c r="C264" i="18"/>
  <c r="C266" i="18" s="1"/>
  <c r="C267" i="18" s="1"/>
  <c r="E194" i="17"/>
  <c r="F194" i="17" s="1"/>
  <c r="D196" i="17"/>
  <c r="D195" i="17"/>
  <c r="E195" i="17" s="1"/>
  <c r="F195" i="17" s="1"/>
  <c r="E258" i="18"/>
  <c r="D264" i="18"/>
  <c r="E121" i="18"/>
  <c r="D129" i="18"/>
  <c r="E129" i="18" s="1"/>
  <c r="C90" i="18"/>
  <c r="C91" i="18" s="1"/>
  <c r="E95" i="18"/>
  <c r="D113" i="17"/>
  <c r="E113" i="17" s="1"/>
  <c r="F113" i="17" s="1"/>
  <c r="E92" i="17"/>
  <c r="F92" i="17" s="1"/>
  <c r="D324" i="17"/>
  <c r="E85" i="18"/>
  <c r="E109" i="18"/>
  <c r="E89" i="18"/>
  <c r="D116" i="18"/>
  <c r="E116" i="18" s="1"/>
  <c r="E110" i="18"/>
  <c r="E49" i="12"/>
  <c r="D50" i="5"/>
  <c r="E43" i="5"/>
  <c r="E84" i="18"/>
  <c r="D90" i="18"/>
  <c r="D91" i="18" s="1"/>
  <c r="E97" i="18"/>
  <c r="F273" i="17"/>
  <c r="E83" i="18"/>
  <c r="C309" i="17"/>
  <c r="E70" i="17"/>
  <c r="F70" i="17" s="1"/>
  <c r="E42" i="12"/>
  <c r="F42" i="12" s="1"/>
  <c r="C102" i="18"/>
  <c r="C103" i="18" s="1"/>
  <c r="E266" i="17"/>
  <c r="F266" i="17" s="1"/>
  <c r="D265" i="17"/>
  <c r="E265" i="17" s="1"/>
  <c r="F265" i="17" s="1"/>
  <c r="E35" i="5"/>
  <c r="F35" i="5" s="1"/>
  <c r="E88" i="18"/>
  <c r="E100" i="18"/>
  <c r="E141" i="17" l="1"/>
  <c r="F141" i="17" s="1"/>
  <c r="D322" i="17"/>
  <c r="E322" i="17" s="1"/>
  <c r="F322" i="17" s="1"/>
  <c r="D148" i="17"/>
  <c r="E148" i="17" s="1"/>
  <c r="F148" i="17" s="1"/>
  <c r="E210" i="17"/>
  <c r="F210" i="17" s="1"/>
  <c r="C269" i="18"/>
  <c r="C268" i="18"/>
  <c r="C105" i="18"/>
  <c r="E91" i="18"/>
  <c r="D105" i="18"/>
  <c r="F309" i="17"/>
  <c r="C310" i="17"/>
  <c r="D117" i="18"/>
  <c r="E196" i="17"/>
  <c r="F196" i="17" s="1"/>
  <c r="D197" i="17"/>
  <c r="E197" i="17" s="1"/>
  <c r="F197" i="17" s="1"/>
  <c r="F49" i="12"/>
  <c r="E102" i="18"/>
  <c r="E324" i="17"/>
  <c r="F324" i="17" s="1"/>
  <c r="D325" i="17"/>
  <c r="E325" i="17" s="1"/>
  <c r="F325" i="17" s="1"/>
  <c r="E264" i="18"/>
  <c r="D266" i="18"/>
  <c r="E90" i="18"/>
  <c r="E309" i="17"/>
  <c r="D310" i="17"/>
  <c r="E103" i="18"/>
  <c r="F43" i="5"/>
  <c r="C50" i="5"/>
  <c r="E105" i="18" l="1"/>
  <c r="E117" i="18"/>
  <c r="D131" i="18"/>
  <c r="E131" i="18" s="1"/>
  <c r="C312" i="17"/>
  <c r="C271" i="18"/>
  <c r="E310" i="17"/>
  <c r="F310" i="17" s="1"/>
  <c r="D312" i="17"/>
  <c r="E50" i="5"/>
  <c r="F50" i="5" s="1"/>
  <c r="E266" i="18"/>
  <c r="D267" i="18"/>
  <c r="D269" i="18" l="1"/>
  <c r="E269" i="18" s="1"/>
  <c r="E267" i="18"/>
  <c r="D268" i="18"/>
  <c r="E312" i="17"/>
  <c r="D313" i="17"/>
  <c r="F312" i="17"/>
  <c r="C313" i="17"/>
  <c r="C251" i="17" l="1"/>
  <c r="C315" i="17"/>
  <c r="C314" i="17"/>
  <c r="C256" i="17"/>
  <c r="D271" i="18"/>
  <c r="E271" i="18" s="1"/>
  <c r="E268" i="18"/>
  <c r="E313" i="17"/>
  <c r="F313" i="17" s="1"/>
  <c r="D315" i="17"/>
  <c r="D314" i="17"/>
  <c r="D251" i="17"/>
  <c r="D256" i="17"/>
  <c r="E251" i="17" l="1"/>
  <c r="F251" i="17" s="1"/>
  <c r="E256" i="17"/>
  <c r="D257" i="17"/>
  <c r="E314" i="17"/>
  <c r="F314" i="17" s="1"/>
  <c r="D318" i="17"/>
  <c r="F256" i="17"/>
  <c r="C257" i="17"/>
  <c r="C318" i="17"/>
  <c r="E315" i="17"/>
  <c r="F315" i="17" s="1"/>
  <c r="E318" i="17" l="1"/>
  <c r="F318" i="17" s="1"/>
  <c r="E257" i="17"/>
  <c r="F257" i="17" s="1"/>
</calcChain>
</file>

<file path=xl/sharedStrings.xml><?xml version="1.0" encoding="utf-8"?>
<sst xmlns="http://schemas.openxmlformats.org/spreadsheetml/2006/main" count="2333" uniqueCount="1008">
  <si>
    <t>NORWALK HOSPITAL</t>
  </si>
  <si>
    <t>TWELVE MONTHS ACTUAL FILING</t>
  </si>
  <si>
    <t>FISCAL YEAR 2016</t>
  </si>
  <si>
    <t>REPORT 100 - HOSPITAL BALANCE SHEET INFORMATION</t>
  </si>
  <si>
    <t>FY 2015</t>
  </si>
  <si>
    <t>FY 2016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</si>
  <si>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</si>
  <si>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</si>
  <si>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</si>
  <si>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</si>
  <si>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</si>
  <si>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</si>
  <si>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</si>
  <si>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</si>
  <si>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</si>
  <si>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</si>
  <si>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</si>
  <si>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</si>
  <si>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</si>
  <si>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</si>
  <si>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</si>
  <si>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</si>
  <si>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</si>
  <si>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</si>
  <si>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</si>
  <si>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</si>
  <si>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</si>
  <si>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</si>
  <si>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</si>
  <si>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</si>
  <si>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</si>
  <si>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</si>
  <si>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</si>
  <si>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</si>
  <si>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</si>
  <si>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</si>
  <si>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</si>
  <si>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</si>
  <si>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</si>
  <si>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</si>
  <si>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</si>
  <si>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</si>
  <si>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</si>
  <si>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</si>
  <si>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</si>
  <si>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</si>
  <si>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</si>
  <si>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</si>
  <si>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</si>
  <si>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</si>
  <si>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</si>
  <si>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</si>
  <si>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</si>
  <si>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</si>
  <si>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</si>
  <si>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</si>
  <si>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</si>
  <si>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</si>
  <si>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</si>
  <si>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</si>
  <si>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</si>
  <si>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</si>
  <si>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</si>
  <si>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</si>
  <si>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</si>
  <si>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</si>
  <si>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</si>
  <si>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</si>
  <si>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</si>
  <si>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</si>
  <si>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</si>
  <si>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</si>
  <si>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</si>
  <si>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</si>
  <si>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</si>
  <si>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</si>
  <si>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</si>
  <si>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</si>
  <si>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</si>
  <si>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</si>
  <si>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</si>
  <si>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</si>
  <si>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</si>
  <si>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</si>
  <si>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</si>
  <si>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</si>
  <si>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</si>
  <si>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</si>
  <si>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</si>
  <si>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</si>
  <si>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</si>
  <si>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</si>
  <si>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</si>
  <si>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</si>
  <si>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</si>
  <si>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</si>
  <si>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</si>
  <si>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</si>
  <si>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</si>
  <si>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</si>
  <si>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</si>
  <si>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</si>
  <si>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</si>
  <si>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</si>
  <si>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</si>
  <si>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</si>
  <si>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</si>
  <si>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2015                ACTUAL</t>
  </si>
  <si>
    <t>FY 2016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</si>
  <si>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</si>
  <si>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</si>
  <si>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</si>
  <si>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</si>
  <si>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</si>
  <si>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</si>
  <si>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</si>
  <si>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</si>
  <si>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</si>
  <si>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</si>
  <si>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</si>
  <si>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</si>
  <si>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</si>
  <si>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</si>
  <si>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</si>
  <si>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</si>
  <si>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</si>
  <si>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</si>
  <si>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</si>
  <si>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</si>
  <si>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</si>
  <si>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</si>
  <si>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</si>
  <si>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</si>
  <si>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</si>
  <si>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</si>
  <si>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</si>
  <si>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</si>
  <si>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</si>
  <si>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</si>
  <si>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</si>
  <si>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</si>
  <si>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</si>
  <si>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</si>
  <si>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</si>
  <si>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</si>
  <si>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</si>
  <si>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</si>
  <si>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</si>
  <si>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</si>
  <si>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</si>
  <si>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</si>
  <si>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</si>
  <si>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</si>
  <si>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</si>
  <si>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</si>
  <si>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</si>
  <si>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</si>
  <si>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</si>
  <si>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</si>
  <si>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</si>
  <si>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</si>
  <si>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</si>
  <si>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</si>
  <si>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</si>
  <si>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</si>
  <si>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</si>
  <si>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</si>
  <si>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</si>
  <si>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</si>
  <si>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</si>
  <si>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</si>
  <si>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</si>
  <si>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</si>
  <si>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</si>
  <si>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</si>
  <si>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</si>
  <si>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</si>
  <si>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</si>
  <si>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</si>
  <si>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</si>
  <si>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</si>
  <si>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</si>
  <si>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</si>
  <si>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</si>
  <si>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</si>
  <si>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</si>
  <si>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</si>
  <si>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</si>
  <si>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</si>
  <si>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</si>
  <si>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</si>
  <si>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</si>
  <si>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</si>
  <si>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</si>
  <si>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</si>
  <si>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</si>
  <si>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</si>
  <si>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</si>
  <si>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</si>
  <si>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</si>
  <si>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</si>
  <si>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</si>
  <si>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</si>
  <si>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</si>
  <si>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</si>
  <si>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</si>
  <si>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</si>
  <si>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</si>
  <si>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</si>
  <si>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</si>
  <si>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</si>
  <si>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</si>
  <si>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</si>
  <si>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</si>
  <si>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</si>
  <si>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</si>
  <si>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</si>
  <si>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</si>
  <si>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</si>
  <si>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</si>
  <si>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</si>
  <si>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</si>
  <si>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</si>
  <si>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</si>
  <si>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</si>
  <si>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</si>
  <si>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</si>
  <si>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</si>
  <si>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</si>
  <si>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</si>
  <si>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</si>
  <si>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</si>
  <si>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</si>
  <si>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</si>
  <si>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</si>
  <si>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</si>
  <si>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</si>
  <si>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</si>
  <si>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</si>
  <si>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</si>
  <si>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</si>
  <si>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</si>
  <si>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</si>
  <si>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</si>
  <si>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</si>
  <si>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</si>
  <si>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</si>
  <si>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</si>
  <si>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</si>
  <si>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</si>
  <si>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</si>
  <si>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</si>
  <si>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</si>
  <si>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</si>
  <si>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</si>
  <si>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</si>
  <si>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</si>
  <si>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</si>
  <si>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</si>
  <si>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</si>
  <si>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</si>
  <si>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</si>
  <si>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</si>
  <si>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</si>
  <si>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</si>
  <si>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</si>
  <si>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</si>
  <si>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</si>
  <si>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</si>
  <si>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</si>
  <si>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</si>
  <si>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</si>
  <si>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</si>
  <si>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</si>
  <si>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</si>
  <si>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</si>
  <si>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</si>
  <si>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</si>
  <si>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</si>
  <si>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</si>
  <si>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</si>
  <si>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</si>
  <si>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</si>
  <si>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</si>
  <si>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</si>
  <si>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</si>
  <si>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</si>
  <si>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</si>
  <si>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</si>
  <si>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</si>
  <si>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</si>
  <si>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</si>
  <si>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</si>
  <si>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</si>
  <si>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</si>
  <si>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</si>
  <si>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</si>
  <si>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</si>
  <si>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</si>
  <si>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</si>
  <si>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</si>
  <si>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</si>
  <si>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</si>
  <si>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</si>
  <si>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</si>
  <si>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</si>
  <si>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</si>
  <si>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</si>
  <si>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</si>
  <si>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</si>
  <si>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</si>
  <si>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</si>
  <si>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</si>
  <si>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</si>
  <si>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2016</t>
  </si>
  <si>
    <t>REPORT 185 - HOSPITAL FINANCIAL AND STATISTICAL DATA ANALYSIS</t>
  </si>
  <si>
    <t xml:space="preserve">      FY 2014</t>
  </si>
  <si>
    <t xml:space="preserve">      FY 2015</t>
  </si>
  <si>
    <t xml:space="preserve">      FY 2016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</si>
  <si>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</si>
  <si>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</si>
  <si>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</si>
  <si>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</si>
  <si>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</si>
  <si>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</si>
  <si>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</si>
  <si>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</si>
  <si>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</si>
  <si>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</si>
  <si>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</si>
  <si>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</si>
  <si>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</si>
  <si>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</si>
  <si>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</si>
  <si>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</si>
  <si>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</si>
  <si>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</si>
  <si>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</si>
  <si>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</si>
  <si>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</si>
  <si>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</si>
  <si>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</si>
  <si>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</si>
  <si>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</si>
  <si>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</si>
  <si>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</si>
  <si>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</si>
  <si>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</si>
  <si>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</si>
  <si>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</si>
  <si>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</si>
  <si>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</si>
  <si>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</si>
  <si>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</si>
  <si>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</si>
  <si>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</si>
  <si>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</si>
  <si>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</si>
  <si>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</si>
  <si>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</si>
  <si>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</si>
  <si>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</si>
  <si>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</si>
  <si>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</si>
  <si>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</si>
  <si>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</si>
  <si>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</si>
  <si>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</si>
  <si>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</si>
  <si>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</si>
  <si>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</si>
  <si>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</si>
  <si>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</si>
  <si>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</si>
  <si>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</si>
  <si>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</si>
  <si>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</si>
  <si>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</si>
  <si>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</si>
  <si>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</si>
  <si>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</si>
  <si>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</si>
  <si>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</si>
  <si>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</si>
  <si>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</si>
  <si>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</si>
  <si>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</si>
  <si>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</si>
  <si>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</si>
  <si>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</si>
  <si>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</si>
  <si>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</si>
  <si>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</si>
  <si>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</si>
  <si>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</si>
  <si>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</si>
  <si>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</si>
  <si>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</si>
  <si>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</si>
  <si>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</si>
  <si>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</si>
  <si>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</si>
  <si>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</si>
  <si>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</si>
  <si>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</si>
  <si>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</si>
  <si>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</si>
  <si>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</si>
  <si>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</si>
  <si>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</si>
  <si>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</si>
  <si>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</si>
  <si>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</si>
  <si>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</si>
  <si>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</si>
  <si>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</si>
  <si>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</si>
  <si>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</si>
  <si>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</si>
  <si>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</si>
  <si>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</si>
  <si>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</si>
  <si>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</si>
  <si>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</si>
  <si>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</si>
  <si>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</si>
  <si>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</si>
  <si>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</si>
  <si>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</si>
  <si>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</si>
  <si>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</si>
  <si>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</si>
  <si>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</si>
  <si>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</si>
  <si>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</si>
  <si>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</si>
  <si>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2015 ACTUAL</t>
  </si>
  <si>
    <t>FY 2016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</si>
  <si>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</si>
  <si>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</si>
  <si>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</si>
  <si>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</si>
  <si>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</si>
  <si>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</si>
  <si>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</si>
  <si>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</si>
  <si>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</si>
  <si>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</si>
  <si>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</si>
  <si>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</si>
  <si>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</si>
  <si>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</si>
  <si>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</si>
  <si>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</si>
  <si>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</si>
  <si>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</si>
  <si>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</si>
  <si>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</si>
  <si>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</si>
  <si>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</si>
  <si>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</si>
  <si>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</si>
  <si>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</si>
  <si>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</si>
  <si>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</si>
  <si>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</si>
  <si>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</si>
  <si>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</si>
  <si>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</si>
  <si>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</si>
  <si>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</si>
  <si>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</si>
  <si>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</si>
  <si>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</si>
  <si>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2015 ACTUAL     </t>
  </si>
  <si>
    <t xml:space="preserve">      FY 2016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</si>
  <si>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</si>
  <si>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</si>
  <si>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</si>
  <si>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</si>
  <si>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</si>
  <si>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</si>
  <si>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</si>
  <si>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</si>
  <si>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</si>
  <si>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</si>
  <si>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</si>
  <si>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</si>
  <si>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</si>
  <si>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</si>
  <si>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</si>
  <si>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</si>
  <si>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</si>
  <si>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</si>
  <si>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</si>
  <si>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</si>
  <si>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</si>
  <si>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</si>
  <si>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</si>
  <si>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</si>
  <si>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WESTERN CONNECTICUT HEALTH NETWORK,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</si>
  <si>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</si>
  <si>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</si>
  <si>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</si>
  <si>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</si>
  <si>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2014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</si>
  <si>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</si>
  <si>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</si>
  <si>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</si>
  <si>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</si>
  <si>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</si>
  <si>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</si>
  <si>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</si>
  <si>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</si>
  <si>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</si>
  <si>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</si>
  <si>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</si>
  <si>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</si>
  <si>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</si>
  <si>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</si>
  <si>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</si>
  <si>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</si>
  <si>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</si>
  <si>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</si>
  <si>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</si>
  <si>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</si>
  <si>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</si>
  <si>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</si>
  <si>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</si>
  <si>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</si>
  <si>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</si>
  <si>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</si>
  <si>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</si>
  <si>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</si>
  <si>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</si>
  <si>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</si>
  <si>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</si>
  <si>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</si>
  <si>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</si>
  <si>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</si>
  <si>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</si>
  <si>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</si>
  <si>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</si>
  <si>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</si>
  <si>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</si>
  <si>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</si>
  <si>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</si>
  <si>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</si>
  <si>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</si>
  <si>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</si>
  <si>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</si>
  <si>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</si>
  <si>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</si>
  <si>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</si>
  <si>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</si>
  <si>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</si>
  <si>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</si>
  <si>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</si>
  <si>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</si>
  <si>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</si>
  <si>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</si>
  <si>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</si>
  <si>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</si>
  <si>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</si>
  <si>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</si>
  <si>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</si>
  <si>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</si>
  <si>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</si>
  <si>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</si>
  <si>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</si>
  <si>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</si>
  <si>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</si>
  <si>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</si>
  <si>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</si>
  <si>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</si>
  <si>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</si>
  <si>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</si>
  <si>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</si>
  <si>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</si>
  <si>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</si>
  <si>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</si>
  <si>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</si>
  <si>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</si>
  <si>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</si>
  <si>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</si>
  <si>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</si>
  <si>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</si>
  <si>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</si>
  <si>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</si>
  <si>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</si>
  <si>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</si>
  <si>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</si>
  <si>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</si>
  <si>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</si>
  <si>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</si>
  <si>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</si>
  <si>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</si>
  <si>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</si>
  <si>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</si>
  <si>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</si>
  <si>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</si>
  <si>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</si>
  <si>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</si>
  <si>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</si>
  <si>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</si>
  <si>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</si>
  <si>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</si>
  <si>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</si>
  <si>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</si>
  <si>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</si>
  <si>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</si>
  <si>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</si>
  <si>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</si>
  <si>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</si>
  <si>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</si>
  <si>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</si>
  <si>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</si>
  <si>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</si>
  <si>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</si>
  <si>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</si>
  <si>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</si>
  <si>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Norwalk Hospital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</si>
  <si>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</si>
  <si>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</si>
  <si>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</si>
  <si>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</si>
  <si>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</si>
  <si>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</si>
  <si>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</si>
  <si>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</si>
  <si>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</si>
  <si>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</si>
  <si>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</si>
  <si>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</si>
  <si>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</si>
  <si>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</si>
  <si>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</si>
  <si>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</si>
  <si>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</si>
  <si>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</si>
  <si>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</si>
  <si>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</si>
  <si>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</si>
  <si>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</si>
  <si>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</si>
  <si>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</si>
  <si>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</si>
  <si>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</si>
  <si>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</si>
  <si>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</si>
  <si>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</si>
  <si>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</si>
  <si>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</si>
  <si>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</si>
  <si>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</si>
  <si>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</si>
  <si>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</si>
  <si>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</si>
  <si>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</si>
  <si>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</si>
  <si>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</si>
  <si>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</si>
  <si>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</si>
  <si>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</si>
  <si>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</si>
  <si>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</si>
  <si>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</si>
  <si>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</si>
  <si>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</si>
  <si>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</si>
  <si>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</si>
  <si>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</si>
  <si>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</si>
  <si>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</si>
  <si>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</si>
  <si>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</si>
  <si>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</si>
  <si>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</si>
  <si>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</si>
  <si>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</si>
  <si>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</si>
  <si>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</si>
  <si>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</si>
  <si>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</si>
  <si>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</si>
  <si>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</si>
  <si>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</si>
  <si>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</si>
  <si>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</si>
  <si>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</si>
  <si>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</si>
  <si>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</si>
  <si>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</si>
  <si>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</si>
  <si>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</si>
  <si>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</si>
  <si>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</si>
  <si>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</si>
  <si>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</si>
  <si>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</si>
  <si>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</si>
  <si>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</si>
  <si>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</si>
  <si>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</si>
  <si>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</si>
  <si>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</si>
  <si>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</si>
  <si>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</si>
  <si>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</si>
  <si>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</si>
  <si>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</si>
  <si>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</si>
  <si>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</si>
  <si>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</si>
  <si>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</si>
  <si>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</si>
  <si>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</si>
  <si>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</si>
  <si>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</si>
  <si>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</si>
  <si>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</si>
  <si>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</si>
  <si>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</si>
  <si>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</si>
  <si>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</si>
  <si>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</si>
  <si>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</si>
  <si>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</si>
  <si>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</si>
  <si>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</si>
  <si>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</si>
  <si>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</si>
  <si>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</si>
  <si>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</si>
  <si>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</si>
  <si>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</si>
  <si>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</si>
  <si>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</si>
  <si>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</si>
  <si>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</si>
  <si>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</si>
  <si>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</si>
  <si>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</si>
  <si>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</si>
  <si>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</si>
  <si>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</si>
  <si>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</si>
  <si>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</si>
  <si>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</si>
  <si>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</si>
  <si>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</si>
  <si>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</si>
  <si>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</si>
  <si>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</si>
  <si>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</si>
  <si>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</si>
  <si>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</si>
  <si>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</si>
  <si>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</si>
  <si>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</si>
  <si>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</si>
  <si>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</si>
  <si>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</si>
  <si>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</si>
  <si>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</si>
  <si>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</si>
  <si>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</si>
  <si>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</si>
  <si>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</si>
  <si>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2016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</si>
  <si>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</si>
  <si>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</si>
  <si>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</si>
  <si>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ACTUAL            </t>
    </r>
    <r>
      <rPr>
        <b/>
        <u/>
        <sz val="12"/>
        <rFont val="Arial"/>
        <family val="2"/>
      </rPr>
      <t>FY 2016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</si>
  <si>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</si>
  <si>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</si>
  <si>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</si>
  <si>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</si>
  <si>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</si>
  <si>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</si>
  <si>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</si>
  <si>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</si>
  <si>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</si>
  <si>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</si>
  <si>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</si>
  <si>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</si>
  <si>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</si>
  <si>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</si>
  <si>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</si>
  <si>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</si>
  <si>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</si>
  <si>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</si>
  <si>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</si>
  <si>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</si>
  <si>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</si>
  <si>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</si>
  <si>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</si>
  <si>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</si>
  <si>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</si>
  <si>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</si>
  <si>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</si>
  <si>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</si>
  <si>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</si>
  <si>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</si>
  <si>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</si>
  <si>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</si>
  <si>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</si>
  <si>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</si>
  <si>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</si>
  <si>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</si>
  <si>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</si>
  <si>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</si>
  <si>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</si>
  <si>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</si>
  <si>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</si>
  <si>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</si>
  <si>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</si>
  <si>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</si>
  <si>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</si>
  <si>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</si>
  <si>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</si>
  <si>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</si>
  <si>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</si>
  <si>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</si>
  <si>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</si>
  <si>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</si>
  <si>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</si>
  <si>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</si>
  <si>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</si>
  <si>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</si>
  <si>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</si>
  <si>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</si>
  <si>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</si>
  <si>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</si>
  <si>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</si>
  <si>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</si>
  <si>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</si>
  <si>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</si>
  <si>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</si>
  <si>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</si>
  <si>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</si>
  <si>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</si>
  <si>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</si>
  <si>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</si>
  <si>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</si>
  <si>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</si>
  <si>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</si>
  <si>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</si>
  <si>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</si>
  <si>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</si>
  <si>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</si>
  <si>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</si>
  <si>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</si>
  <si>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</si>
  <si>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</si>
  <si>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</si>
  <si>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</si>
  <si>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</si>
  <si>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</si>
  <si>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</si>
  <si>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</si>
  <si>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</si>
  <si>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</si>
  <si>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</si>
  <si>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</si>
  <si>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</si>
  <si>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</si>
  <si>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</si>
  <si>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</si>
  <si>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</si>
  <si>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</si>
  <si>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2016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</si>
  <si>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</si>
  <si>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</si>
  <si>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</si>
  <si>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</si>
  <si>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</si>
  <si>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</si>
  <si>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</si>
  <si>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</si>
  <si>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</si>
  <si>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</si>
  <si>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</si>
  <si>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</si>
  <si>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</si>
  <si>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</si>
  <si>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</si>
  <si>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</si>
  <si>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</si>
  <si>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</si>
  <si>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</si>
  <si>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</si>
  <si>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</si>
  <si>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</si>
  <si>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</si>
  <si>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</si>
  <si>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</si>
  <si>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</si>
  <si>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</si>
  <si>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</si>
  <si>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</si>
  <si>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</si>
  <si>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</si>
  <si>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</si>
  <si>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</si>
  <si>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</si>
  <si>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</si>
  <si>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</si>
  <si>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</si>
  <si>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</si>
  <si>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</si>
  <si>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</si>
  <si>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</si>
  <si>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</si>
  <si>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</si>
  <si>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</si>
  <si>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</si>
  <si>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</si>
  <si>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</si>
  <si>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</si>
  <si>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</si>
  <si>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</si>
  <si>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</si>
  <si>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</si>
  <si>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</si>
  <si>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</si>
  <si>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</si>
  <si>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</si>
  <si>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</si>
  <si>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r>
      <t xml:space="preserve">ACTUAL          </t>
    </r>
    <r>
      <rPr>
        <b/>
        <u/>
        <sz val="14"/>
        <rFont val="Arial"/>
        <family val="2"/>
      </rPr>
      <t>FY 2016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</si>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</sst>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activeCell="B30" sqref="B30"/>
    </sheetView>
  </sheetViews>
  <sheetFormatPr defaultColWidth="9.109375" defaultRowHeight="24" customHeight="1" x14ac:dyDescent="0.25"/>
  <cols>
    <col min="1" max="1" width="6.6640625" style="1" customWidth="1"/>
    <col min="2" max="2" width="67.6640625" style="1" customWidth="1"/>
    <col min="3" max="4" width="17.6640625" style="1" bestFit="1" customWidth="1"/>
    <col min="5" max="5" width="16.6640625" style="55" customWidth="1"/>
    <col min="6" max="6" width="17.6640625" style="55" customWidth="1"/>
    <col min="7" max="7" width="12.6640625" style="1" customWidth="1"/>
    <col min="8" max="16384" width="9.109375" style="1"/>
  </cols>
  <sheetData>
    <row r="1" spans="1:8" ht="24" customHeight="1" x14ac:dyDescent="0.3">
      <c r="A1" s="763" t="s">
        <v>0</v>
      </c>
      <c r="B1" s="764"/>
      <c r="C1" s="764"/>
      <c r="D1" s="764"/>
      <c r="E1" s="764"/>
      <c r="F1" s="765"/>
    </row>
    <row r="2" spans="1:8" ht="24" customHeight="1" x14ac:dyDescent="0.3">
      <c r="A2" s="763" t="s">
        <v>1</v>
      </c>
      <c r="B2" s="764"/>
      <c r="C2" s="764"/>
      <c r="D2" s="764"/>
      <c r="E2" s="764"/>
      <c r="F2" s="765"/>
    </row>
    <row r="3" spans="1:8" ht="24" customHeight="1" x14ac:dyDescent="0.3">
      <c r="A3" s="763" t="s">
        <v>2</v>
      </c>
      <c r="B3" s="764"/>
      <c r="C3" s="764"/>
      <c r="D3" s="764"/>
      <c r="E3" s="764"/>
      <c r="F3" s="765"/>
    </row>
    <row r="4" spans="1:8" ht="24" customHeight="1" x14ac:dyDescent="0.3">
      <c r="A4" s="763" t="s">
        <v>3</v>
      </c>
      <c r="B4" s="764"/>
      <c r="C4" s="764"/>
      <c r="D4" s="764"/>
      <c r="E4" s="764"/>
      <c r="F4" s="765"/>
    </row>
    <row r="5" spans="1:8" ht="15" customHeight="1" x14ac:dyDescent="0.3">
      <c r="A5" s="2"/>
      <c r="B5" s="2"/>
      <c r="C5" s="2"/>
      <c r="D5" s="2"/>
      <c r="E5" s="3"/>
      <c r="F5" s="4"/>
    </row>
    <row r="6" spans="1:8" s="6" customFormat="1" ht="15.75" customHeight="1" x14ac:dyDescent="0.3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3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3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3">
      <c r="A9" s="12"/>
      <c r="B9" s="15"/>
      <c r="C9" s="12"/>
      <c r="D9" s="12"/>
      <c r="E9" s="10"/>
      <c r="F9" s="10"/>
    </row>
    <row r="10" spans="1:8" s="6" customFormat="1" ht="15.75" customHeight="1" x14ac:dyDescent="0.3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3">
      <c r="A11" s="16"/>
      <c r="B11" s="7"/>
      <c r="C11" s="16"/>
      <c r="D11" s="16"/>
      <c r="E11" s="18"/>
      <c r="F11" s="18"/>
    </row>
    <row r="12" spans="1:8" s="6" customFormat="1" ht="15.75" customHeight="1" x14ac:dyDescent="0.3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5">
      <c r="A13" s="20">
        <v>1</v>
      </c>
      <c r="B13" s="21" t="s">
        <v>16</v>
      </c>
      <c r="C13" s="22">
        <v>43468380</v>
      </c>
      <c r="D13" s="22">
        <v>14673000</v>
      </c>
      <c r="E13" s="22">
        <f t="shared" ref="E13:E22" si="0">D13-C13</f>
        <v>-28795380</v>
      </c>
      <c r="F13" s="23">
        <f t="shared" ref="F13:F22" si="1">IF(C13=0,0,E13/C13)</f>
        <v>-0.66244428708868375</v>
      </c>
    </row>
    <row r="14" spans="1:8" ht="24" customHeight="1" x14ac:dyDescent="0.25">
      <c r="A14" s="20">
        <v>2</v>
      </c>
      <c r="B14" s="21" t="s">
        <v>17</v>
      </c>
      <c r="C14" s="22">
        <v>8795652</v>
      </c>
      <c r="D14" s="22">
        <v>15836000</v>
      </c>
      <c r="E14" s="22">
        <f t="shared" si="0"/>
        <v>7040348</v>
      </c>
      <c r="F14" s="23">
        <f t="shared" si="1"/>
        <v>0.80043503312773179</v>
      </c>
    </row>
    <row r="15" spans="1:8" ht="24" customHeight="1" x14ac:dyDescent="0.25">
      <c r="A15" s="20">
        <v>3</v>
      </c>
      <c r="B15" s="21" t="s">
        <v>18</v>
      </c>
      <c r="C15" s="22">
        <v>44469740</v>
      </c>
      <c r="D15" s="22">
        <v>46916000</v>
      </c>
      <c r="E15" s="22">
        <f t="shared" si="0"/>
        <v>2446260</v>
      </c>
      <c r="F15" s="23">
        <f t="shared" si="1"/>
        <v>5.5009541319557972E-2</v>
      </c>
    </row>
    <row r="16" spans="1:8" ht="24" customHeight="1" x14ac:dyDescent="0.25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5">
      <c r="A17" s="20">
        <v>5</v>
      </c>
      <c r="B17" s="21" t="s">
        <v>20</v>
      </c>
      <c r="C17" s="22">
        <v>50088</v>
      </c>
      <c r="D17" s="22">
        <v>259000</v>
      </c>
      <c r="E17" s="22">
        <f t="shared" si="0"/>
        <v>208912</v>
      </c>
      <c r="F17" s="23">
        <f t="shared" si="1"/>
        <v>4.170899217377416</v>
      </c>
    </row>
    <row r="18" spans="1:11" ht="24" customHeight="1" x14ac:dyDescent="0.25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5">
      <c r="A19" s="20">
        <v>7</v>
      </c>
      <c r="B19" s="21" t="s">
        <v>22</v>
      </c>
      <c r="C19" s="22">
        <v>2725505</v>
      </c>
      <c r="D19" s="22">
        <v>3164000</v>
      </c>
      <c r="E19" s="22">
        <f t="shared" si="0"/>
        <v>438495</v>
      </c>
      <c r="F19" s="23">
        <f t="shared" si="1"/>
        <v>0.16088578080025537</v>
      </c>
    </row>
    <row r="20" spans="1:11" ht="24" customHeight="1" x14ac:dyDescent="0.25">
      <c r="A20" s="20">
        <v>8</v>
      </c>
      <c r="B20" s="21" t="s">
        <v>23</v>
      </c>
      <c r="C20" s="22">
        <v>1488811</v>
      </c>
      <c r="D20" s="22">
        <v>731000</v>
      </c>
      <c r="E20" s="22">
        <f t="shared" si="0"/>
        <v>-757811</v>
      </c>
      <c r="F20" s="23">
        <f t="shared" si="1"/>
        <v>-0.50900416506863533</v>
      </c>
    </row>
    <row r="21" spans="1:11" ht="24" customHeight="1" x14ac:dyDescent="0.25">
      <c r="A21" s="20">
        <v>9</v>
      </c>
      <c r="B21" s="21" t="s">
        <v>24</v>
      </c>
      <c r="C21" s="22">
        <v>2799276</v>
      </c>
      <c r="D21" s="22">
        <v>1725000</v>
      </c>
      <c r="E21" s="22">
        <f t="shared" si="0"/>
        <v>-1074276</v>
      </c>
      <c r="F21" s="23">
        <f t="shared" si="1"/>
        <v>-0.38376923175849753</v>
      </c>
    </row>
    <row r="22" spans="1:11" ht="24" customHeight="1" x14ac:dyDescent="0.3">
      <c r="A22" s="24"/>
      <c r="B22" s="25" t="s">
        <v>25</v>
      </c>
      <c r="C22" s="26">
        <f>SUM(C13:C21)</f>
        <v>103797452</v>
      </c>
      <c r="D22" s="26">
        <f>SUM(D13:D21)</f>
        <v>83304000</v>
      </c>
      <c r="E22" s="26">
        <f t="shared" si="0"/>
        <v>-20493452</v>
      </c>
      <c r="F22" s="27">
        <f t="shared" si="1"/>
        <v>-0.19743694671811404</v>
      </c>
    </row>
    <row r="23" spans="1:11" ht="15" customHeight="1" x14ac:dyDescent="0.25">
      <c r="A23" s="20"/>
      <c r="B23" s="4"/>
      <c r="C23" s="28"/>
      <c r="D23" s="28"/>
      <c r="E23" s="28"/>
      <c r="F23" s="23"/>
    </row>
    <row r="24" spans="1:11" ht="24" customHeight="1" x14ac:dyDescent="0.3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5">
      <c r="A25" s="20">
        <v>1</v>
      </c>
      <c r="B25" s="21" t="s">
        <v>28</v>
      </c>
      <c r="C25" s="22">
        <v>16298579</v>
      </c>
      <c r="D25" s="22">
        <v>7895000</v>
      </c>
      <c r="E25" s="22">
        <f>D25-C25</f>
        <v>-8403579</v>
      </c>
      <c r="F25" s="23">
        <f>IF(C25=0,0,E25/C25)</f>
        <v>-0.51560194296692985</v>
      </c>
      <c r="H25" s="32"/>
      <c r="I25" s="33"/>
      <c r="J25" s="33"/>
      <c r="K25" s="34"/>
    </row>
    <row r="26" spans="1:11" ht="24" customHeight="1" x14ac:dyDescent="0.25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5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5">
      <c r="A28" s="20">
        <v>4</v>
      </c>
      <c r="B28" s="21" t="s">
        <v>31</v>
      </c>
      <c r="C28" s="22">
        <v>327</v>
      </c>
      <c r="D28" s="22">
        <v>0</v>
      </c>
      <c r="E28" s="22">
        <f>D28-C28</f>
        <v>-327</v>
      </c>
      <c r="F28" s="23">
        <f>IF(C28=0,0,E28/C28)</f>
        <v>-1</v>
      </c>
    </row>
    <row r="29" spans="1:11" ht="24" customHeight="1" x14ac:dyDescent="0.3">
      <c r="A29" s="24"/>
      <c r="B29" s="25" t="s">
        <v>32</v>
      </c>
      <c r="C29" s="26">
        <f>SUM(C25:C28)</f>
        <v>16298906</v>
      </c>
      <c r="D29" s="26">
        <f>SUM(D25:D28)</f>
        <v>7895000</v>
      </c>
      <c r="E29" s="26">
        <f>D29-C29</f>
        <v>-8403906</v>
      </c>
      <c r="F29" s="27">
        <f>IF(C29=0,0,E29/C29)</f>
        <v>-0.51561166129800373</v>
      </c>
    </row>
    <row r="30" spans="1:11" ht="15" customHeight="1" x14ac:dyDescent="0.25">
      <c r="A30" s="20"/>
      <c r="B30" s="4"/>
      <c r="C30" s="28"/>
      <c r="D30" s="28"/>
      <c r="E30" s="28"/>
      <c r="F30" s="23"/>
    </row>
    <row r="31" spans="1:11" ht="15" customHeight="1" x14ac:dyDescent="0.25">
      <c r="A31" s="20">
        <v>5</v>
      </c>
      <c r="B31" s="21" t="s">
        <v>33</v>
      </c>
      <c r="C31" s="22">
        <v>98322402</v>
      </c>
      <c r="D31" s="22">
        <v>100837000</v>
      </c>
      <c r="E31" s="22">
        <f>D31-C31</f>
        <v>2514598</v>
      </c>
      <c r="F31" s="23">
        <f>IF(C31=0,0,E31/C31)</f>
        <v>2.5575026126802718E-2</v>
      </c>
    </row>
    <row r="32" spans="1:11" ht="24" customHeight="1" x14ac:dyDescent="0.25">
      <c r="A32" s="20">
        <v>6</v>
      </c>
      <c r="B32" s="21" t="s">
        <v>34</v>
      </c>
      <c r="C32" s="22">
        <v>120410768</v>
      </c>
      <c r="D32" s="22">
        <v>143647000</v>
      </c>
      <c r="E32" s="22">
        <f>D32-C32</f>
        <v>23236232</v>
      </c>
      <c r="F32" s="23">
        <f>IF(C32=0,0,E32/C32)</f>
        <v>0.19297470139879849</v>
      </c>
    </row>
    <row r="33" spans="1:8" ht="24" customHeight="1" x14ac:dyDescent="0.25">
      <c r="A33" s="20">
        <v>7</v>
      </c>
      <c r="B33" s="21" t="s">
        <v>35</v>
      </c>
      <c r="C33" s="22">
        <v>31539592</v>
      </c>
      <c r="D33" s="22">
        <v>30847000</v>
      </c>
      <c r="E33" s="22">
        <f>D33-C33</f>
        <v>-692592</v>
      </c>
      <c r="F33" s="23">
        <f>IF(C33=0,0,E33/C33)</f>
        <v>-2.1959447034064359E-2</v>
      </c>
    </row>
    <row r="34" spans="1:8" ht="15" customHeight="1" x14ac:dyDescent="0.25">
      <c r="A34" s="20"/>
      <c r="B34" s="4"/>
      <c r="C34" s="28"/>
      <c r="D34" s="28"/>
      <c r="E34" s="28"/>
      <c r="F34" s="23"/>
    </row>
    <row r="35" spans="1:8" ht="24" customHeight="1" x14ac:dyDescent="0.3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5">
      <c r="A36" s="20">
        <v>1</v>
      </c>
      <c r="B36" s="21" t="s">
        <v>38</v>
      </c>
      <c r="C36" s="22">
        <v>532229436</v>
      </c>
      <c r="D36" s="22">
        <v>597228000</v>
      </c>
      <c r="E36" s="22">
        <f>D36-C36</f>
        <v>64998564</v>
      </c>
      <c r="F36" s="23">
        <f>IF(C36=0,0,E36/C36)</f>
        <v>0.12212508291255052</v>
      </c>
    </row>
    <row r="37" spans="1:8" ht="24" customHeight="1" x14ac:dyDescent="0.25">
      <c r="A37" s="20">
        <v>2</v>
      </c>
      <c r="B37" s="21" t="s">
        <v>39</v>
      </c>
      <c r="C37" s="22">
        <v>349245364</v>
      </c>
      <c r="D37" s="22">
        <v>372195000</v>
      </c>
      <c r="E37" s="22">
        <f>D37-C37</f>
        <v>22949636</v>
      </c>
      <c r="F37" s="23">
        <f>IF(C37=0,0,E37/C37)</f>
        <v>6.5712070554499902E-2</v>
      </c>
    </row>
    <row r="38" spans="1:8" ht="24" customHeight="1" x14ac:dyDescent="0.3">
      <c r="A38" s="24"/>
      <c r="B38" s="25" t="s">
        <v>40</v>
      </c>
      <c r="C38" s="26">
        <f>C36-C37</f>
        <v>182984072</v>
      </c>
      <c r="D38" s="26">
        <f>D36-D37</f>
        <v>225033000</v>
      </c>
      <c r="E38" s="26">
        <f>D38-C38</f>
        <v>42048928</v>
      </c>
      <c r="F38" s="27">
        <f>IF(C38=0,0,E38/C38)</f>
        <v>0.22979556384557887</v>
      </c>
    </row>
    <row r="39" spans="1:8" ht="15" customHeight="1" x14ac:dyDescent="0.25">
      <c r="A39" s="20"/>
      <c r="B39" s="4"/>
      <c r="C39" s="28"/>
      <c r="D39" s="28"/>
      <c r="E39" s="28"/>
      <c r="F39" s="23"/>
    </row>
    <row r="40" spans="1:8" ht="24" customHeight="1" x14ac:dyDescent="0.25">
      <c r="A40" s="20">
        <v>3</v>
      </c>
      <c r="B40" s="21" t="s">
        <v>41</v>
      </c>
      <c r="C40" s="22">
        <v>86191894</v>
      </c>
      <c r="D40" s="22">
        <v>46943000</v>
      </c>
      <c r="E40" s="22">
        <f>D40-C40</f>
        <v>-39248894</v>
      </c>
      <c r="F40" s="23">
        <f>IF(C40=0,0,E40/C40)</f>
        <v>-0.45536641763551455</v>
      </c>
    </row>
    <row r="41" spans="1:8" ht="24" customHeight="1" x14ac:dyDescent="0.3">
      <c r="A41" s="24"/>
      <c r="B41" s="25" t="s">
        <v>42</v>
      </c>
      <c r="C41" s="26">
        <f>+C38+C40</f>
        <v>269175966</v>
      </c>
      <c r="D41" s="26">
        <f>+D38+D40</f>
        <v>271976000</v>
      </c>
      <c r="E41" s="26">
        <f>D41-C41</f>
        <v>2800034</v>
      </c>
      <c r="F41" s="27">
        <f>IF(C41=0,0,E41/C41)</f>
        <v>1.040224371294724E-2</v>
      </c>
    </row>
    <row r="42" spans="1:8" ht="24" customHeight="1" x14ac:dyDescent="0.25">
      <c r="A42" s="20"/>
      <c r="B42" s="21"/>
      <c r="C42" s="28"/>
      <c r="D42" s="28"/>
      <c r="E42" s="28"/>
      <c r="F42" s="23"/>
    </row>
    <row r="43" spans="1:8" ht="24" customHeight="1" x14ac:dyDescent="0.3">
      <c r="A43" s="24"/>
      <c r="B43" s="25" t="s">
        <v>43</v>
      </c>
      <c r="C43" s="26">
        <f>C22+C29+C31+C32+C33+C41</f>
        <v>639545086</v>
      </c>
      <c r="D43" s="26">
        <f>D22+D29+D31+D32+D33+D41</f>
        <v>638506000</v>
      </c>
      <c r="E43" s="26">
        <f>D43-C43</f>
        <v>-1039086</v>
      </c>
      <c r="F43" s="27">
        <f>IF(C43=0,0,E43/C43)</f>
        <v>-1.624726735841107E-3</v>
      </c>
    </row>
    <row r="44" spans="1:8" ht="15.75" customHeight="1" x14ac:dyDescent="0.3">
      <c r="A44" s="35"/>
      <c r="B44" s="2"/>
      <c r="C44" s="36"/>
      <c r="D44" s="36"/>
      <c r="E44" s="37"/>
      <c r="F44" s="4"/>
    </row>
    <row r="45" spans="1:8" s="6" customFormat="1" ht="15.75" customHeight="1" x14ac:dyDescent="0.3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3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3">
      <c r="A47" s="16"/>
      <c r="B47" s="7"/>
      <c r="C47" s="39"/>
      <c r="D47" s="39"/>
      <c r="E47" s="40"/>
      <c r="F47" s="16"/>
    </row>
    <row r="48" spans="1:8" ht="15.75" customHeight="1" x14ac:dyDescent="0.3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5">
      <c r="A49" s="20">
        <v>1</v>
      </c>
      <c r="B49" s="21" t="s">
        <v>47</v>
      </c>
      <c r="C49" s="22">
        <v>26667858</v>
      </c>
      <c r="D49" s="22">
        <v>26551000</v>
      </c>
      <c r="E49" s="22">
        <f t="shared" ref="E49:E56" si="2">D49-C49</f>
        <v>-116858</v>
      </c>
      <c r="F49" s="23">
        <f t="shared" ref="F49:F56" si="3">IF(C49=0,0,E49/C49)</f>
        <v>-4.3819792350776729E-3</v>
      </c>
    </row>
    <row r="50" spans="1:6" ht="24" customHeight="1" x14ac:dyDescent="0.25">
      <c r="A50" s="20">
        <f t="shared" ref="A50:A55" si="4">1+A49</f>
        <v>2</v>
      </c>
      <c r="B50" s="21" t="s">
        <v>48</v>
      </c>
      <c r="C50" s="22">
        <v>15029084</v>
      </c>
      <c r="D50" s="22">
        <v>11405000</v>
      </c>
      <c r="E50" s="22">
        <f t="shared" si="2"/>
        <v>-3624084</v>
      </c>
      <c r="F50" s="23">
        <f t="shared" si="3"/>
        <v>-0.24113804939808706</v>
      </c>
    </row>
    <row r="51" spans="1:6" ht="24" customHeight="1" x14ac:dyDescent="0.25">
      <c r="A51" s="20">
        <f t="shared" si="4"/>
        <v>3</v>
      </c>
      <c r="B51" s="21" t="s">
        <v>49</v>
      </c>
      <c r="C51" s="22">
        <v>27894498</v>
      </c>
      <c r="D51" s="22">
        <v>13975000</v>
      </c>
      <c r="E51" s="22">
        <f t="shared" si="2"/>
        <v>-13919498</v>
      </c>
      <c r="F51" s="23">
        <f t="shared" si="3"/>
        <v>-0.49900514431197146</v>
      </c>
    </row>
    <row r="52" spans="1:6" ht="24" customHeight="1" x14ac:dyDescent="0.25">
      <c r="A52" s="20">
        <f t="shared" si="4"/>
        <v>4</v>
      </c>
      <c r="B52" s="21" t="s">
        <v>50</v>
      </c>
      <c r="C52" s="22">
        <v>7983075</v>
      </c>
      <c r="D52" s="22">
        <v>13128000</v>
      </c>
      <c r="E52" s="22">
        <f t="shared" si="2"/>
        <v>5144925</v>
      </c>
      <c r="F52" s="23">
        <f t="shared" si="3"/>
        <v>0.64447910109826101</v>
      </c>
    </row>
    <row r="53" spans="1:6" ht="24" customHeight="1" x14ac:dyDescent="0.25">
      <c r="A53" s="20">
        <f t="shared" si="4"/>
        <v>5</v>
      </c>
      <c r="B53" s="21" t="s">
        <v>51</v>
      </c>
      <c r="C53" s="22">
        <v>5715000</v>
      </c>
      <c r="D53" s="22">
        <v>6666000</v>
      </c>
      <c r="E53" s="22">
        <f t="shared" si="2"/>
        <v>951000</v>
      </c>
      <c r="F53" s="23">
        <f t="shared" si="3"/>
        <v>0.16640419947506563</v>
      </c>
    </row>
    <row r="54" spans="1:6" ht="24" customHeight="1" x14ac:dyDescent="0.25">
      <c r="A54" s="20">
        <f t="shared" si="4"/>
        <v>6</v>
      </c>
      <c r="B54" s="21" t="s">
        <v>52</v>
      </c>
      <c r="C54" s="22">
        <v>1054094</v>
      </c>
      <c r="D54" s="22">
        <v>0</v>
      </c>
      <c r="E54" s="22">
        <f t="shared" si="2"/>
        <v>-1054094</v>
      </c>
      <c r="F54" s="23">
        <f t="shared" si="3"/>
        <v>-1</v>
      </c>
    </row>
    <row r="55" spans="1:6" ht="24" customHeight="1" x14ac:dyDescent="0.25">
      <c r="A55" s="20">
        <f t="shared" si="4"/>
        <v>7</v>
      </c>
      <c r="B55" s="21" t="s">
        <v>53</v>
      </c>
      <c r="C55" s="22">
        <v>649481</v>
      </c>
      <c r="D55" s="22">
        <v>603000</v>
      </c>
      <c r="E55" s="22">
        <f t="shared" si="2"/>
        <v>-46481</v>
      </c>
      <c r="F55" s="23">
        <f t="shared" si="3"/>
        <v>-7.156637376613019E-2</v>
      </c>
    </row>
    <row r="56" spans="1:6" ht="24" customHeight="1" x14ac:dyDescent="0.3">
      <c r="A56" s="24"/>
      <c r="B56" s="25" t="s">
        <v>54</v>
      </c>
      <c r="C56" s="26">
        <f>SUM(C49:C55)</f>
        <v>84993090</v>
      </c>
      <c r="D56" s="26">
        <f>SUM(D49:D55)</f>
        <v>72328000</v>
      </c>
      <c r="E56" s="26">
        <f t="shared" si="2"/>
        <v>-12665090</v>
      </c>
      <c r="F56" s="27">
        <f t="shared" si="3"/>
        <v>-0.1490131727179233</v>
      </c>
    </row>
    <row r="57" spans="1:6" ht="24" customHeight="1" x14ac:dyDescent="0.3">
      <c r="A57" s="20"/>
      <c r="B57" s="25"/>
      <c r="C57" s="42"/>
      <c r="D57" s="42"/>
      <c r="E57" s="42"/>
      <c r="F57" s="27"/>
    </row>
    <row r="58" spans="1:6" ht="15.75" customHeight="1" x14ac:dyDescent="0.3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5">
      <c r="A59" s="20">
        <v>1</v>
      </c>
      <c r="B59" s="21" t="s">
        <v>56</v>
      </c>
      <c r="C59" s="22">
        <v>109637014</v>
      </c>
      <c r="D59" s="22">
        <v>103522000</v>
      </c>
      <c r="E59" s="22">
        <f>D59-C59</f>
        <v>-6115014</v>
      </c>
      <c r="F59" s="23">
        <f>IF(C59=0,0,E59/C59)</f>
        <v>-5.5775087052261384E-2</v>
      </c>
    </row>
    <row r="60" spans="1:6" ht="24" customHeight="1" x14ac:dyDescent="0.25">
      <c r="A60" s="20">
        <v>2</v>
      </c>
      <c r="B60" s="21" t="s">
        <v>57</v>
      </c>
      <c r="C60" s="22">
        <v>726222</v>
      </c>
      <c r="D60" s="22">
        <v>0</v>
      </c>
      <c r="E60" s="22">
        <f>D60-C60</f>
        <v>-726222</v>
      </c>
      <c r="F60" s="23">
        <f>IF(C60=0,0,E60/C60)</f>
        <v>-1</v>
      </c>
    </row>
    <row r="61" spans="1:6" ht="24" customHeight="1" x14ac:dyDescent="0.3">
      <c r="A61" s="24"/>
      <c r="B61" s="25" t="s">
        <v>58</v>
      </c>
      <c r="C61" s="26">
        <f>SUM(C59:C60)</f>
        <v>110363236</v>
      </c>
      <c r="D61" s="26">
        <f>SUM(D59:D60)</f>
        <v>103522000</v>
      </c>
      <c r="E61" s="26">
        <f>D61-C61</f>
        <v>-6841236</v>
      </c>
      <c r="F61" s="27">
        <f>IF(C61=0,0,E61/C61)</f>
        <v>-6.1988359964363492E-2</v>
      </c>
    </row>
    <row r="62" spans="1:6" ht="15" customHeight="1" x14ac:dyDescent="0.25">
      <c r="A62" s="20"/>
      <c r="B62" s="4"/>
      <c r="C62" s="28"/>
      <c r="D62" s="28"/>
      <c r="E62" s="28"/>
      <c r="F62" s="23"/>
    </row>
    <row r="63" spans="1:6" ht="24" customHeight="1" x14ac:dyDescent="0.25">
      <c r="A63" s="20">
        <v>3</v>
      </c>
      <c r="B63" s="21" t="s">
        <v>59</v>
      </c>
      <c r="C63" s="22">
        <v>40703484</v>
      </c>
      <c r="D63" s="22">
        <v>28118000</v>
      </c>
      <c r="E63" s="22">
        <f>D63-C63</f>
        <v>-12585484</v>
      </c>
      <c r="F63" s="23">
        <f>IF(C63=0,0,E63/C63)</f>
        <v>-0.30919918304781968</v>
      </c>
    </row>
    <row r="64" spans="1:6" ht="24" customHeight="1" x14ac:dyDescent="0.25">
      <c r="A64" s="20">
        <v>4</v>
      </c>
      <c r="B64" s="21" t="s">
        <v>60</v>
      </c>
      <c r="C64" s="22">
        <v>53771131</v>
      </c>
      <c r="D64" s="22">
        <v>17268000</v>
      </c>
      <c r="E64" s="22">
        <f>D64-C64</f>
        <v>-36503131</v>
      </c>
      <c r="F64" s="23">
        <f>IF(C64=0,0,E64/C64)</f>
        <v>-0.67886113461143305</v>
      </c>
    </row>
    <row r="65" spans="1:6" ht="24" customHeight="1" x14ac:dyDescent="0.3">
      <c r="A65" s="24"/>
      <c r="B65" s="25" t="s">
        <v>61</v>
      </c>
      <c r="C65" s="26">
        <f>SUM(C61:C64)</f>
        <v>204837851</v>
      </c>
      <c r="D65" s="26">
        <f>SUM(D61:D64)</f>
        <v>148908000</v>
      </c>
      <c r="E65" s="26">
        <f>D65-C65</f>
        <v>-55929851</v>
      </c>
      <c r="F65" s="27">
        <f>IF(C65=0,0,E65/C65)</f>
        <v>-0.27304451168060734</v>
      </c>
    </row>
    <row r="66" spans="1:6" ht="24" customHeight="1" x14ac:dyDescent="0.25">
      <c r="B66" s="4"/>
      <c r="C66" s="28"/>
      <c r="D66" s="28"/>
      <c r="E66" s="28"/>
      <c r="F66" s="23"/>
    </row>
    <row r="67" spans="1:6" s="46" customFormat="1" ht="15" customHeight="1" x14ac:dyDescent="0.3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5">
      <c r="B68" s="4"/>
      <c r="C68" s="28"/>
      <c r="D68" s="28"/>
      <c r="E68" s="28"/>
      <c r="F68" s="23"/>
    </row>
    <row r="69" spans="1:6" ht="15.75" customHeight="1" x14ac:dyDescent="0.3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5">
      <c r="A70" s="20">
        <v>1</v>
      </c>
      <c r="B70" s="21" t="s">
        <v>64</v>
      </c>
      <c r="C70" s="22">
        <v>280584110</v>
      </c>
      <c r="D70" s="22">
        <v>370197000</v>
      </c>
      <c r="E70" s="22">
        <f>D70-C70</f>
        <v>89612890</v>
      </c>
      <c r="F70" s="23">
        <f>IF(C70=0,0,E70/C70)</f>
        <v>0.31937977528378209</v>
      </c>
    </row>
    <row r="71" spans="1:6" ht="24" customHeight="1" x14ac:dyDescent="0.25">
      <c r="A71" s="20">
        <v>2</v>
      </c>
      <c r="B71" s="21" t="s">
        <v>65</v>
      </c>
      <c r="C71" s="22">
        <v>59661583</v>
      </c>
      <c r="D71" s="22">
        <v>37484000</v>
      </c>
      <c r="E71" s="22">
        <f>D71-C71</f>
        <v>-22177583</v>
      </c>
      <c r="F71" s="23">
        <f>IF(C71=0,0,E71/C71)</f>
        <v>-0.37172300641100992</v>
      </c>
    </row>
    <row r="72" spans="1:6" ht="24" customHeight="1" x14ac:dyDescent="0.25">
      <c r="A72" s="20">
        <v>3</v>
      </c>
      <c r="B72" s="21" t="s">
        <v>66</v>
      </c>
      <c r="C72" s="22">
        <v>9468452</v>
      </c>
      <c r="D72" s="22">
        <v>9589000</v>
      </c>
      <c r="E72" s="22">
        <f>D72-C72</f>
        <v>120548</v>
      </c>
      <c r="F72" s="23">
        <f>IF(C72=0,0,E72/C72)</f>
        <v>1.2731542600627853E-2</v>
      </c>
    </row>
    <row r="73" spans="1:6" ht="24" customHeight="1" x14ac:dyDescent="0.3">
      <c r="A73" s="20"/>
      <c r="B73" s="25" t="s">
        <v>67</v>
      </c>
      <c r="C73" s="26">
        <f>SUM(C70:C72)</f>
        <v>349714145</v>
      </c>
      <c r="D73" s="26">
        <f>SUM(D70:D72)</f>
        <v>417270000</v>
      </c>
      <c r="E73" s="26">
        <f>D73-C73</f>
        <v>67555855</v>
      </c>
      <c r="F73" s="27">
        <f>IF(C73=0,0,E73/C73)</f>
        <v>0.19317449970460873</v>
      </c>
    </row>
    <row r="74" spans="1:6" ht="24" customHeight="1" x14ac:dyDescent="0.3">
      <c r="B74" s="25"/>
      <c r="C74" s="28"/>
      <c r="D74" s="28"/>
      <c r="E74" s="28"/>
      <c r="F74" s="23"/>
    </row>
    <row r="75" spans="1:6" ht="15.75" customHeight="1" x14ac:dyDescent="0.3">
      <c r="A75" s="20"/>
      <c r="B75" s="25" t="s">
        <v>68</v>
      </c>
      <c r="C75" s="26">
        <f>C56+C65+C67+C73</f>
        <v>639545086</v>
      </c>
      <c r="D75" s="26">
        <f>D56+D65+D67+D73</f>
        <v>638506000</v>
      </c>
      <c r="E75" s="26">
        <f>D75-C75</f>
        <v>-1039086</v>
      </c>
      <c r="F75" s="27">
        <f>IF(C75=0,0,E75/C75)</f>
        <v>-1.624726735841107E-3</v>
      </c>
    </row>
    <row r="76" spans="1:6" ht="24" customHeight="1" x14ac:dyDescent="0.3">
      <c r="B76" s="25"/>
      <c r="C76" s="42"/>
      <c r="D76" s="42"/>
      <c r="E76" s="42"/>
      <c r="F76" s="27"/>
    </row>
    <row r="77" spans="1:6" ht="24" customHeight="1" x14ac:dyDescent="0.3">
      <c r="A77" s="29"/>
      <c r="B77" s="47"/>
      <c r="C77" s="26"/>
      <c r="D77" s="26"/>
      <c r="E77" s="26"/>
      <c r="F77" s="27"/>
    </row>
    <row r="78" spans="1:6" ht="24" customHeight="1" x14ac:dyDescent="0.3">
      <c r="A78" s="20"/>
      <c r="B78" s="48"/>
      <c r="C78" s="49"/>
      <c r="D78" s="49"/>
      <c r="E78" s="49"/>
      <c r="F78" s="27"/>
    </row>
    <row r="79" spans="1:6" ht="47.25" customHeight="1" x14ac:dyDescent="0.3">
      <c r="A79" s="20"/>
      <c r="B79" s="50"/>
      <c r="C79" s="51"/>
      <c r="D79" s="51"/>
      <c r="E79" s="52"/>
      <c r="F79" s="27"/>
    </row>
    <row r="80" spans="1:6" ht="24" customHeight="1" x14ac:dyDescent="0.3">
      <c r="A80" s="20"/>
      <c r="B80" s="25"/>
      <c r="C80" s="26"/>
      <c r="D80" s="26"/>
      <c r="E80" s="53"/>
      <c r="F80" s="27"/>
    </row>
    <row r="81" spans="1:6" ht="24" customHeight="1" x14ac:dyDescent="0.3">
      <c r="A81" s="20"/>
      <c r="B81" s="25"/>
      <c r="C81" s="26"/>
      <c r="D81" s="26"/>
      <c r="E81" s="53"/>
      <c r="F81" s="27"/>
    </row>
    <row r="82" spans="1:6" ht="24" customHeight="1" x14ac:dyDescent="0.25">
      <c r="A82" s="20"/>
      <c r="B82" s="20"/>
      <c r="C82" s="54"/>
      <c r="D82" s="4"/>
      <c r="E82" s="4"/>
      <c r="F82" s="4"/>
    </row>
    <row r="83" spans="1:6" ht="12.75" customHeight="1" x14ac:dyDescent="0.25"/>
    <row r="84" spans="1:6" ht="12.75" customHeight="1" x14ac:dyDescent="0.25"/>
    <row r="85" spans="1:6" ht="12.75" customHeight="1" x14ac:dyDescent="0.25"/>
    <row r="86" spans="1:6" ht="12.75" customHeight="1" x14ac:dyDescent="0.25"/>
    <row r="87" spans="1:6" ht="12.75" customHeight="1" x14ac:dyDescent="0.25"/>
    <row r="88" spans="1:6" ht="12.75" customHeight="1" x14ac:dyDescent="0.25"/>
    <row r="89" spans="1:6" ht="12.75" customHeight="1" x14ac:dyDescent="0.25"/>
    <row r="90" spans="1:6" ht="12.75" customHeight="1" x14ac:dyDescent="0.25"/>
    <row r="91" spans="1:6" ht="12.75" customHeight="1" x14ac:dyDescent="0.25"/>
    <row r="92" spans="1:6" ht="12.75" customHeight="1" x14ac:dyDescent="0.25"/>
    <row r="93" spans="1:6" ht="12.75" customHeight="1" x14ac:dyDescent="0.25"/>
    <row r="94" spans="1:6" ht="12.75" customHeight="1" x14ac:dyDescent="0.25"/>
    <row r="95" spans="1:6" ht="12.75" customHeight="1" x14ac:dyDescent="0.25"/>
    <row r="96" spans="1:6" ht="12.75" customHeight="1" x14ac:dyDescent="0.25"/>
    <row r="97" spans="7:8" ht="12.75" customHeight="1" x14ac:dyDescent="0.25"/>
    <row r="98" spans="7:8" ht="12.75" customHeight="1" x14ac:dyDescent="0.25"/>
    <row r="99" spans="7:8" ht="12.75" customHeight="1" x14ac:dyDescent="0.25"/>
    <row r="100" spans="7:8" ht="12.75" customHeight="1" x14ac:dyDescent="0.25">
      <c r="G100" s="6"/>
      <c r="H100" s="11"/>
    </row>
    <row r="101" spans="7:8" ht="12.75" customHeight="1" x14ac:dyDescent="0.25"/>
    <row r="102" spans="7:8" ht="12.75" customHeight="1" x14ac:dyDescent="0.25"/>
    <row r="103" spans="7:8" ht="12.75" customHeight="1" x14ac:dyDescent="0.25"/>
    <row r="104" spans="7:8" ht="12.75" customHeight="1" x14ac:dyDescent="0.25"/>
    <row r="105" spans="7:8" ht="12.75" customHeight="1" x14ac:dyDescent="0.25"/>
    <row r="106" spans="7:8" ht="12.75" customHeight="1" x14ac:dyDescent="0.25"/>
    <row r="107" spans="7:8" ht="12.75" customHeight="1" x14ac:dyDescent="0.25"/>
    <row r="108" spans="7:8" ht="12.75" customHeight="1" x14ac:dyDescent="0.25"/>
    <row r="109" spans="7:8" ht="12.75" customHeight="1" x14ac:dyDescent="0.25"/>
    <row r="110" spans="7:8" ht="12.75" customHeight="1" x14ac:dyDescent="0.25"/>
    <row r="111" spans="7:8" ht="12.75" customHeight="1" x14ac:dyDescent="0.25"/>
    <row r="112" spans="7:8" ht="12.75" customHeight="1" x14ac:dyDescent="0.25"/>
    <row r="113" spans="7:8" ht="12.75" customHeight="1" x14ac:dyDescent="0.25"/>
    <row r="114" spans="7:8" ht="12.75" customHeight="1" x14ac:dyDescent="0.25"/>
    <row r="115" spans="7:8" ht="12.75" customHeight="1" x14ac:dyDescent="0.25"/>
    <row r="116" spans="7:8" ht="12.75" customHeight="1" x14ac:dyDescent="0.25"/>
    <row r="117" spans="7:8" ht="12.75" customHeight="1" x14ac:dyDescent="0.25"/>
    <row r="118" spans="7:8" ht="12.75" customHeight="1" x14ac:dyDescent="0.25">
      <c r="G118" s="6"/>
      <c r="H118" s="11"/>
    </row>
    <row r="119" spans="7:8" ht="12.75" customHeight="1" x14ac:dyDescent="0.25"/>
    <row r="120" spans="7:8" ht="12.75" customHeight="1" x14ac:dyDescent="0.25"/>
    <row r="121" spans="7:8" ht="12.75" customHeight="1" x14ac:dyDescent="0.25"/>
    <row r="122" spans="7:8" ht="12.75" customHeight="1" x14ac:dyDescent="0.25"/>
    <row r="123" spans="7:8" ht="14.25" customHeight="1" x14ac:dyDescent="0.25"/>
    <row r="124" spans="7:8" ht="15.75" customHeight="1" x14ac:dyDescent="0.25"/>
    <row r="125" spans="7:8" ht="9.75" customHeight="1" x14ac:dyDescent="0.25"/>
    <row r="126" spans="7:8" ht="15.75" customHeight="1" x14ac:dyDescent="0.25"/>
    <row r="127" spans="7:8" ht="12.75" customHeight="1" x14ac:dyDescent="0.25"/>
    <row r="128" spans="7:8" ht="12.75" customHeight="1" x14ac:dyDescent="0.25">
      <c r="G128" s="6"/>
      <c r="H128" s="11"/>
    </row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1" fitToHeight="0" orientation="portrait" horizontalDpi="1200" verticalDpi="1200" r:id="rId1"/>
  <headerFooter>
    <oddHeader>&amp;LOFFICE OF HEALTH CARE ACCESS&amp;CTWELVE MONTHS ACTUAL FILING&amp;RNORWALK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B30" sqref="B30"/>
    </sheetView>
  </sheetViews>
  <sheetFormatPr defaultColWidth="9.109375" defaultRowHeight="24" customHeight="1" x14ac:dyDescent="0.25"/>
  <cols>
    <col min="1" max="1" width="5.6640625" style="56" customWidth="1"/>
    <col min="2" max="2" width="61.88671875" style="56" customWidth="1"/>
    <col min="3" max="3" width="22.6640625" style="56" customWidth="1"/>
    <col min="4" max="4" width="20.5546875" style="56" customWidth="1"/>
    <col min="5" max="6" width="19" style="225" customWidth="1"/>
    <col min="7" max="7" width="18.6640625" style="56" customWidth="1"/>
    <col min="8" max="16384" width="9.109375" style="56"/>
  </cols>
  <sheetData>
    <row r="1" spans="1:6" ht="24" customHeight="1" x14ac:dyDescent="0.3">
      <c r="A1" s="766" t="s">
        <v>500</v>
      </c>
      <c r="B1" s="767"/>
      <c r="C1" s="767"/>
      <c r="D1" s="767"/>
      <c r="E1" s="768"/>
    </row>
    <row r="2" spans="1:6" ht="24" customHeight="1" x14ac:dyDescent="0.3">
      <c r="A2" s="766" t="s">
        <v>1</v>
      </c>
      <c r="B2" s="767"/>
      <c r="C2" s="767"/>
      <c r="D2" s="767"/>
      <c r="E2" s="768"/>
    </row>
    <row r="3" spans="1:6" ht="24" customHeight="1" x14ac:dyDescent="0.3">
      <c r="A3" s="766" t="s">
        <v>2</v>
      </c>
      <c r="B3" s="767"/>
      <c r="C3" s="767"/>
      <c r="D3" s="767"/>
      <c r="E3" s="768"/>
    </row>
    <row r="4" spans="1:6" ht="24" customHeight="1" x14ac:dyDescent="0.3">
      <c r="A4" s="766" t="s">
        <v>504</v>
      </c>
      <c r="B4" s="767"/>
      <c r="C4" s="767"/>
      <c r="D4" s="767"/>
      <c r="E4" s="768"/>
    </row>
    <row r="5" spans="1:6" ht="24" customHeight="1" x14ac:dyDescent="0.3">
      <c r="A5" s="766"/>
      <c r="B5" s="767"/>
      <c r="C5" s="767"/>
      <c r="D5" s="767"/>
      <c r="E5" s="768"/>
    </row>
    <row r="6" spans="1:6" ht="24" customHeight="1" x14ac:dyDescent="0.3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3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3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3">
      <c r="B9" s="62"/>
      <c r="C9" s="68"/>
      <c r="D9" s="68"/>
      <c r="E9" s="73"/>
      <c r="F9" s="73"/>
    </row>
    <row r="10" spans="1:6" ht="24" customHeight="1" x14ac:dyDescent="0.3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3">
      <c r="A11" s="85">
        <v>1</v>
      </c>
      <c r="B11" s="75" t="s">
        <v>507</v>
      </c>
      <c r="C11" s="76">
        <v>961369530</v>
      </c>
      <c r="D11" s="76">
        <v>1123822000</v>
      </c>
      <c r="E11" s="76">
        <v>1181451000</v>
      </c>
      <c r="F11" s="80"/>
    </row>
    <row r="12" spans="1:6" ht="24" customHeight="1" x14ac:dyDescent="0.3">
      <c r="A12" s="85">
        <v>2</v>
      </c>
      <c r="B12" s="75" t="s">
        <v>78</v>
      </c>
      <c r="C12" s="185">
        <v>32255500</v>
      </c>
      <c r="D12" s="185">
        <v>33617000</v>
      </c>
      <c r="E12" s="185">
        <v>38511000</v>
      </c>
      <c r="F12" s="80"/>
    </row>
    <row r="13" spans="1:6" s="225" customFormat="1" ht="24" customHeight="1" x14ac:dyDescent="0.25">
      <c r="A13" s="85">
        <v>3</v>
      </c>
      <c r="B13" s="75" t="s">
        <v>80</v>
      </c>
      <c r="C13" s="76">
        <f>+C11+C12</f>
        <v>993625030</v>
      </c>
      <c r="D13" s="76">
        <f>+D11+D12</f>
        <v>1157439000</v>
      </c>
      <c r="E13" s="76">
        <f>+E11+E12</f>
        <v>1219962000</v>
      </c>
      <c r="F13" s="77"/>
    </row>
    <row r="14" spans="1:6" s="225" customFormat="1" ht="24" customHeight="1" x14ac:dyDescent="0.25">
      <c r="A14" s="85">
        <v>4</v>
      </c>
      <c r="B14" s="75" t="s">
        <v>91</v>
      </c>
      <c r="C14" s="185">
        <v>961175602</v>
      </c>
      <c r="D14" s="185">
        <v>1144647000</v>
      </c>
      <c r="E14" s="185">
        <v>1211319000</v>
      </c>
      <c r="F14" s="77"/>
    </row>
    <row r="15" spans="1:6" s="225" customFormat="1" ht="24" customHeight="1" x14ac:dyDescent="0.25">
      <c r="A15" s="85">
        <v>5</v>
      </c>
      <c r="B15" s="75" t="s">
        <v>92</v>
      </c>
      <c r="C15" s="76">
        <f>+C13-C14</f>
        <v>32449428</v>
      </c>
      <c r="D15" s="76">
        <f>+D13-D14</f>
        <v>12792000</v>
      </c>
      <c r="E15" s="76">
        <f>+E13-E14</f>
        <v>8643000</v>
      </c>
      <c r="F15" s="77"/>
    </row>
    <row r="16" spans="1:6" s="225" customFormat="1" ht="24" customHeight="1" x14ac:dyDescent="0.25">
      <c r="A16" s="85">
        <v>6</v>
      </c>
      <c r="B16" s="75" t="s">
        <v>97</v>
      </c>
      <c r="C16" s="185">
        <v>316766946</v>
      </c>
      <c r="D16" s="185">
        <v>18590000</v>
      </c>
      <c r="E16" s="185">
        <v>52466000</v>
      </c>
      <c r="F16" s="77"/>
    </row>
    <row r="17" spans="1:14" s="225" customFormat="1" ht="24" customHeight="1" x14ac:dyDescent="0.25">
      <c r="A17" s="85">
        <v>7</v>
      </c>
      <c r="B17" s="330" t="s">
        <v>321</v>
      </c>
      <c r="C17" s="76">
        <f>C15+C16</f>
        <v>349216374</v>
      </c>
      <c r="D17" s="76">
        <f>D15+D16</f>
        <v>31382000</v>
      </c>
      <c r="E17" s="76">
        <f>E15+E16</f>
        <v>61109000</v>
      </c>
      <c r="F17" s="77"/>
    </row>
    <row r="18" spans="1:14" ht="24" customHeight="1" x14ac:dyDescent="0.3">
      <c r="A18" s="85"/>
      <c r="B18" s="330"/>
      <c r="C18" s="187"/>
      <c r="D18" s="187"/>
      <c r="E18" s="188"/>
      <c r="F18" s="80"/>
    </row>
    <row r="19" spans="1:14" ht="24" customHeight="1" x14ac:dyDescent="0.3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3">
      <c r="A20" s="332">
        <v>1</v>
      </c>
      <c r="B20" s="330" t="s">
        <v>509</v>
      </c>
      <c r="C20" s="189">
        <f>IF(+C27=0,0,+C24/+C27)</f>
        <v>2.4763146138190334E-2</v>
      </c>
      <c r="D20" s="189">
        <f>IF(+D27=0,0,+D24/+D27)</f>
        <v>1.0877282788094512E-2</v>
      </c>
      <c r="E20" s="189">
        <f>IF(+E27=0,0,+E24/+E27)</f>
        <v>6.7925257853489549E-3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3">
      <c r="A21" s="332">
        <v>2</v>
      </c>
      <c r="B21" s="330" t="s">
        <v>510</v>
      </c>
      <c r="C21" s="189">
        <f>IF(+C27=0,0,+C26/+C27)</f>
        <v>0.2417344976172229</v>
      </c>
      <c r="D21" s="189">
        <f>IF(+D27=0,0,+D26/+D27)</f>
        <v>1.5807433320096698E-2</v>
      </c>
      <c r="E21" s="189">
        <f>IF(+E27=0,0,+E26/+E27)</f>
        <v>4.1232981355330121E-2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3">
      <c r="A22" s="332">
        <v>3</v>
      </c>
      <c r="B22" s="330" t="s">
        <v>511</v>
      </c>
      <c r="C22" s="189">
        <f>IF(+C27=0,0,+C28/+C27)</f>
        <v>0.26649764375541324</v>
      </c>
      <c r="D22" s="189">
        <f>IF(+D27=0,0,+D28/+D27)</f>
        <v>2.668471610819121E-2</v>
      </c>
      <c r="E22" s="189">
        <f>IF(+E27=0,0,+E28/+E27)</f>
        <v>4.8025507140679081E-2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3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3">
      <c r="A24" s="226">
        <v>4</v>
      </c>
      <c r="B24" s="75" t="s">
        <v>92</v>
      </c>
      <c r="C24" s="76">
        <f>+C15</f>
        <v>32449428</v>
      </c>
      <c r="D24" s="76">
        <f>+D15</f>
        <v>12792000</v>
      </c>
      <c r="E24" s="76">
        <f>+E15</f>
        <v>8643000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3">
      <c r="A25" s="226">
        <v>5</v>
      </c>
      <c r="B25" s="75" t="s">
        <v>80</v>
      </c>
      <c r="C25" s="76">
        <f>+C13</f>
        <v>993625030</v>
      </c>
      <c r="D25" s="76">
        <f>+D13</f>
        <v>1157439000</v>
      </c>
      <c r="E25" s="76">
        <f>+E13</f>
        <v>1219962000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3">
      <c r="A26" s="226">
        <v>6</v>
      </c>
      <c r="B26" s="75" t="s">
        <v>97</v>
      </c>
      <c r="C26" s="76">
        <f>+C16</f>
        <v>316766946</v>
      </c>
      <c r="D26" s="76">
        <f>+D16</f>
        <v>18590000</v>
      </c>
      <c r="E26" s="76">
        <f>+E16</f>
        <v>52466000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3">
      <c r="A27" s="226">
        <v>7</v>
      </c>
      <c r="B27" s="75" t="s">
        <v>326</v>
      </c>
      <c r="C27" s="76">
        <f>SUM(C25:C26)</f>
        <v>1310391976</v>
      </c>
      <c r="D27" s="76">
        <f>SUM(D25:D26)</f>
        <v>1176029000</v>
      </c>
      <c r="E27" s="76">
        <f>SUM(E25:E26)</f>
        <v>1272428000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3">
      <c r="A28" s="226">
        <v>8</v>
      </c>
      <c r="B28" s="330" t="s">
        <v>321</v>
      </c>
      <c r="C28" s="76">
        <f>+C17</f>
        <v>349216374</v>
      </c>
      <c r="D28" s="76">
        <f>+D17</f>
        <v>31382000</v>
      </c>
      <c r="E28" s="76">
        <f>+E17</f>
        <v>61109000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3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3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3">
      <c r="A31" s="85">
        <v>1</v>
      </c>
      <c r="B31" s="75" t="s">
        <v>513</v>
      </c>
      <c r="C31" s="76">
        <v>661351254</v>
      </c>
      <c r="D31" s="76">
        <v>603321000</v>
      </c>
      <c r="E31" s="76">
        <v>613859000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3">
      <c r="A32" s="74">
        <v>2</v>
      </c>
      <c r="B32" s="75" t="s">
        <v>514</v>
      </c>
      <c r="C32" s="76">
        <v>797554121</v>
      </c>
      <c r="D32" s="76">
        <v>755290000</v>
      </c>
      <c r="E32" s="76">
        <v>744565000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3">
      <c r="A33" s="74">
        <v>3</v>
      </c>
      <c r="B33" s="330" t="s">
        <v>515</v>
      </c>
      <c r="C33" s="76">
        <v>505189374</v>
      </c>
      <c r="D33" s="76">
        <f>+D32-C32</f>
        <v>-42264121</v>
      </c>
      <c r="E33" s="76">
        <f>+E32-D32</f>
        <v>-10725000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3">
      <c r="A34" s="74">
        <v>4</v>
      </c>
      <c r="B34" s="330" t="s">
        <v>516</v>
      </c>
      <c r="C34" s="193">
        <v>2.7279</v>
      </c>
      <c r="D34" s="193">
        <f>IF(C32=0,0,+D33/C32)</f>
        <v>-5.2992166784879544E-2</v>
      </c>
      <c r="E34" s="193">
        <f>IF(D32=0,0,+E33/D32)</f>
        <v>-1.4199843768618676E-2</v>
      </c>
      <c r="F34" s="80"/>
    </row>
    <row r="35" spans="1:14" ht="24" customHeight="1" x14ac:dyDescent="0.3">
      <c r="E35" s="56"/>
      <c r="F35" s="80"/>
    </row>
    <row r="36" spans="1:14" ht="15.75" customHeight="1" x14ac:dyDescent="0.3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3">
      <c r="A37" s="333"/>
      <c r="B37" s="334"/>
      <c r="C37" s="335"/>
      <c r="D37" s="335"/>
      <c r="E37" s="336"/>
      <c r="F37" s="80"/>
    </row>
    <row r="38" spans="1:14" ht="24" customHeight="1" x14ac:dyDescent="0.3">
      <c r="A38" s="333">
        <v>1</v>
      </c>
      <c r="B38" s="337" t="s">
        <v>353</v>
      </c>
      <c r="C38" s="338">
        <f>IF(+C40=0,0,+C39/+C40)</f>
        <v>1.6806729621222469</v>
      </c>
      <c r="D38" s="338">
        <f>IF(+D40=0,0,+D39/+D40)</f>
        <v>1.7114923464803051</v>
      </c>
      <c r="E38" s="338">
        <f>IF(+E40=0,0,+E39/+E40)</f>
        <v>1.8219281014815165</v>
      </c>
      <c r="F38" s="80"/>
    </row>
    <row r="39" spans="1:14" ht="24" customHeight="1" x14ac:dyDescent="0.3">
      <c r="A39" s="339">
        <v>2</v>
      </c>
      <c r="B39" s="340" t="s">
        <v>25</v>
      </c>
      <c r="C39" s="341">
        <v>358412968</v>
      </c>
      <c r="D39" s="341">
        <v>333308000</v>
      </c>
      <c r="E39" s="341">
        <v>307935000</v>
      </c>
      <c r="F39" s="80"/>
    </row>
    <row r="40" spans="1:14" ht="24" customHeight="1" x14ac:dyDescent="0.25">
      <c r="A40" s="339">
        <v>3</v>
      </c>
      <c r="B40" s="340" t="s">
        <v>54</v>
      </c>
      <c r="C40" s="341">
        <v>213255628</v>
      </c>
      <c r="D40" s="341">
        <v>194747000</v>
      </c>
      <c r="E40" s="341">
        <v>169016000</v>
      </c>
    </row>
    <row r="41" spans="1:14" ht="24" customHeight="1" x14ac:dyDescent="0.3">
      <c r="A41" s="339"/>
      <c r="B41" s="342"/>
      <c r="C41" s="335"/>
      <c r="D41" s="335"/>
      <c r="E41" s="336"/>
    </row>
    <row r="42" spans="1:14" ht="24" customHeight="1" x14ac:dyDescent="0.3">
      <c r="A42" s="333">
        <v>4</v>
      </c>
      <c r="B42" s="337" t="s">
        <v>354</v>
      </c>
      <c r="C42" s="343">
        <f>IF((C48/365)=0,0,+C45/(C48/365))</f>
        <v>63.660324233648275</v>
      </c>
      <c r="D42" s="343">
        <f>IF((D48/365)=0,0,+D45/(D48/365))</f>
        <v>35.038409596404136</v>
      </c>
      <c r="E42" s="343">
        <f>IF((E48/365)=0,0,+E45/(E48/365))</f>
        <v>31.210337959930186</v>
      </c>
    </row>
    <row r="43" spans="1:14" ht="24" customHeight="1" x14ac:dyDescent="0.25">
      <c r="A43" s="339">
        <v>5</v>
      </c>
      <c r="B43" s="344" t="s">
        <v>16</v>
      </c>
      <c r="C43" s="345">
        <v>144314483</v>
      </c>
      <c r="D43" s="345">
        <v>89299000</v>
      </c>
      <c r="E43" s="345">
        <v>61070000</v>
      </c>
    </row>
    <row r="44" spans="1:14" ht="24" customHeight="1" x14ac:dyDescent="0.25">
      <c r="A44" s="339">
        <v>6</v>
      </c>
      <c r="B44" s="346" t="s">
        <v>17</v>
      </c>
      <c r="C44" s="345">
        <v>14004464</v>
      </c>
      <c r="D44" s="345">
        <v>13983000</v>
      </c>
      <c r="E44" s="345">
        <v>36175000</v>
      </c>
    </row>
    <row r="45" spans="1:14" ht="24" customHeight="1" x14ac:dyDescent="0.25">
      <c r="A45" s="339">
        <v>7</v>
      </c>
      <c r="B45" s="340" t="s">
        <v>355</v>
      </c>
      <c r="C45" s="341">
        <f>+C43+C44</f>
        <v>158318947</v>
      </c>
      <c r="D45" s="341">
        <f>+D43+D44</f>
        <v>103282000</v>
      </c>
      <c r="E45" s="341">
        <f>+E43+E44</f>
        <v>97245000</v>
      </c>
    </row>
    <row r="46" spans="1:14" ht="24" customHeight="1" x14ac:dyDescent="0.25">
      <c r="A46" s="339">
        <v>8</v>
      </c>
      <c r="B46" s="340" t="s">
        <v>334</v>
      </c>
      <c r="C46" s="341">
        <f>+C14</f>
        <v>961175602</v>
      </c>
      <c r="D46" s="341">
        <f>+D14</f>
        <v>1144647000</v>
      </c>
      <c r="E46" s="341">
        <f>+E14</f>
        <v>1211319000</v>
      </c>
    </row>
    <row r="47" spans="1:14" ht="24" customHeight="1" x14ac:dyDescent="0.25">
      <c r="A47" s="339">
        <v>9</v>
      </c>
      <c r="B47" s="340" t="s">
        <v>356</v>
      </c>
      <c r="C47" s="341">
        <v>53445138</v>
      </c>
      <c r="D47" s="341">
        <v>68744000</v>
      </c>
      <c r="E47" s="341">
        <v>74054000</v>
      </c>
    </row>
    <row r="48" spans="1:14" ht="24" customHeight="1" x14ac:dyDescent="0.25">
      <c r="A48" s="339">
        <v>10</v>
      </c>
      <c r="B48" s="340" t="s">
        <v>357</v>
      </c>
      <c r="C48" s="341">
        <f>+C46-C47</f>
        <v>907730464</v>
      </c>
      <c r="D48" s="341">
        <f>+D46-D47</f>
        <v>1075903000</v>
      </c>
      <c r="E48" s="341">
        <f>+E46-E47</f>
        <v>1137265000</v>
      </c>
    </row>
    <row r="49" spans="1:5" ht="24" customHeight="1" x14ac:dyDescent="0.3">
      <c r="A49" s="347"/>
      <c r="B49" s="342"/>
      <c r="C49" s="348"/>
      <c r="D49" s="348"/>
      <c r="E49" s="349"/>
    </row>
    <row r="50" spans="1:5" ht="24" customHeight="1" x14ac:dyDescent="0.3">
      <c r="A50" s="333">
        <v>11</v>
      </c>
      <c r="B50" s="337" t="s">
        <v>358</v>
      </c>
      <c r="C50" s="350">
        <f>IF((C55/365)=0,0,+C54/(C55/365))</f>
        <v>28.474026236300624</v>
      </c>
      <c r="D50" s="350">
        <f>IF((D55/365)=0,0,+D54/(D55/365))</f>
        <v>31.547295746123496</v>
      </c>
      <c r="E50" s="350">
        <f>IF((E55/365)=0,0,+E54/(E55/365))</f>
        <v>31.947088791663809</v>
      </c>
    </row>
    <row r="51" spans="1:5" ht="24" customHeight="1" x14ac:dyDescent="0.25">
      <c r="A51" s="339">
        <v>12</v>
      </c>
      <c r="B51" s="344" t="s">
        <v>359</v>
      </c>
      <c r="C51" s="351">
        <v>128633349</v>
      </c>
      <c r="D51" s="351">
        <v>143408000</v>
      </c>
      <c r="E51" s="351">
        <v>135583000</v>
      </c>
    </row>
    <row r="52" spans="1:5" ht="24" customHeight="1" x14ac:dyDescent="0.25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5">
      <c r="A53" s="339">
        <v>14</v>
      </c>
      <c r="B53" s="344" t="s">
        <v>49</v>
      </c>
      <c r="C53" s="341">
        <v>53635921</v>
      </c>
      <c r="D53" s="341">
        <v>46275000</v>
      </c>
      <c r="E53" s="341">
        <v>32175000</v>
      </c>
    </row>
    <row r="54" spans="1:5" ht="33.9" customHeight="1" x14ac:dyDescent="0.25">
      <c r="A54" s="339">
        <v>15</v>
      </c>
      <c r="B54" s="340" t="s">
        <v>360</v>
      </c>
      <c r="C54" s="352">
        <f>+C51+C52-C53</f>
        <v>74997428</v>
      </c>
      <c r="D54" s="352">
        <f>+D51+D52-D53</f>
        <v>97133000</v>
      </c>
      <c r="E54" s="352">
        <f>+E51+E52-E53</f>
        <v>103408000</v>
      </c>
    </row>
    <row r="55" spans="1:5" ht="24" customHeight="1" x14ac:dyDescent="0.25">
      <c r="A55" s="339">
        <v>16</v>
      </c>
      <c r="B55" s="340" t="s">
        <v>75</v>
      </c>
      <c r="C55" s="341">
        <f>+C11</f>
        <v>961369530</v>
      </c>
      <c r="D55" s="341">
        <f>+D11</f>
        <v>1123822000</v>
      </c>
      <c r="E55" s="341">
        <f>+E11</f>
        <v>1181451000</v>
      </c>
    </row>
    <row r="56" spans="1:5" ht="24" customHeight="1" x14ac:dyDescent="0.25">
      <c r="A56" s="347"/>
      <c r="B56" s="340"/>
      <c r="C56" s="353"/>
      <c r="D56" s="354"/>
      <c r="E56" s="354"/>
    </row>
    <row r="57" spans="1:5" ht="24" customHeight="1" x14ac:dyDescent="0.3">
      <c r="A57" s="333">
        <v>17</v>
      </c>
      <c r="B57" s="337" t="s">
        <v>361</v>
      </c>
      <c r="C57" s="355">
        <f>IF((C61/365)=0,0,+C58/(C61/365))</f>
        <v>85.750459312556458</v>
      </c>
      <c r="D57" s="355">
        <f>IF((D61/365)=0,0,+D58/(D61/365))</f>
        <v>66.067902961512331</v>
      </c>
      <c r="E57" s="355">
        <f>IF((E61/365)=0,0,+E58/(E61/365))</f>
        <v>54.244912135693973</v>
      </c>
    </row>
    <row r="58" spans="1:5" ht="24" customHeight="1" x14ac:dyDescent="0.25">
      <c r="A58" s="339">
        <v>18</v>
      </c>
      <c r="B58" s="340" t="s">
        <v>54</v>
      </c>
      <c r="C58" s="353">
        <f>+C40</f>
        <v>213255628</v>
      </c>
      <c r="D58" s="353">
        <f>+D40</f>
        <v>194747000</v>
      </c>
      <c r="E58" s="353">
        <f>+E40</f>
        <v>169016000</v>
      </c>
    </row>
    <row r="59" spans="1:5" ht="24" customHeight="1" x14ac:dyDescent="0.25">
      <c r="A59" s="339">
        <v>19</v>
      </c>
      <c r="B59" s="340" t="s">
        <v>334</v>
      </c>
      <c r="C59" s="353">
        <f t="shared" ref="C59:E60" si="0">+C46</f>
        <v>961175602</v>
      </c>
      <c r="D59" s="353">
        <f t="shared" si="0"/>
        <v>1144647000</v>
      </c>
      <c r="E59" s="353">
        <f t="shared" si="0"/>
        <v>1211319000</v>
      </c>
    </row>
    <row r="60" spans="1:5" ht="24" customHeight="1" x14ac:dyDescent="0.25">
      <c r="A60" s="339">
        <v>20</v>
      </c>
      <c r="B60" s="340" t="s">
        <v>356</v>
      </c>
      <c r="C60" s="356">
        <f t="shared" si="0"/>
        <v>53445138</v>
      </c>
      <c r="D60" s="356">
        <f t="shared" si="0"/>
        <v>68744000</v>
      </c>
      <c r="E60" s="356">
        <f t="shared" si="0"/>
        <v>74054000</v>
      </c>
    </row>
    <row r="61" spans="1:5" ht="24" customHeight="1" x14ac:dyDescent="0.25">
      <c r="A61" s="339">
        <v>20</v>
      </c>
      <c r="B61" s="340" t="s">
        <v>362</v>
      </c>
      <c r="C61" s="353">
        <f>+C59-C60</f>
        <v>907730464</v>
      </c>
      <c r="D61" s="353">
        <f>+D59-D60</f>
        <v>1075903000</v>
      </c>
      <c r="E61" s="353">
        <f>+E59-E60</f>
        <v>1137265000</v>
      </c>
    </row>
    <row r="62" spans="1:5" ht="24" customHeight="1" x14ac:dyDescent="0.3">
      <c r="A62" s="347"/>
      <c r="B62" s="340"/>
      <c r="C62" s="353"/>
      <c r="D62" s="353"/>
      <c r="E62" s="336"/>
    </row>
    <row r="63" spans="1:5" ht="24" customHeight="1" x14ac:dyDescent="0.3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3">
      <c r="A64" s="333"/>
      <c r="B64" s="334"/>
      <c r="C64" s="353"/>
      <c r="D64" s="353"/>
      <c r="E64" s="336"/>
    </row>
    <row r="65" spans="1:5" ht="24" customHeight="1" x14ac:dyDescent="0.3">
      <c r="A65" s="333">
        <v>1</v>
      </c>
      <c r="B65" s="337" t="s">
        <v>364</v>
      </c>
      <c r="C65" s="357">
        <f>IF(C67=0,0,(C66/C67)*100)</f>
        <v>48.925563433152533</v>
      </c>
      <c r="D65" s="357">
        <f>IF(D67=0,0,(D66/D67)*100)</f>
        <v>46.855904244693669</v>
      </c>
      <c r="E65" s="357">
        <f>IF(E67=0,0,(E66/E67)*100)</f>
        <v>46.579825345595886</v>
      </c>
    </row>
    <row r="66" spans="1:5" ht="24" customHeight="1" x14ac:dyDescent="0.25">
      <c r="A66" s="339">
        <v>2</v>
      </c>
      <c r="B66" s="340" t="s">
        <v>67</v>
      </c>
      <c r="C66" s="353">
        <f>+C32</f>
        <v>797554121</v>
      </c>
      <c r="D66" s="353">
        <f>+D32</f>
        <v>755290000</v>
      </c>
      <c r="E66" s="353">
        <f>+E32</f>
        <v>744565000</v>
      </c>
    </row>
    <row r="67" spans="1:5" ht="24" customHeight="1" x14ac:dyDescent="0.25">
      <c r="A67" s="339">
        <v>3</v>
      </c>
      <c r="B67" s="340" t="s">
        <v>43</v>
      </c>
      <c r="C67" s="353">
        <v>1630137836</v>
      </c>
      <c r="D67" s="353">
        <v>1611942000</v>
      </c>
      <c r="E67" s="353">
        <v>1598471000</v>
      </c>
    </row>
    <row r="68" spans="1:5" ht="24" customHeight="1" x14ac:dyDescent="0.3">
      <c r="A68" s="347"/>
      <c r="B68" s="337"/>
      <c r="C68" s="355"/>
      <c r="D68" s="355"/>
      <c r="E68" s="336"/>
    </row>
    <row r="69" spans="1:5" ht="24" customHeight="1" x14ac:dyDescent="0.3">
      <c r="A69" s="333">
        <v>4</v>
      </c>
      <c r="B69" s="337" t="s">
        <v>365</v>
      </c>
      <c r="C69" s="357">
        <f>IF(C75=0,0,(C72/C75)*100)</f>
        <v>69.787529608373944</v>
      </c>
      <c r="D69" s="357">
        <f>IF(D75=0,0,(D72/D75)*100)</f>
        <v>18.214463731521942</v>
      </c>
      <c r="E69" s="357">
        <f>IF(E75=0,0,(E72/E75)*100)</f>
        <v>26.266459897703776</v>
      </c>
    </row>
    <row r="70" spans="1:5" ht="24" customHeight="1" x14ac:dyDescent="0.25">
      <c r="A70" s="339">
        <v>5</v>
      </c>
      <c r="B70" s="340" t="s">
        <v>366</v>
      </c>
      <c r="C70" s="353">
        <f>+C28</f>
        <v>349216374</v>
      </c>
      <c r="D70" s="353">
        <f>+D28</f>
        <v>31382000</v>
      </c>
      <c r="E70" s="353">
        <f>+E28</f>
        <v>61109000</v>
      </c>
    </row>
    <row r="71" spans="1:5" ht="24" customHeight="1" x14ac:dyDescent="0.25">
      <c r="A71" s="339">
        <v>6</v>
      </c>
      <c r="B71" s="340" t="s">
        <v>356</v>
      </c>
      <c r="C71" s="356">
        <f>+C47</f>
        <v>53445138</v>
      </c>
      <c r="D71" s="356">
        <f>+D47</f>
        <v>68744000</v>
      </c>
      <c r="E71" s="356">
        <f>+E47</f>
        <v>74054000</v>
      </c>
    </row>
    <row r="72" spans="1:5" ht="33.9" customHeight="1" x14ac:dyDescent="0.25">
      <c r="A72" s="339">
        <v>7</v>
      </c>
      <c r="B72" s="340" t="s">
        <v>367</v>
      </c>
      <c r="C72" s="353">
        <f>+C70+C71</f>
        <v>402661512</v>
      </c>
      <c r="D72" s="353">
        <f>+D70+D71</f>
        <v>100126000</v>
      </c>
      <c r="E72" s="353">
        <f>+E70+E71</f>
        <v>135163000</v>
      </c>
    </row>
    <row r="73" spans="1:5" ht="24" customHeight="1" x14ac:dyDescent="0.25">
      <c r="A73" s="339">
        <v>8</v>
      </c>
      <c r="B73" s="340" t="s">
        <v>54</v>
      </c>
      <c r="C73" s="341">
        <f>+C40</f>
        <v>213255628</v>
      </c>
      <c r="D73" s="341">
        <f>+D40</f>
        <v>194747000</v>
      </c>
      <c r="E73" s="341">
        <f>+E40</f>
        <v>169016000</v>
      </c>
    </row>
    <row r="74" spans="1:5" ht="24" customHeight="1" x14ac:dyDescent="0.25">
      <c r="A74" s="339">
        <v>9</v>
      </c>
      <c r="B74" s="340" t="s">
        <v>58</v>
      </c>
      <c r="C74" s="353">
        <v>363726412</v>
      </c>
      <c r="D74" s="353">
        <v>354959000</v>
      </c>
      <c r="E74" s="353">
        <v>345568000</v>
      </c>
    </row>
    <row r="75" spans="1:5" ht="24" customHeight="1" x14ac:dyDescent="0.25">
      <c r="A75" s="339">
        <v>10</v>
      </c>
      <c r="B75" s="358" t="s">
        <v>368</v>
      </c>
      <c r="C75" s="341">
        <f>+C73+C74</f>
        <v>576982040</v>
      </c>
      <c r="D75" s="341">
        <f>+D73+D74</f>
        <v>549706000</v>
      </c>
      <c r="E75" s="341">
        <f>+E73+E74</f>
        <v>514584000</v>
      </c>
    </row>
    <row r="76" spans="1:5" ht="24" customHeight="1" x14ac:dyDescent="0.3">
      <c r="A76" s="347"/>
      <c r="B76" s="337"/>
      <c r="C76" s="350"/>
      <c r="D76" s="350"/>
      <c r="E76" s="349"/>
    </row>
    <row r="77" spans="1:5" ht="24" customHeight="1" x14ac:dyDescent="0.3">
      <c r="A77" s="333">
        <v>11</v>
      </c>
      <c r="B77" s="337" t="s">
        <v>369</v>
      </c>
      <c r="C77" s="359">
        <f>IF(C80=0,0,(C78/C80)*100)</f>
        <v>31.321149512458074</v>
      </c>
      <c r="D77" s="359">
        <f>IF(D80=0,0,(D78/D80)*100)</f>
        <v>31.971116389206383</v>
      </c>
      <c r="E77" s="359">
        <f>IF(E80=0,0,(E78/E80)*100)</f>
        <v>31.69961830345472</v>
      </c>
    </row>
    <row r="78" spans="1:5" ht="24" customHeight="1" x14ac:dyDescent="0.25">
      <c r="A78" s="339">
        <v>12</v>
      </c>
      <c r="B78" s="340" t="s">
        <v>58</v>
      </c>
      <c r="C78" s="341">
        <f>+C74</f>
        <v>363726412</v>
      </c>
      <c r="D78" s="341">
        <f>+D74</f>
        <v>354959000</v>
      </c>
      <c r="E78" s="341">
        <f>+E74</f>
        <v>345568000</v>
      </c>
    </row>
    <row r="79" spans="1:5" ht="24" customHeight="1" x14ac:dyDescent="0.25">
      <c r="A79" s="339">
        <v>13</v>
      </c>
      <c r="B79" s="340" t="s">
        <v>67</v>
      </c>
      <c r="C79" s="341">
        <f>+C32</f>
        <v>797554121</v>
      </c>
      <c r="D79" s="341">
        <f>+D32</f>
        <v>755290000</v>
      </c>
      <c r="E79" s="341">
        <f>+E32</f>
        <v>744565000</v>
      </c>
    </row>
    <row r="80" spans="1:5" ht="24" customHeight="1" x14ac:dyDescent="0.25">
      <c r="A80" s="339">
        <v>14</v>
      </c>
      <c r="B80" s="340" t="s">
        <v>370</v>
      </c>
      <c r="C80" s="341">
        <f>+C78+C79</f>
        <v>1161280533</v>
      </c>
      <c r="D80" s="341">
        <f>+D78+D79</f>
        <v>1110249000</v>
      </c>
      <c r="E80" s="341">
        <f>+E78+E79</f>
        <v>1090133000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79" fitToHeight="0" orientation="portrait" horizontalDpi="300" verticalDpi="300" r:id="rId1"/>
  <headerFooter>
    <oddHeader>&amp;LOFFICE OF HEALTH CARE ACCESS&amp;CTWELVE MONTHS ACTUAL FILING&amp;RNORWALK HOSPITAL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B30" sqref="B30"/>
    </sheetView>
  </sheetViews>
  <sheetFormatPr defaultColWidth="9.109375" defaultRowHeight="13.2" x14ac:dyDescent="0.25"/>
  <cols>
    <col min="1" max="1" width="5.88671875" style="396" customWidth="1"/>
    <col min="2" max="2" width="47.6640625" style="396" customWidth="1"/>
    <col min="3" max="3" width="17.33203125" style="396" customWidth="1"/>
    <col min="4" max="4" width="19.109375" style="365" customWidth="1"/>
    <col min="5" max="7" width="17.33203125" style="365" customWidth="1"/>
    <col min="8" max="8" width="19.109375" style="365" bestFit="1" customWidth="1"/>
    <col min="9" max="11" width="19.109375" style="365" customWidth="1"/>
    <col min="12" max="16384" width="9.109375" style="365"/>
  </cols>
  <sheetData>
    <row r="1" spans="1:11" ht="15.75" customHeight="1" x14ac:dyDescent="0.3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3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3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3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3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3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3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3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3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3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5">
      <c r="A11" s="374">
        <v>1</v>
      </c>
      <c r="B11" s="375" t="s">
        <v>533</v>
      </c>
      <c r="C11" s="376">
        <v>30242</v>
      </c>
      <c r="D11" s="376">
        <v>9126</v>
      </c>
      <c r="E11" s="376">
        <v>9241</v>
      </c>
      <c r="F11" s="377">
        <v>91</v>
      </c>
      <c r="G11" s="377">
        <v>179</v>
      </c>
      <c r="H11" s="378">
        <f>IF(F11=0,0,$C11/(F11*365))</f>
        <v>0.91049224747854884</v>
      </c>
      <c r="I11" s="378">
        <f>IF(G11=0,0,$C11/(G11*365))</f>
        <v>0.46287594704216728</v>
      </c>
      <c r="J11" s="367"/>
      <c r="K11" s="379"/>
    </row>
    <row r="12" spans="1:11" ht="15" customHeight="1" x14ac:dyDescent="0.25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5">
      <c r="A13" s="374">
        <v>2</v>
      </c>
      <c r="B13" s="375" t="s">
        <v>534</v>
      </c>
      <c r="C13" s="376">
        <v>11224</v>
      </c>
      <c r="D13" s="376">
        <v>1777</v>
      </c>
      <c r="E13" s="376">
        <v>0</v>
      </c>
      <c r="F13" s="377">
        <v>32</v>
      </c>
      <c r="G13" s="377">
        <v>49</v>
      </c>
      <c r="H13" s="378">
        <f>IF(F13=0,0,$C13/(F13*365))</f>
        <v>0.96095890410958906</v>
      </c>
      <c r="I13" s="378">
        <f>IF(G13=0,0,$C13/(G13*365))</f>
        <v>0.62756499860218062</v>
      </c>
      <c r="J13" s="367"/>
      <c r="K13" s="379"/>
    </row>
    <row r="14" spans="1:11" ht="15" customHeight="1" x14ac:dyDescent="0.25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5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5">
      <c r="A16" s="374">
        <v>4</v>
      </c>
      <c r="B16" s="375" t="s">
        <v>536</v>
      </c>
      <c r="C16" s="376">
        <v>3835</v>
      </c>
      <c r="D16" s="376">
        <v>648</v>
      </c>
      <c r="E16" s="376">
        <v>641</v>
      </c>
      <c r="F16" s="377">
        <v>11</v>
      </c>
      <c r="G16" s="377">
        <v>20</v>
      </c>
      <c r="H16" s="378">
        <f t="shared" si="0"/>
        <v>0.95516811955168124</v>
      </c>
      <c r="I16" s="378">
        <f t="shared" si="0"/>
        <v>0.52534246575342469</v>
      </c>
      <c r="J16" s="367"/>
      <c r="K16" s="379"/>
    </row>
    <row r="17" spans="1:11" ht="15.75" customHeight="1" x14ac:dyDescent="0.3">
      <c r="A17" s="136"/>
      <c r="B17" s="380" t="s">
        <v>537</v>
      </c>
      <c r="C17" s="381">
        <f>SUM(C15:C16)</f>
        <v>3835</v>
      </c>
      <c r="D17" s="381">
        <f>SUM(D15:D16)</f>
        <v>648</v>
      </c>
      <c r="E17" s="381">
        <f>SUM(E15:E16)</f>
        <v>641</v>
      </c>
      <c r="F17" s="381">
        <f>SUM(F15:F16)</f>
        <v>11</v>
      </c>
      <c r="G17" s="381">
        <f>SUM(G15:G16)</f>
        <v>20</v>
      </c>
      <c r="H17" s="382">
        <f t="shared" si="0"/>
        <v>0.95516811955168124</v>
      </c>
      <c r="I17" s="382">
        <f t="shared" si="0"/>
        <v>0.52534246575342469</v>
      </c>
      <c r="J17" s="367"/>
      <c r="K17" s="379"/>
    </row>
    <row r="18" spans="1:11" ht="15.75" customHeight="1" x14ac:dyDescent="0.3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5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5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5">
      <c r="A21" s="374">
        <v>6</v>
      </c>
      <c r="B21" s="375" t="s">
        <v>539</v>
      </c>
      <c r="C21" s="376">
        <v>4022</v>
      </c>
      <c r="D21" s="376">
        <v>1314</v>
      </c>
      <c r="E21" s="376">
        <v>1320</v>
      </c>
      <c r="F21" s="377">
        <v>12</v>
      </c>
      <c r="G21" s="377">
        <v>32</v>
      </c>
      <c r="H21" s="378">
        <f>IF(F21=0,0,$C21/(F21*365))</f>
        <v>0.91826484018264842</v>
      </c>
      <c r="I21" s="378">
        <f>IF(G21=0,0,$C21/(G21*365))</f>
        <v>0.34434931506849314</v>
      </c>
      <c r="J21" s="367"/>
      <c r="K21" s="379"/>
    </row>
    <row r="22" spans="1:11" ht="15" customHeight="1" x14ac:dyDescent="0.25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5">
      <c r="A23" s="374">
        <v>7</v>
      </c>
      <c r="B23" s="375" t="s">
        <v>540</v>
      </c>
      <c r="C23" s="376">
        <v>2982</v>
      </c>
      <c r="D23" s="376">
        <v>1173</v>
      </c>
      <c r="E23" s="376">
        <v>1297</v>
      </c>
      <c r="F23" s="377">
        <v>9</v>
      </c>
      <c r="G23" s="377">
        <v>20</v>
      </c>
      <c r="H23" s="378">
        <f>IF(F23=0,0,$C23/(F23*365))</f>
        <v>0.90776255707762554</v>
      </c>
      <c r="I23" s="378">
        <f>IF(G23=0,0,$C23/(G23*365))</f>
        <v>0.40849315068493153</v>
      </c>
      <c r="J23" s="367"/>
      <c r="K23" s="379"/>
    </row>
    <row r="24" spans="1:11" ht="15" customHeight="1" x14ac:dyDescent="0.25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5">
      <c r="A25" s="374">
        <v>8</v>
      </c>
      <c r="B25" s="375" t="s">
        <v>541</v>
      </c>
      <c r="C25" s="376">
        <v>1169</v>
      </c>
      <c r="D25" s="376">
        <v>120</v>
      </c>
      <c r="E25" s="376">
        <v>0</v>
      </c>
      <c r="F25" s="377">
        <v>4</v>
      </c>
      <c r="G25" s="377">
        <v>16</v>
      </c>
      <c r="H25" s="378">
        <f>IF(F25=0,0,$C25/(F25*365))</f>
        <v>0.80068493150684927</v>
      </c>
      <c r="I25" s="378">
        <f>IF(G25=0,0,$C25/(G25*365))</f>
        <v>0.20017123287671232</v>
      </c>
      <c r="J25" s="367"/>
      <c r="K25" s="379"/>
    </row>
    <row r="26" spans="1:11" ht="15" customHeight="1" x14ac:dyDescent="0.25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5">
      <c r="A27" s="374">
        <v>9</v>
      </c>
      <c r="B27" s="375" t="s">
        <v>542</v>
      </c>
      <c r="C27" s="376">
        <v>576</v>
      </c>
      <c r="D27" s="376">
        <v>266</v>
      </c>
      <c r="E27" s="376">
        <v>139</v>
      </c>
      <c r="F27" s="377">
        <v>2</v>
      </c>
      <c r="G27" s="377">
        <v>17</v>
      </c>
      <c r="H27" s="378">
        <f>IF(F27=0,0,$C27/(F27*365))</f>
        <v>0.78904109589041094</v>
      </c>
      <c r="I27" s="378">
        <f>IF(G27=0,0,$C27/(G27*365))</f>
        <v>9.2828364222401288E-2</v>
      </c>
      <c r="J27" s="367"/>
      <c r="K27" s="379"/>
    </row>
    <row r="28" spans="1:11" ht="15" customHeight="1" x14ac:dyDescent="0.25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5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3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3">
      <c r="A31" s="136"/>
      <c r="B31" s="361" t="s">
        <v>544</v>
      </c>
      <c r="C31" s="384">
        <f>SUM(C10:C29)-C17-C23</f>
        <v>51068</v>
      </c>
      <c r="D31" s="384">
        <f>SUM(D10:D29)-D13-D17-D23</f>
        <v>11474</v>
      </c>
      <c r="E31" s="384">
        <f>SUM(E10:E29)-E17-E23</f>
        <v>11341</v>
      </c>
      <c r="F31" s="384">
        <f>SUM(F10:F29)-F17-F23</f>
        <v>152</v>
      </c>
      <c r="G31" s="384">
        <f>SUM(G10:G29)-G17-G23</f>
        <v>313</v>
      </c>
      <c r="H31" s="385">
        <f>IF(F31=0,0,$C31/(F31*365))</f>
        <v>0.92047584715212694</v>
      </c>
      <c r="I31" s="385">
        <f>IF(G31=0,0,$C31/(G31*365))</f>
        <v>0.4470042452623747</v>
      </c>
      <c r="J31" s="367"/>
      <c r="K31" s="379"/>
    </row>
    <row r="32" spans="1:11" ht="15.75" customHeight="1" x14ac:dyDescent="0.3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3">
      <c r="A33" s="136"/>
      <c r="B33" s="361" t="s">
        <v>545</v>
      </c>
      <c r="C33" s="384">
        <f>SUM(C10:C29)-C17</f>
        <v>54050</v>
      </c>
      <c r="D33" s="384">
        <f>SUM(D10:D29)-D13-D17</f>
        <v>12647</v>
      </c>
      <c r="E33" s="384">
        <f>SUM(E10:E29)-E17</f>
        <v>12638</v>
      </c>
      <c r="F33" s="384">
        <f>SUM(F10:F29)-F17</f>
        <v>161</v>
      </c>
      <c r="G33" s="384">
        <f>SUM(G10:G29)-G17</f>
        <v>333</v>
      </c>
      <c r="H33" s="385">
        <f>IF(F33=0,0,$C33/(F33*365))</f>
        <v>0.91976516634050876</v>
      </c>
      <c r="I33" s="385">
        <f>IF(G33=0,0,$C33/(G33*365))</f>
        <v>0.44469126660907482</v>
      </c>
      <c r="J33" s="367"/>
      <c r="K33" s="379"/>
    </row>
    <row r="34" spans="1:11" ht="15.75" customHeight="1" x14ac:dyDescent="0.3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3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3">
      <c r="A36" s="136"/>
      <c r="B36" s="361" t="s">
        <v>546</v>
      </c>
      <c r="C36" s="384">
        <f t="shared" ref="C36:I36" si="1">+C33</f>
        <v>54050</v>
      </c>
      <c r="D36" s="384">
        <f t="shared" si="1"/>
        <v>12647</v>
      </c>
      <c r="E36" s="384">
        <f t="shared" si="1"/>
        <v>12638</v>
      </c>
      <c r="F36" s="384">
        <f t="shared" si="1"/>
        <v>161</v>
      </c>
      <c r="G36" s="384">
        <f t="shared" si="1"/>
        <v>333</v>
      </c>
      <c r="H36" s="387">
        <f t="shared" si="1"/>
        <v>0.91976516634050876</v>
      </c>
      <c r="I36" s="387">
        <f t="shared" si="1"/>
        <v>0.44469126660907482</v>
      </c>
      <c r="J36" s="367"/>
      <c r="K36" s="379"/>
    </row>
    <row r="37" spans="1:11" ht="15.75" customHeight="1" x14ac:dyDescent="0.3">
      <c r="A37" s="136"/>
      <c r="B37" s="361" t="s">
        <v>547</v>
      </c>
      <c r="C37" s="384">
        <v>58011</v>
      </c>
      <c r="D37" s="384">
        <v>12877</v>
      </c>
      <c r="E37" s="384">
        <v>12796</v>
      </c>
      <c r="F37" s="386">
        <v>190</v>
      </c>
      <c r="G37" s="386">
        <v>331</v>
      </c>
      <c r="H37" s="385">
        <f>IF(F37=0,0,$C37/(F37*365))</f>
        <v>0.83649603460706556</v>
      </c>
      <c r="I37" s="385">
        <f>IF(G37=0,0,$C37/(G37*365))</f>
        <v>0.48016388693456941</v>
      </c>
      <c r="J37" s="367"/>
      <c r="K37" s="379"/>
    </row>
    <row r="38" spans="1:11" ht="15.75" customHeight="1" x14ac:dyDescent="0.3">
      <c r="A38" s="136"/>
      <c r="B38" s="361" t="s">
        <v>548</v>
      </c>
      <c r="C38" s="384">
        <f t="shared" ref="C38:I38" si="2">+C36-C37</f>
        <v>-3961</v>
      </c>
      <c r="D38" s="384">
        <f t="shared" si="2"/>
        <v>-230</v>
      </c>
      <c r="E38" s="384">
        <f t="shared" si="2"/>
        <v>-158</v>
      </c>
      <c r="F38" s="384">
        <f t="shared" si="2"/>
        <v>-29</v>
      </c>
      <c r="G38" s="384">
        <f t="shared" si="2"/>
        <v>2</v>
      </c>
      <c r="H38" s="387">
        <f t="shared" si="2"/>
        <v>8.3269131733443191E-2</v>
      </c>
      <c r="I38" s="387">
        <f t="shared" si="2"/>
        <v>-3.5472620325494586E-2</v>
      </c>
      <c r="J38" s="367"/>
      <c r="K38" s="379"/>
    </row>
    <row r="39" spans="1:11" ht="15.75" customHeight="1" x14ac:dyDescent="0.3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3">
      <c r="A40" s="136"/>
      <c r="B40" s="361" t="s">
        <v>549</v>
      </c>
      <c r="C40" s="389">
        <f t="shared" ref="C40:I40" si="3">IF(C37=0,0,C38/C37)</f>
        <v>-6.8280153763941323E-2</v>
      </c>
      <c r="D40" s="389">
        <f t="shared" si="3"/>
        <v>-1.7861303098547797E-2</v>
      </c>
      <c r="E40" s="389">
        <f t="shared" si="3"/>
        <v>-1.2347608627696155E-2</v>
      </c>
      <c r="F40" s="389">
        <f t="shared" si="3"/>
        <v>-0.15263157894736842</v>
      </c>
      <c r="G40" s="389">
        <f t="shared" si="3"/>
        <v>6.0422960725075529E-3</v>
      </c>
      <c r="H40" s="389">
        <f t="shared" si="3"/>
        <v>9.9545160154354967E-2</v>
      </c>
      <c r="I40" s="389">
        <f t="shared" si="3"/>
        <v>-7.3876068756350138E-2</v>
      </c>
      <c r="J40" s="390"/>
      <c r="K40" s="379"/>
    </row>
    <row r="41" spans="1:11" ht="15.75" customHeight="1" x14ac:dyDescent="0.3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3">
      <c r="A42" s="391"/>
      <c r="B42" s="375" t="s">
        <v>550</v>
      </c>
      <c r="C42" s="375">
        <v>366</v>
      </c>
      <c r="D42" s="391"/>
      <c r="E42" s="391"/>
      <c r="F42" s="391"/>
      <c r="G42" s="391"/>
      <c r="H42" s="367"/>
      <c r="I42" s="379"/>
    </row>
    <row r="43" spans="1:11" ht="15.75" customHeight="1" x14ac:dyDescent="0.3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3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3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3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3">
      <c r="A47" s="395"/>
      <c r="B47" s="393"/>
      <c r="C47" s="393"/>
      <c r="D47" s="393"/>
      <c r="E47" s="393"/>
      <c r="F47" s="393"/>
      <c r="G47" s="393"/>
    </row>
    <row r="48" spans="1:11" ht="15" customHeight="1" x14ac:dyDescent="0.25">
      <c r="B48" s="397"/>
      <c r="C48" s="398"/>
    </row>
  </sheetData>
  <printOptions gridLines="1"/>
  <pageMargins left="0.25" right="0.25" top="0.5" bottom="0.5" header="0.25" footer="0.25"/>
  <pageSetup scale="71" orientation="landscape" horizontalDpi="300" verticalDpi="300" r:id="rId1"/>
  <headerFooter>
    <oddHeader>&amp;LOFFICE OF HEALTH CARE ACCESS&amp;CTWELVE MONTHS ACTUAL FILING&amp;RNORWALK HOSPITAL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activeCell="B30" sqref="B30"/>
    </sheetView>
  </sheetViews>
  <sheetFormatPr defaultColWidth="9.109375" defaultRowHeight="13.2" x14ac:dyDescent="0.25"/>
  <cols>
    <col min="1" max="1" width="6.88671875" style="396" customWidth="1"/>
    <col min="2" max="2" width="52.5546875" style="365" customWidth="1"/>
    <col min="3" max="4" width="20.33203125" style="365" customWidth="1"/>
    <col min="5" max="5" width="19" style="365" customWidth="1"/>
    <col min="6" max="8" width="18.109375" style="365" customWidth="1"/>
    <col min="9" max="9" width="17.5546875" style="365" customWidth="1"/>
    <col min="10" max="11" width="22" style="365" bestFit="1" customWidth="1"/>
    <col min="12" max="12" width="14" style="365" bestFit="1" customWidth="1"/>
    <col min="13" max="13" width="15.109375" style="365" customWidth="1"/>
    <col min="14" max="16384" width="9.109375" style="365"/>
  </cols>
  <sheetData>
    <row r="1" spans="1:16" ht="15.75" customHeight="1" x14ac:dyDescent="0.3">
      <c r="A1" s="810" t="s">
        <v>0</v>
      </c>
      <c r="B1" s="811"/>
      <c r="C1" s="811"/>
      <c r="D1" s="811"/>
      <c r="E1" s="811"/>
      <c r="F1" s="812"/>
    </row>
    <row r="2" spans="1:16" ht="15.75" customHeight="1" x14ac:dyDescent="0.3">
      <c r="A2" s="810" t="s">
        <v>1</v>
      </c>
      <c r="B2" s="811"/>
      <c r="C2" s="811"/>
      <c r="D2" s="811"/>
      <c r="E2" s="811"/>
      <c r="F2" s="812"/>
    </row>
    <row r="3" spans="1:16" ht="15.75" customHeight="1" x14ac:dyDescent="0.3">
      <c r="A3" s="810" t="s">
        <v>2</v>
      </c>
      <c r="B3" s="811"/>
      <c r="C3" s="811"/>
      <c r="D3" s="811"/>
      <c r="E3" s="811"/>
      <c r="F3" s="812"/>
    </row>
    <row r="4" spans="1:16" ht="15.75" customHeight="1" x14ac:dyDescent="0.3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3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3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3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3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3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3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3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3">
      <c r="A12" s="374">
        <v>1</v>
      </c>
      <c r="B12" s="408" t="s">
        <v>555</v>
      </c>
      <c r="C12" s="409">
        <v>7614</v>
      </c>
      <c r="D12" s="409">
        <v>7141</v>
      </c>
      <c r="E12" s="409">
        <f>+D12-C12</f>
        <v>-473</v>
      </c>
      <c r="F12" s="410">
        <f>IF(C12=0,0,+E12/C12)</f>
        <v>-6.2122406094037297E-2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3">
      <c r="A13" s="374">
        <v>2</v>
      </c>
      <c r="B13" s="408" t="s">
        <v>556</v>
      </c>
      <c r="C13" s="409">
        <v>11516</v>
      </c>
      <c r="D13" s="409">
        <v>11505</v>
      </c>
      <c r="E13" s="409">
        <f>+D13-C13</f>
        <v>-11</v>
      </c>
      <c r="F13" s="410">
        <f>IF(C13=0,0,+E13/C13)</f>
        <v>-9.5519277526919064E-4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3">
      <c r="A14" s="374">
        <v>3</v>
      </c>
      <c r="B14" s="408" t="s">
        <v>557</v>
      </c>
      <c r="C14" s="409">
        <v>9627</v>
      </c>
      <c r="D14" s="409">
        <v>9376</v>
      </c>
      <c r="E14" s="409">
        <f>+D14-C14</f>
        <v>-251</v>
      </c>
      <c r="F14" s="410">
        <f>IF(C14=0,0,+E14/C14)</f>
        <v>-2.6072504414667082E-2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3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3">
      <c r="A16" s="136"/>
      <c r="B16" s="399" t="s">
        <v>559</v>
      </c>
      <c r="C16" s="401">
        <f>SUM(C12:C15)</f>
        <v>28757</v>
      </c>
      <c r="D16" s="401">
        <f>SUM(D12:D15)</f>
        <v>28022</v>
      </c>
      <c r="E16" s="401">
        <f>+D16-C16</f>
        <v>-735</v>
      </c>
      <c r="F16" s="402">
        <f>IF(C16=0,0,+E16/C16)</f>
        <v>-2.5558994331814862E-2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3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3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5">
      <c r="A19" s="374">
        <v>1</v>
      </c>
      <c r="B19" s="408" t="s">
        <v>555</v>
      </c>
      <c r="C19" s="409">
        <v>1141</v>
      </c>
      <c r="D19" s="409">
        <v>1139</v>
      </c>
      <c r="E19" s="409">
        <f>+D19-C19</f>
        <v>-2</v>
      </c>
      <c r="F19" s="410">
        <f>IF(C19=0,0,+E19/C19)</f>
        <v>-1.7528483786152498E-3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5">
      <c r="A20" s="374">
        <v>2</v>
      </c>
      <c r="B20" s="408" t="s">
        <v>556</v>
      </c>
      <c r="C20" s="409">
        <v>9732</v>
      </c>
      <c r="D20" s="409">
        <v>10235</v>
      </c>
      <c r="E20" s="409">
        <f>+D20-C20</f>
        <v>503</v>
      </c>
      <c r="F20" s="410">
        <f>IF(C20=0,0,+E20/C20)</f>
        <v>5.1685162351006987E-2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5">
      <c r="A21" s="374">
        <v>3</v>
      </c>
      <c r="B21" s="408" t="s">
        <v>557</v>
      </c>
      <c r="C21" s="409">
        <v>216</v>
      </c>
      <c r="D21" s="409">
        <v>247</v>
      </c>
      <c r="E21" s="409">
        <f>+D21-C21</f>
        <v>31</v>
      </c>
      <c r="F21" s="410">
        <f>IF(C21=0,0,+E21/C21)</f>
        <v>0.14351851851851852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5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3">
      <c r="A23" s="136"/>
      <c r="B23" s="399" t="s">
        <v>561</v>
      </c>
      <c r="C23" s="401">
        <f>SUM(C19:C22)</f>
        <v>11089</v>
      </c>
      <c r="D23" s="401">
        <f>SUM(D19:D22)</f>
        <v>11621</v>
      </c>
      <c r="E23" s="401">
        <f>+D23-C23</f>
        <v>532</v>
      </c>
      <c r="F23" s="402">
        <f>IF(C23=0,0,+E23/C23)</f>
        <v>4.7975471187663453E-2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3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3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5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5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5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5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3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3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3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5">
      <c r="A33" s="374">
        <v>1</v>
      </c>
      <c r="B33" s="408" t="s">
        <v>555</v>
      </c>
      <c r="C33" s="409">
        <v>2</v>
      </c>
      <c r="D33" s="409">
        <v>0</v>
      </c>
      <c r="E33" s="409">
        <f>+D33-C33</f>
        <v>-2</v>
      </c>
      <c r="F33" s="410">
        <f>IF(C33=0,0,+E33/C33)</f>
        <v>-1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5">
      <c r="A34" s="374">
        <v>2</v>
      </c>
      <c r="B34" s="408" t="s">
        <v>556</v>
      </c>
      <c r="C34" s="409">
        <v>473</v>
      </c>
      <c r="D34" s="409">
        <v>591</v>
      </c>
      <c r="E34" s="409">
        <f>+D34-C34</f>
        <v>118</v>
      </c>
      <c r="F34" s="410">
        <f>IF(C34=0,0,+E34/C34)</f>
        <v>0.24947145877378435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5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5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3">
      <c r="A37" s="136"/>
      <c r="B37" s="399" t="s">
        <v>565</v>
      </c>
      <c r="C37" s="401">
        <f>SUM(C33:C36)</f>
        <v>475</v>
      </c>
      <c r="D37" s="401">
        <f>SUM(D33:D36)</f>
        <v>591</v>
      </c>
      <c r="E37" s="401">
        <f>+D37-C37</f>
        <v>116</v>
      </c>
      <c r="F37" s="402">
        <f>IF(C37=0,0,+E37/C37)</f>
        <v>0.24421052631578946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3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3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3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3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3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5">
      <c r="A43" s="374">
        <v>1</v>
      </c>
      <c r="B43" s="408" t="s">
        <v>569</v>
      </c>
      <c r="C43" s="409">
        <v>293</v>
      </c>
      <c r="D43" s="409">
        <v>241</v>
      </c>
      <c r="E43" s="409">
        <f>+D43-C43</f>
        <v>-52</v>
      </c>
      <c r="F43" s="410">
        <f>IF(C43=0,0,+E43/C43)</f>
        <v>-0.17747440273037543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5">
      <c r="A44" s="374">
        <v>2</v>
      </c>
      <c r="B44" s="408" t="s">
        <v>570</v>
      </c>
      <c r="C44" s="409">
        <v>7530</v>
      </c>
      <c r="D44" s="409">
        <v>8719</v>
      </c>
      <c r="E44" s="409">
        <f>+D44-C44</f>
        <v>1189</v>
      </c>
      <c r="F44" s="410">
        <f>IF(C44=0,0,+E44/C44)</f>
        <v>0.15790172642762285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3">
      <c r="A45" s="136"/>
      <c r="B45" s="399" t="s">
        <v>571</v>
      </c>
      <c r="C45" s="401">
        <f>SUM(C43:C44)</f>
        <v>7823</v>
      </c>
      <c r="D45" s="401">
        <f>SUM(D43:D44)</f>
        <v>8960</v>
      </c>
      <c r="E45" s="401">
        <f>+D45-C45</f>
        <v>1137</v>
      </c>
      <c r="F45" s="402">
        <f>IF(C45=0,0,+E45/C45)</f>
        <v>0.1453406621500703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3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3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5">
      <c r="A48" s="374">
        <v>1</v>
      </c>
      <c r="B48" s="408" t="s">
        <v>569</v>
      </c>
      <c r="C48" s="409">
        <v>104</v>
      </c>
      <c r="D48" s="409">
        <v>117</v>
      </c>
      <c r="E48" s="409">
        <f>+D48-C48</f>
        <v>13</v>
      </c>
      <c r="F48" s="410">
        <f>IF(C48=0,0,+E48/C48)</f>
        <v>0.125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5">
      <c r="A49" s="374">
        <v>2</v>
      </c>
      <c r="B49" s="408" t="s">
        <v>570</v>
      </c>
      <c r="C49" s="409">
        <v>29</v>
      </c>
      <c r="D49" s="409">
        <v>0</v>
      </c>
      <c r="E49" s="409">
        <f>+D49-C49</f>
        <v>-29</v>
      </c>
      <c r="F49" s="410">
        <f>IF(C49=0,0,+E49/C49)</f>
        <v>-1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3">
      <c r="A50" s="136"/>
      <c r="B50" s="399" t="s">
        <v>573</v>
      </c>
      <c r="C50" s="401">
        <f>SUM(C48:C49)</f>
        <v>133</v>
      </c>
      <c r="D50" s="401">
        <f>SUM(D48:D49)</f>
        <v>117</v>
      </c>
      <c r="E50" s="401">
        <f>+D50-C50</f>
        <v>-16</v>
      </c>
      <c r="F50" s="402">
        <f>IF(C50=0,0,+E50/C50)</f>
        <v>-0.12030075187969924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3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3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5">
      <c r="A53" s="374">
        <v>1</v>
      </c>
      <c r="B53" s="408" t="s">
        <v>575</v>
      </c>
      <c r="C53" s="409">
        <v>49</v>
      </c>
      <c r="D53" s="409">
        <v>58</v>
      </c>
      <c r="E53" s="409">
        <f>+D53-C53</f>
        <v>9</v>
      </c>
      <c r="F53" s="410">
        <f>IF(C53=0,0,+E53/C53)</f>
        <v>0.18367346938775511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5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3">
      <c r="A55" s="136"/>
      <c r="B55" s="399" t="s">
        <v>577</v>
      </c>
      <c r="C55" s="401">
        <f>SUM(C53:C54)</f>
        <v>49</v>
      </c>
      <c r="D55" s="401">
        <f>SUM(D53:D54)</f>
        <v>58</v>
      </c>
      <c r="E55" s="401">
        <f>+D55-C55</f>
        <v>9</v>
      </c>
      <c r="F55" s="402">
        <f>IF(C55=0,0,+E55/C55)</f>
        <v>0.18367346938775511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3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3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5">
      <c r="A58" s="374">
        <v>1</v>
      </c>
      <c r="B58" s="408" t="s">
        <v>579</v>
      </c>
      <c r="C58" s="409">
        <v>74</v>
      </c>
      <c r="D58" s="409">
        <v>74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5">
      <c r="A59" s="374">
        <v>2</v>
      </c>
      <c r="B59" s="408" t="s">
        <v>580</v>
      </c>
      <c r="C59" s="409">
        <v>219</v>
      </c>
      <c r="D59" s="409">
        <v>150</v>
      </c>
      <c r="E59" s="409">
        <f>+D59-C59</f>
        <v>-69</v>
      </c>
      <c r="F59" s="410">
        <f>IF(C59=0,0,+E59/C59)</f>
        <v>-0.31506849315068491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3">
      <c r="A60" s="136"/>
      <c r="B60" s="399" t="s">
        <v>581</v>
      </c>
      <c r="C60" s="401">
        <f>SUM(C58:C59)</f>
        <v>293</v>
      </c>
      <c r="D60" s="401">
        <f>SUM(D58:D59)</f>
        <v>224</v>
      </c>
      <c r="E60" s="401">
        <f>SUM(E58:E59)</f>
        <v>-69</v>
      </c>
      <c r="F60" s="402">
        <f>IF(C60=0,0,+E60/C60)</f>
        <v>-0.23549488054607509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3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3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5">
      <c r="A63" s="374">
        <v>1</v>
      </c>
      <c r="B63" s="408" t="s">
        <v>583</v>
      </c>
      <c r="C63" s="409">
        <v>2685</v>
      </c>
      <c r="D63" s="409">
        <v>2996</v>
      </c>
      <c r="E63" s="409">
        <f>+D63-C63</f>
        <v>311</v>
      </c>
      <c r="F63" s="410">
        <f>IF(C63=0,0,+E63/C63)</f>
        <v>0.11582867783985103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5">
      <c r="A64" s="374">
        <v>2</v>
      </c>
      <c r="B64" s="408" t="s">
        <v>584</v>
      </c>
      <c r="C64" s="409">
        <v>7107</v>
      </c>
      <c r="D64" s="409">
        <v>6965</v>
      </c>
      <c r="E64" s="409">
        <f>+D64-C64</f>
        <v>-142</v>
      </c>
      <c r="F64" s="410">
        <f>IF(C64=0,0,+E64/C64)</f>
        <v>-1.9980301111580133E-2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3">
      <c r="A65" s="136"/>
      <c r="B65" s="399" t="s">
        <v>585</v>
      </c>
      <c r="C65" s="401">
        <f>SUM(C63:C64)</f>
        <v>9792</v>
      </c>
      <c r="D65" s="401">
        <f>SUM(D63:D64)</f>
        <v>9961</v>
      </c>
      <c r="E65" s="401">
        <f>+D65-C65</f>
        <v>169</v>
      </c>
      <c r="F65" s="402">
        <f>IF(C65=0,0,+E65/C65)</f>
        <v>1.7258986928104576E-2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5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3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5">
      <c r="A68" s="374">
        <v>1</v>
      </c>
      <c r="B68" s="408" t="s">
        <v>587</v>
      </c>
      <c r="C68" s="409">
        <v>535</v>
      </c>
      <c r="D68" s="409">
        <v>636</v>
      </c>
      <c r="E68" s="409">
        <f>+D68-C68</f>
        <v>101</v>
      </c>
      <c r="F68" s="410">
        <f>IF(C68=0,0,+E68/C68)</f>
        <v>0.18878504672897195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5">
      <c r="A69" s="374">
        <v>2</v>
      </c>
      <c r="B69" s="408" t="s">
        <v>588</v>
      </c>
      <c r="C69" s="409">
        <v>6297</v>
      </c>
      <c r="D69" s="409">
        <v>6455</v>
      </c>
      <c r="E69" s="409">
        <f>+D69-C69</f>
        <v>158</v>
      </c>
      <c r="F69" s="412">
        <f>IF(C69=0,0,+E69/C69)</f>
        <v>2.5091313323804987E-2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3">
      <c r="A70" s="136"/>
      <c r="B70" s="399" t="s">
        <v>589</v>
      </c>
      <c r="C70" s="401">
        <f>SUM(C68:C69)</f>
        <v>6832</v>
      </c>
      <c r="D70" s="401">
        <f>SUM(D68:D69)</f>
        <v>7091</v>
      </c>
      <c r="E70" s="401">
        <f>+D70-C70</f>
        <v>259</v>
      </c>
      <c r="F70" s="402">
        <f>IF(C70=0,0,+E70/C70)</f>
        <v>3.7909836065573771E-2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3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3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5">
      <c r="A73" s="374">
        <v>1</v>
      </c>
      <c r="B73" s="408" t="s">
        <v>591</v>
      </c>
      <c r="C73" s="376">
        <v>8591</v>
      </c>
      <c r="D73" s="376">
        <v>8541</v>
      </c>
      <c r="E73" s="409">
        <f>+D73-C73</f>
        <v>-50</v>
      </c>
      <c r="F73" s="410">
        <f>IF(C73=0,0,+E73/C73)</f>
        <v>-5.8200442323361658E-3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5">
      <c r="A74" s="374">
        <v>2</v>
      </c>
      <c r="B74" s="408" t="s">
        <v>592</v>
      </c>
      <c r="C74" s="376">
        <v>36759</v>
      </c>
      <c r="D74" s="376">
        <v>38061</v>
      </c>
      <c r="E74" s="409">
        <f>+D74-C74</f>
        <v>1302</v>
      </c>
      <c r="F74" s="410">
        <f>IF(C74=0,0,+E74/C74)</f>
        <v>3.5419897168040483E-2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3">
      <c r="A75" s="136"/>
      <c r="B75" s="399" t="s">
        <v>434</v>
      </c>
      <c r="C75" s="401">
        <f>SUM(C73:C74)</f>
        <v>45350</v>
      </c>
      <c r="D75" s="401">
        <f>SUM(D73:D74)</f>
        <v>46602</v>
      </c>
      <c r="E75" s="401">
        <f>SUM(E73:E74)</f>
        <v>1252</v>
      </c>
      <c r="F75" s="402">
        <f>IF(C75=0,0,+E75/C75)</f>
        <v>2.760749724366042E-2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5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5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3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5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5">
      <c r="A80" s="374">
        <v>2</v>
      </c>
      <c r="B80" s="408" t="s">
        <v>595</v>
      </c>
      <c r="C80" s="376">
        <v>1628</v>
      </c>
      <c r="D80" s="376">
        <v>1012</v>
      </c>
      <c r="E80" s="409">
        <f t="shared" si="0"/>
        <v>-616</v>
      </c>
      <c r="F80" s="410">
        <f t="shared" si="1"/>
        <v>-0.3783783783783784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5">
      <c r="A81" s="374">
        <v>3</v>
      </c>
      <c r="B81" s="408" t="s">
        <v>596</v>
      </c>
      <c r="C81" s="376">
        <v>10838</v>
      </c>
      <c r="D81" s="376">
        <v>10865</v>
      </c>
      <c r="E81" s="409">
        <f t="shared" si="0"/>
        <v>27</v>
      </c>
      <c r="F81" s="410">
        <f t="shared" si="1"/>
        <v>2.4912345451190256E-3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5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5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5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5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5">
      <c r="A86" s="374">
        <v>8</v>
      </c>
      <c r="B86" s="408" t="s">
        <v>601</v>
      </c>
      <c r="C86" s="376">
        <v>65</v>
      </c>
      <c r="D86" s="376">
        <v>50</v>
      </c>
      <c r="E86" s="409">
        <f t="shared" si="0"/>
        <v>-15</v>
      </c>
      <c r="F86" s="410">
        <f t="shared" si="1"/>
        <v>-0.23076923076923078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5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5">
      <c r="A88" s="374">
        <v>10</v>
      </c>
      <c r="B88" s="408" t="s">
        <v>603</v>
      </c>
      <c r="C88" s="376">
        <v>86</v>
      </c>
      <c r="D88" s="376">
        <v>97</v>
      </c>
      <c r="E88" s="409">
        <f t="shared" si="0"/>
        <v>11</v>
      </c>
      <c r="F88" s="410">
        <f t="shared" si="1"/>
        <v>0.12790697674418605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5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5">
      <c r="A90" s="374">
        <v>12</v>
      </c>
      <c r="B90" s="408" t="s">
        <v>605</v>
      </c>
      <c r="C90" s="376">
        <v>488</v>
      </c>
      <c r="D90" s="376">
        <v>297</v>
      </c>
      <c r="E90" s="409">
        <f t="shared" si="0"/>
        <v>-191</v>
      </c>
      <c r="F90" s="410">
        <f t="shared" si="1"/>
        <v>-0.39139344262295084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5">
      <c r="A91" s="374">
        <v>13</v>
      </c>
      <c r="B91" s="408" t="s">
        <v>606</v>
      </c>
      <c r="C91" s="376">
        <v>8138</v>
      </c>
      <c r="D91" s="376">
        <v>9742</v>
      </c>
      <c r="E91" s="409">
        <f t="shared" si="0"/>
        <v>1604</v>
      </c>
      <c r="F91" s="410">
        <f t="shared" si="1"/>
        <v>0.1971000245760629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3">
      <c r="A92" s="136"/>
      <c r="B92" s="399" t="s">
        <v>607</v>
      </c>
      <c r="C92" s="381">
        <f>SUM(C79:C91)</f>
        <v>21243</v>
      </c>
      <c r="D92" s="381">
        <f>SUM(D79:D91)</f>
        <v>22063</v>
      </c>
      <c r="E92" s="401">
        <f t="shared" si="0"/>
        <v>820</v>
      </c>
      <c r="F92" s="402">
        <f t="shared" si="1"/>
        <v>3.8600950901473426E-2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3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3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5">
      <c r="A95" s="374">
        <v>1</v>
      </c>
      <c r="B95" s="408" t="s">
        <v>609</v>
      </c>
      <c r="C95" s="414">
        <v>8917</v>
      </c>
      <c r="D95" s="414">
        <v>9606</v>
      </c>
      <c r="E95" s="415">
        <f t="shared" ref="E95:E100" si="2">+D95-C95</f>
        <v>689</v>
      </c>
      <c r="F95" s="412">
        <f t="shared" ref="F95:F100" si="3">IF(C95=0,0,+E95/C95)</f>
        <v>7.7268139508803416E-2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5">
      <c r="A96" s="374">
        <v>2</v>
      </c>
      <c r="B96" s="408" t="s">
        <v>610</v>
      </c>
      <c r="C96" s="414">
        <v>507</v>
      </c>
      <c r="D96" s="414">
        <v>529</v>
      </c>
      <c r="E96" s="409">
        <f t="shared" si="2"/>
        <v>22</v>
      </c>
      <c r="F96" s="410">
        <f t="shared" si="3"/>
        <v>4.3392504930966469E-2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5">
      <c r="A97" s="374">
        <v>3</v>
      </c>
      <c r="B97" s="408" t="s">
        <v>611</v>
      </c>
      <c r="C97" s="414">
        <v>1274</v>
      </c>
      <c r="D97" s="414">
        <v>1582</v>
      </c>
      <c r="E97" s="409">
        <f t="shared" si="2"/>
        <v>308</v>
      </c>
      <c r="F97" s="410">
        <f t="shared" si="3"/>
        <v>0.24175824175824176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5">
      <c r="A98" s="374">
        <v>4</v>
      </c>
      <c r="B98" s="408" t="s">
        <v>612</v>
      </c>
      <c r="C98" s="414">
        <v>6903</v>
      </c>
      <c r="D98" s="414">
        <v>6724</v>
      </c>
      <c r="E98" s="409">
        <f t="shared" si="2"/>
        <v>-179</v>
      </c>
      <c r="F98" s="410">
        <f t="shared" si="3"/>
        <v>-2.5930754744314066E-2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5">
      <c r="A99" s="374">
        <v>5</v>
      </c>
      <c r="B99" s="408" t="s">
        <v>613</v>
      </c>
      <c r="C99" s="414">
        <v>178692</v>
      </c>
      <c r="D99" s="414">
        <v>150672</v>
      </c>
      <c r="E99" s="409">
        <f t="shared" si="2"/>
        <v>-28020</v>
      </c>
      <c r="F99" s="410">
        <f t="shared" si="3"/>
        <v>-0.15680612450473441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3">
      <c r="A100" s="136"/>
      <c r="B100" s="399" t="s">
        <v>614</v>
      </c>
      <c r="C100" s="381">
        <f>SUM(C95:C99)</f>
        <v>196293</v>
      </c>
      <c r="D100" s="381">
        <f>SUM(D95:D99)</f>
        <v>169113</v>
      </c>
      <c r="E100" s="401">
        <f t="shared" si="2"/>
        <v>-27180</v>
      </c>
      <c r="F100" s="402">
        <f t="shared" si="3"/>
        <v>-0.1384664761351653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5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3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3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5">
      <c r="A104" s="374">
        <v>1</v>
      </c>
      <c r="B104" s="408" t="s">
        <v>616</v>
      </c>
      <c r="C104" s="416">
        <v>445.6</v>
      </c>
      <c r="D104" s="416">
        <v>368.1</v>
      </c>
      <c r="E104" s="417">
        <f>+D104-C104</f>
        <v>-77.5</v>
      </c>
      <c r="F104" s="410">
        <f>IF(C104=0,0,+E104/C104)</f>
        <v>-0.17392280071813285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5">
      <c r="A105" s="374">
        <v>2</v>
      </c>
      <c r="B105" s="408" t="s">
        <v>617</v>
      </c>
      <c r="C105" s="416">
        <v>90.8</v>
      </c>
      <c r="D105" s="416">
        <v>89.8</v>
      </c>
      <c r="E105" s="417">
        <f>+D105-C105</f>
        <v>-1</v>
      </c>
      <c r="F105" s="410">
        <f>IF(C105=0,0,+E105/C105)</f>
        <v>-1.1013215859030838E-2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5">
      <c r="A106" s="374">
        <v>3</v>
      </c>
      <c r="B106" s="408" t="s">
        <v>618</v>
      </c>
      <c r="C106" s="416">
        <v>1128.5</v>
      </c>
      <c r="D106" s="416">
        <v>1194.8</v>
      </c>
      <c r="E106" s="417">
        <f>+D106-C106</f>
        <v>66.299999999999955</v>
      </c>
      <c r="F106" s="410">
        <f>IF(C106=0,0,+E106/C106)</f>
        <v>5.8750553832521007E-2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3">
      <c r="A107" s="136"/>
      <c r="B107" s="399" t="s">
        <v>619</v>
      </c>
      <c r="C107" s="418">
        <f>SUM(C104:C106)</f>
        <v>1664.9</v>
      </c>
      <c r="D107" s="418">
        <f>SUM(D104:D106)</f>
        <v>1652.7</v>
      </c>
      <c r="E107" s="418">
        <f>+D107-C107</f>
        <v>-12.200000000000045</v>
      </c>
      <c r="F107" s="402">
        <f>IF(C107=0,0,+E107/C107)</f>
        <v>-7.3277674334795151E-3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3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scale="75" fitToHeight="0" orientation="portrait" horizontalDpi="300" verticalDpi="300" r:id="rId1"/>
  <headerFooter>
    <oddHeader>&amp;LOFFICE OF HEALTH CARE ACCESS&amp;CTWELVE MONTHS ACTUAL FILING&amp;RNORWALK HOSPITAL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opLeftCell="A4" zoomScale="75" zoomScaleSheetLayoutView="90" workbookViewId="0">
      <selection activeCell="B30" sqref="B30"/>
    </sheetView>
  </sheetViews>
  <sheetFormatPr defaultColWidth="9.109375" defaultRowHeight="13.2" x14ac:dyDescent="0.25"/>
  <cols>
    <col min="1" max="1" width="5.33203125" style="396" customWidth="1"/>
    <col min="2" max="2" width="56.44140625" style="365" customWidth="1"/>
    <col min="3" max="3" width="15.5546875" style="365" customWidth="1"/>
    <col min="4" max="4" width="15.33203125" style="365" customWidth="1"/>
    <col min="5" max="5" width="15.6640625" style="365" customWidth="1"/>
    <col min="6" max="6" width="15.88671875" style="365" customWidth="1"/>
    <col min="7" max="16384" width="9.109375" style="365"/>
  </cols>
  <sheetData>
    <row r="1" spans="1:6" ht="15.75" customHeight="1" x14ac:dyDescent="0.3">
      <c r="A1" s="810" t="s">
        <v>0</v>
      </c>
      <c r="B1" s="811"/>
      <c r="C1" s="811"/>
      <c r="D1" s="811"/>
      <c r="E1" s="811"/>
      <c r="F1" s="812"/>
    </row>
    <row r="2" spans="1:6" ht="15.75" customHeight="1" x14ac:dyDescent="0.3">
      <c r="A2" s="810" t="s">
        <v>1</v>
      </c>
      <c r="B2" s="811"/>
      <c r="C2" s="811"/>
      <c r="D2" s="811"/>
      <c r="E2" s="811"/>
      <c r="F2" s="812"/>
    </row>
    <row r="3" spans="1:6" ht="15.75" customHeight="1" x14ac:dyDescent="0.3">
      <c r="A3" s="810" t="s">
        <v>2</v>
      </c>
      <c r="B3" s="811"/>
      <c r="C3" s="811"/>
      <c r="D3" s="811"/>
      <c r="E3" s="811"/>
      <c r="F3" s="812"/>
    </row>
    <row r="4" spans="1:6" ht="15.75" customHeight="1" x14ac:dyDescent="0.3">
      <c r="A4" s="810" t="s">
        <v>620</v>
      </c>
      <c r="B4" s="811"/>
      <c r="C4" s="811"/>
      <c r="D4" s="811"/>
      <c r="E4" s="811"/>
      <c r="F4" s="812"/>
    </row>
    <row r="5" spans="1:6" ht="15.75" customHeight="1" x14ac:dyDescent="0.3">
      <c r="A5" s="136"/>
      <c r="B5" s="399"/>
      <c r="C5" s="400"/>
      <c r="D5" s="400"/>
      <c r="E5" s="401"/>
      <c r="F5" s="402"/>
    </row>
    <row r="6" spans="1:6" ht="15.75" customHeight="1" x14ac:dyDescent="0.3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3">
      <c r="A7" s="405"/>
      <c r="B7" s="361"/>
      <c r="C7" s="362"/>
      <c r="D7" s="362"/>
      <c r="E7" s="362"/>
      <c r="F7" s="362"/>
    </row>
    <row r="8" spans="1:6" ht="15.75" customHeight="1" x14ac:dyDescent="0.3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3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3">
      <c r="A10" s="369"/>
      <c r="B10" s="406"/>
      <c r="C10" s="371"/>
      <c r="D10" s="371"/>
      <c r="E10" s="371"/>
      <c r="F10" s="371"/>
    </row>
    <row r="11" spans="1:6" ht="15.75" customHeight="1" x14ac:dyDescent="0.3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5">
      <c r="A12" s="374">
        <v>1</v>
      </c>
      <c r="B12" s="408" t="s">
        <v>621</v>
      </c>
      <c r="C12" s="409">
        <v>7107</v>
      </c>
      <c r="D12" s="409">
        <v>6965</v>
      </c>
      <c r="E12" s="409">
        <f>+D12-C12</f>
        <v>-142</v>
      </c>
      <c r="F12" s="410">
        <f>IF(C12=0,0,+E12/C12)</f>
        <v>-1.9980301111580133E-2</v>
      </c>
    </row>
    <row r="13" spans="1:6" ht="15.75" customHeight="1" x14ac:dyDescent="0.3">
      <c r="A13" s="374"/>
      <c r="B13" s="399" t="s">
        <v>622</v>
      </c>
      <c r="C13" s="401">
        <f>SUM(C11:C12)</f>
        <v>7107</v>
      </c>
      <c r="D13" s="401">
        <f>SUM(D11:D12)</f>
        <v>6965</v>
      </c>
      <c r="E13" s="401">
        <f>+D13-C13</f>
        <v>-142</v>
      </c>
      <c r="F13" s="402">
        <f>IF(C13=0,0,+E13/C13)</f>
        <v>-1.9980301111580133E-2</v>
      </c>
    </row>
    <row r="14" spans="1:6" ht="15.75" customHeight="1" x14ac:dyDescent="0.3">
      <c r="A14" s="136"/>
      <c r="B14" s="399"/>
      <c r="C14" s="401"/>
      <c r="D14" s="401"/>
      <c r="E14" s="401"/>
      <c r="F14" s="402"/>
    </row>
    <row r="15" spans="1:6" ht="15.75" customHeight="1" x14ac:dyDescent="0.3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5">
      <c r="A16" s="374">
        <v>1</v>
      </c>
      <c r="B16" s="408" t="s">
        <v>621</v>
      </c>
      <c r="C16" s="409">
        <v>6297</v>
      </c>
      <c r="D16" s="409">
        <v>6455</v>
      </c>
      <c r="E16" s="409">
        <f>+D16-C16</f>
        <v>158</v>
      </c>
      <c r="F16" s="410">
        <f>IF(C16=0,0,+E16/C16)</f>
        <v>2.5091313323804987E-2</v>
      </c>
    </row>
    <row r="17" spans="1:6" ht="15.75" customHeight="1" x14ac:dyDescent="0.3">
      <c r="A17" s="374"/>
      <c r="B17" s="399" t="s">
        <v>623</v>
      </c>
      <c r="C17" s="401">
        <f>SUM(C15:C16)</f>
        <v>6297</v>
      </c>
      <c r="D17" s="401">
        <f>SUM(D15:D16)</f>
        <v>6455</v>
      </c>
      <c r="E17" s="401">
        <f>+D17-C17</f>
        <v>158</v>
      </c>
      <c r="F17" s="402">
        <f>IF(C17=0,0,+E17/C17)</f>
        <v>2.5091313323804987E-2</v>
      </c>
    </row>
    <row r="18" spans="1:6" ht="15.75" customHeight="1" x14ac:dyDescent="0.3">
      <c r="A18" s="136"/>
      <c r="B18" s="399"/>
      <c r="C18" s="401"/>
      <c r="D18" s="401"/>
      <c r="E18" s="401"/>
      <c r="F18" s="402"/>
    </row>
    <row r="19" spans="1:6" ht="15.75" customHeight="1" x14ac:dyDescent="0.3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5">
      <c r="A20" s="374">
        <v>1</v>
      </c>
      <c r="B20" s="408" t="s">
        <v>621</v>
      </c>
      <c r="C20" s="409">
        <v>36759</v>
      </c>
      <c r="D20" s="409">
        <v>38061</v>
      </c>
      <c r="E20" s="409">
        <f>+D20-C20</f>
        <v>1302</v>
      </c>
      <c r="F20" s="410">
        <f>IF(C20=0,0,+E20/C20)</f>
        <v>3.5419897168040483E-2</v>
      </c>
    </row>
    <row r="21" spans="1:6" ht="15.75" customHeight="1" x14ac:dyDescent="0.3">
      <c r="A21" s="374"/>
      <c r="B21" s="399" t="s">
        <v>625</v>
      </c>
      <c r="C21" s="401">
        <f>SUM(C19:C20)</f>
        <v>36759</v>
      </c>
      <c r="D21" s="401">
        <f>SUM(D19:D20)</f>
        <v>38061</v>
      </c>
      <c r="E21" s="401">
        <f>+D21-C21</f>
        <v>1302</v>
      </c>
      <c r="F21" s="402">
        <f>IF(C21=0,0,+E21/C21)</f>
        <v>3.5419897168040483E-2</v>
      </c>
    </row>
    <row r="22" spans="1:6" ht="15.75" customHeight="1" x14ac:dyDescent="0.3">
      <c r="A22" s="136"/>
      <c r="B22" s="399"/>
      <c r="C22" s="401"/>
      <c r="D22" s="401"/>
      <c r="E22" s="401"/>
      <c r="F22" s="402"/>
    </row>
    <row r="23" spans="1:6" ht="15.75" customHeight="1" x14ac:dyDescent="0.3">
      <c r="B23" s="813" t="s">
        <v>626</v>
      </c>
      <c r="C23" s="814"/>
      <c r="D23" s="814"/>
      <c r="E23" s="814"/>
      <c r="F23" s="815"/>
    </row>
    <row r="24" spans="1:6" ht="15.75" customHeight="1" x14ac:dyDescent="0.3">
      <c r="A24" s="392"/>
    </row>
    <row r="25" spans="1:6" ht="15.75" customHeight="1" x14ac:dyDescent="0.3">
      <c r="B25" s="813" t="s">
        <v>627</v>
      </c>
      <c r="C25" s="814"/>
      <c r="D25" s="814"/>
      <c r="E25" s="814"/>
      <c r="F25" s="815"/>
    </row>
    <row r="26" spans="1:6" ht="15.75" customHeight="1" x14ac:dyDescent="0.3">
      <c r="A26" s="392"/>
    </row>
    <row r="27" spans="1:6" ht="15.75" customHeight="1" x14ac:dyDescent="0.3">
      <c r="B27" s="813" t="s">
        <v>628</v>
      </c>
      <c r="C27" s="814"/>
      <c r="D27" s="814"/>
      <c r="E27" s="814"/>
      <c r="F27" s="815"/>
    </row>
    <row r="28" spans="1:6" ht="15.75" customHeight="1" x14ac:dyDescent="0.3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scale="82" fitToHeight="0" orientation="portrait" horizontalDpi="300" verticalDpi="300" r:id="rId1"/>
  <headerFooter>
    <oddHeader>&amp;LOFFICE OF HEALTH CARE ACCESS&amp;CTWELVE MONTHS ACTUAL FILING&amp;RNORWALK HOSPITAL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0" sqref="B30"/>
    </sheetView>
  </sheetViews>
  <sheetFormatPr defaultColWidth="9.109375" defaultRowHeight="15.75" customHeight="1" x14ac:dyDescent="0.25"/>
  <cols>
    <col min="1" max="1" width="5.109375" style="421" bestFit="1" customWidth="1"/>
    <col min="2" max="2" width="62.109375" style="485" customWidth="1"/>
    <col min="3" max="3" width="14.44140625" style="568" customWidth="1"/>
    <col min="4" max="4" width="14.33203125" style="421" customWidth="1"/>
    <col min="5" max="5" width="14" style="421" customWidth="1"/>
    <col min="6" max="6" width="15.5546875" style="421" customWidth="1"/>
    <col min="7" max="17" width="12.6640625" style="420" customWidth="1"/>
    <col min="18" max="21" width="9.109375" style="421"/>
    <col min="22" max="22" width="9.109375" style="421" hidden="1" customWidth="1"/>
    <col min="23" max="16384" width="9.109375" style="421"/>
  </cols>
  <sheetData>
    <row r="1" spans="1:21" ht="15.75" customHeight="1" x14ac:dyDescent="0.3">
      <c r="A1" s="816" t="s">
        <v>0</v>
      </c>
      <c r="B1" s="816"/>
      <c r="C1" s="816"/>
      <c r="D1" s="816"/>
      <c r="E1" s="816"/>
      <c r="F1" s="816"/>
    </row>
    <row r="2" spans="1:21" ht="15.75" customHeight="1" x14ac:dyDescent="0.3">
      <c r="A2" s="817" t="s">
        <v>629</v>
      </c>
      <c r="B2" s="818"/>
      <c r="C2" s="818"/>
      <c r="D2" s="818"/>
      <c r="E2" s="818"/>
      <c r="F2" s="819"/>
    </row>
    <row r="3" spans="1:21" ht="15.75" customHeight="1" x14ac:dyDescent="0.3">
      <c r="A3" s="817" t="s">
        <v>2</v>
      </c>
      <c r="B3" s="818"/>
      <c r="C3" s="818"/>
      <c r="D3" s="818"/>
      <c r="E3" s="818"/>
      <c r="F3" s="819"/>
    </row>
    <row r="4" spans="1:21" ht="15.75" customHeight="1" x14ac:dyDescent="0.3">
      <c r="A4" s="817" t="s">
        <v>630</v>
      </c>
      <c r="B4" s="818"/>
      <c r="C4" s="818"/>
      <c r="D4" s="818"/>
      <c r="E4" s="818"/>
      <c r="F4" s="819"/>
    </row>
    <row r="5" spans="1:21" ht="15.75" customHeight="1" x14ac:dyDescent="0.3">
      <c r="A5" s="817" t="s">
        <v>631</v>
      </c>
      <c r="B5" s="818"/>
      <c r="C5" s="818"/>
      <c r="D5" s="818"/>
      <c r="E5" s="818"/>
      <c r="F5" s="819"/>
    </row>
    <row r="6" spans="1:21" ht="15.75" customHeight="1" x14ac:dyDescent="0.3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5">
      <c r="A7" s="425"/>
      <c r="B7" s="425"/>
      <c r="C7" s="426" t="s">
        <v>632</v>
      </c>
      <c r="D7" s="426" t="s">
        <v>632</v>
      </c>
      <c r="E7" s="426" t="s">
        <v>633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5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5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3">
      <c r="A10" s="436" t="s">
        <v>12</v>
      </c>
      <c r="B10" s="437" t="s">
        <v>634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5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3">
      <c r="A12" s="443" t="s">
        <v>14</v>
      </c>
      <c r="B12" s="444" t="s">
        <v>635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5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636</v>
      </c>
      <c r="C14" s="420"/>
      <c r="D14" s="420"/>
      <c r="E14" s="420"/>
      <c r="F14" s="420"/>
      <c r="Q14" s="421"/>
    </row>
    <row r="15" spans="1:21" ht="15.75" customHeight="1" x14ac:dyDescent="0.25">
      <c r="A15" s="428">
        <v>1</v>
      </c>
      <c r="B15" s="447" t="s">
        <v>637</v>
      </c>
      <c r="C15" s="448">
        <v>249847526</v>
      </c>
      <c r="D15" s="448">
        <v>244074842</v>
      </c>
      <c r="E15" s="448">
        <f t="shared" ref="E15:E24" si="0">D15-C15</f>
        <v>-5772684</v>
      </c>
      <c r="F15" s="449">
        <f t="shared" ref="F15:F24" si="1">IF(C15=0,0,E15/C15)</f>
        <v>-2.3104827541898493E-2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5">
      <c r="A16" s="451">
        <v>2</v>
      </c>
      <c r="B16" s="447" t="s">
        <v>638</v>
      </c>
      <c r="C16" s="448">
        <v>78371312</v>
      </c>
      <c r="D16" s="448">
        <v>69647716</v>
      </c>
      <c r="E16" s="448">
        <f t="shared" si="0"/>
        <v>-8723596</v>
      </c>
      <c r="F16" s="449">
        <f t="shared" si="1"/>
        <v>-0.11131108791441439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5">
      <c r="A17" s="451">
        <v>3</v>
      </c>
      <c r="B17" s="452" t="s">
        <v>639</v>
      </c>
      <c r="C17" s="453">
        <f>IF(C15=0,0,C16/C15)</f>
        <v>0.3136765580780656</v>
      </c>
      <c r="D17" s="453">
        <f>IF(LN_IA1=0,0,LN_IA2/LN_IA1)</f>
        <v>0.28535393254500191</v>
      </c>
      <c r="E17" s="454">
        <f t="shared" si="0"/>
        <v>-2.8322625533063694E-2</v>
      </c>
      <c r="F17" s="449">
        <f t="shared" si="1"/>
        <v>-9.0292451902047974E-2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5">
      <c r="A18" s="451">
        <v>4</v>
      </c>
      <c r="B18" s="447" t="s">
        <v>137</v>
      </c>
      <c r="C18" s="456">
        <v>5676</v>
      </c>
      <c r="D18" s="456">
        <v>5492</v>
      </c>
      <c r="E18" s="456">
        <f t="shared" si="0"/>
        <v>-184</v>
      </c>
      <c r="F18" s="449">
        <f t="shared" si="1"/>
        <v>-3.2417195207892879E-2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5">
      <c r="A19" s="451">
        <v>5</v>
      </c>
      <c r="B19" s="452" t="s">
        <v>640</v>
      </c>
      <c r="C19" s="459">
        <v>1.41479</v>
      </c>
      <c r="D19" s="459">
        <v>1.4616</v>
      </c>
      <c r="E19" s="460">
        <f t="shared" si="0"/>
        <v>4.6810000000000018E-2</v>
      </c>
      <c r="F19" s="449">
        <f t="shared" si="1"/>
        <v>3.3086182401628521E-2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5">
      <c r="A20" s="428">
        <v>6</v>
      </c>
      <c r="B20" s="452" t="s">
        <v>641</v>
      </c>
      <c r="C20" s="463">
        <f>C18*C19</f>
        <v>8030.3480399999999</v>
      </c>
      <c r="D20" s="463">
        <f>LN_IA4*LN_IA5</f>
        <v>8027.1072000000004</v>
      </c>
      <c r="E20" s="463">
        <f t="shared" si="0"/>
        <v>-3.2408399999994799</v>
      </c>
      <c r="F20" s="449">
        <f t="shared" si="1"/>
        <v>-4.0357403986184887E-4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5">
      <c r="A21" s="451">
        <v>7</v>
      </c>
      <c r="B21" s="447" t="s">
        <v>642</v>
      </c>
      <c r="C21" s="465">
        <f>IF(C20=0,0,C16/C20)</f>
        <v>9759.3916987936682</v>
      </c>
      <c r="D21" s="465">
        <f>IF(LN_IA6=0,0,LN_IA2/LN_IA6)</f>
        <v>8676.5648277376931</v>
      </c>
      <c r="E21" s="465">
        <f t="shared" si="0"/>
        <v>-1082.8268710559751</v>
      </c>
      <c r="F21" s="449">
        <f t="shared" si="1"/>
        <v>-0.11095229133900018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5">
      <c r="A22" s="451">
        <v>8</v>
      </c>
      <c r="B22" s="447" t="s">
        <v>139</v>
      </c>
      <c r="C22" s="456">
        <v>31093</v>
      </c>
      <c r="D22" s="456">
        <v>27104</v>
      </c>
      <c r="E22" s="456">
        <f t="shared" si="0"/>
        <v>-3989</v>
      </c>
      <c r="F22" s="449">
        <f t="shared" si="1"/>
        <v>-0.12829254172964977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5">
      <c r="A23" s="451">
        <v>9</v>
      </c>
      <c r="B23" s="447" t="s">
        <v>643</v>
      </c>
      <c r="C23" s="465">
        <f>IF(C22=0,0,C16/C22)</f>
        <v>2520.5452031003765</v>
      </c>
      <c r="D23" s="465">
        <f>IF(LN_IA8=0,0,LN_IA2/LN_IA8)</f>
        <v>2569.6471369539549</v>
      </c>
      <c r="E23" s="465">
        <f t="shared" si="0"/>
        <v>49.10193385357843</v>
      </c>
      <c r="F23" s="449">
        <f t="shared" si="1"/>
        <v>1.9480679732774078E-2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5">
      <c r="A24" s="451">
        <v>10</v>
      </c>
      <c r="B24" s="447" t="s">
        <v>644</v>
      </c>
      <c r="C24" s="466">
        <f>IF(C18=0,0,C22/C18)</f>
        <v>5.4779774489076818</v>
      </c>
      <c r="D24" s="466">
        <f>IF(LN_IA4=0,0,LN_IA8/LN_IA4)</f>
        <v>4.9351784413692643</v>
      </c>
      <c r="E24" s="466">
        <f t="shared" si="0"/>
        <v>-0.54279900753841748</v>
      </c>
      <c r="F24" s="449">
        <f t="shared" si="1"/>
        <v>-9.9087484861160313E-2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5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645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5">
      <c r="A27" s="451">
        <v>11</v>
      </c>
      <c r="B27" s="447" t="s">
        <v>646</v>
      </c>
      <c r="C27" s="448">
        <v>152577669</v>
      </c>
      <c r="D27" s="448">
        <v>179450346</v>
      </c>
      <c r="E27" s="448">
        <f t="shared" ref="E27:E32" si="2">D27-C27</f>
        <v>26872677</v>
      </c>
      <c r="F27" s="449">
        <f t="shared" ref="F27:F32" si="3">IF(C27=0,0,E27/C27)</f>
        <v>0.17612457429795969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5">
      <c r="A28" s="451">
        <v>12</v>
      </c>
      <c r="B28" s="447" t="s">
        <v>647</v>
      </c>
      <c r="C28" s="448">
        <v>28761475</v>
      </c>
      <c r="D28" s="448">
        <v>38586602</v>
      </c>
      <c r="E28" s="448">
        <f t="shared" si="2"/>
        <v>9825127</v>
      </c>
      <c r="F28" s="449">
        <f t="shared" si="3"/>
        <v>0.34160720199502981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5">
      <c r="A29" s="451">
        <v>13</v>
      </c>
      <c r="B29" s="447" t="s">
        <v>648</v>
      </c>
      <c r="C29" s="453">
        <f>IF(C27=0,0,C28/C27)</f>
        <v>0.18850383013781657</v>
      </c>
      <c r="D29" s="453">
        <f>IF(LN_IA11=0,0,LN_IA12/LN_IA11)</f>
        <v>0.21502662357641819</v>
      </c>
      <c r="E29" s="454">
        <f t="shared" si="2"/>
        <v>2.6522793438601616E-2</v>
      </c>
      <c r="F29" s="449">
        <f t="shared" si="3"/>
        <v>0.14070161555449881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5">
      <c r="A30" s="451">
        <v>14</v>
      </c>
      <c r="B30" s="447" t="s">
        <v>649</v>
      </c>
      <c r="C30" s="453">
        <f>IF(C15=0,0,C27/C15)</f>
        <v>0.61068312919776524</v>
      </c>
      <c r="D30" s="453">
        <f>IF(LN_IA1=0,0,LN_IA11/LN_IA1)</f>
        <v>0.73522672197407379</v>
      </c>
      <c r="E30" s="454">
        <f t="shared" si="2"/>
        <v>0.12454359277630855</v>
      </c>
      <c r="F30" s="449">
        <f t="shared" si="3"/>
        <v>0.20394143348927529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5">
      <c r="A31" s="451">
        <v>15</v>
      </c>
      <c r="B31" s="447" t="s">
        <v>650</v>
      </c>
      <c r="C31" s="463">
        <f>C30*C18</f>
        <v>3466.2374413265156</v>
      </c>
      <c r="D31" s="463">
        <f>LN_IA14*LN_IA4</f>
        <v>4037.8651570816132</v>
      </c>
      <c r="E31" s="463">
        <f t="shared" si="2"/>
        <v>571.6277157550976</v>
      </c>
      <c r="F31" s="449">
        <f t="shared" si="3"/>
        <v>0.16491302902098301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5">
      <c r="A32" s="451">
        <v>16</v>
      </c>
      <c r="B32" s="452" t="s">
        <v>651</v>
      </c>
      <c r="C32" s="465">
        <f>IF(C31=0,0,C28/C31)</f>
        <v>8297.6066951123503</v>
      </c>
      <c r="D32" s="465">
        <f>IF(LN_IA15=0,0,LN_IA12/LN_IA15)</f>
        <v>9556.1888520043231</v>
      </c>
      <c r="E32" s="465">
        <f t="shared" si="2"/>
        <v>1258.5821568919728</v>
      </c>
      <c r="F32" s="449">
        <f t="shared" si="3"/>
        <v>0.15168014141153885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5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652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5">
      <c r="A35" s="451">
        <v>17</v>
      </c>
      <c r="B35" s="447" t="s">
        <v>653</v>
      </c>
      <c r="C35" s="448">
        <f>C15+C27</f>
        <v>402425195</v>
      </c>
      <c r="D35" s="448">
        <f>LN_IA1+LN_IA11</f>
        <v>423525188</v>
      </c>
      <c r="E35" s="448">
        <f>D35-C35</f>
        <v>21099993</v>
      </c>
      <c r="F35" s="449">
        <f>IF(C35=0,0,E35/C35)</f>
        <v>5.2432087409437673E-2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5">
      <c r="A36" s="451">
        <v>18</v>
      </c>
      <c r="B36" s="447" t="s">
        <v>654</v>
      </c>
      <c r="C36" s="448">
        <f>C16+C28</f>
        <v>107132787</v>
      </c>
      <c r="D36" s="448">
        <f>LN_IA2+LN_IA12</f>
        <v>108234318</v>
      </c>
      <c r="E36" s="448">
        <f>D36-C36</f>
        <v>1101531</v>
      </c>
      <c r="F36" s="449">
        <f>IF(C36=0,0,E36/C36)</f>
        <v>1.02819223773204E-2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5">
      <c r="A37" s="473">
        <v>19</v>
      </c>
      <c r="B37" s="447" t="s">
        <v>655</v>
      </c>
      <c r="C37" s="448">
        <f>C35-C36</f>
        <v>295292408</v>
      </c>
      <c r="D37" s="448">
        <f>LN_IA17-LN_IA18</f>
        <v>315290870</v>
      </c>
      <c r="E37" s="448">
        <f>D37-C37</f>
        <v>19998462</v>
      </c>
      <c r="F37" s="449">
        <f>IF(C37=0,0,E37/C37)</f>
        <v>6.772426739802942E-2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5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3">
      <c r="A39" s="443" t="s">
        <v>26</v>
      </c>
      <c r="B39" s="444" t="s">
        <v>656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5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657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5">
      <c r="A42" s="428">
        <v>1</v>
      </c>
      <c r="B42" s="447" t="s">
        <v>637</v>
      </c>
      <c r="C42" s="448">
        <v>132475987</v>
      </c>
      <c r="D42" s="448">
        <v>136392350</v>
      </c>
      <c r="E42" s="448">
        <f t="shared" ref="E42:E53" si="4">D42-C42</f>
        <v>3916363</v>
      </c>
      <c r="F42" s="449">
        <f t="shared" ref="F42:F53" si="5">IF(C42=0,0,E42/C42)</f>
        <v>2.9562814278183108E-2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5">
      <c r="A43" s="451">
        <v>2</v>
      </c>
      <c r="B43" s="447" t="s">
        <v>638</v>
      </c>
      <c r="C43" s="448">
        <v>74582875</v>
      </c>
      <c r="D43" s="448">
        <v>70178108</v>
      </c>
      <c r="E43" s="448">
        <f t="shared" si="4"/>
        <v>-4404767</v>
      </c>
      <c r="F43" s="449">
        <f t="shared" si="5"/>
        <v>-5.905869142212606E-2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5">
      <c r="A44" s="451">
        <v>3</v>
      </c>
      <c r="B44" s="452" t="s">
        <v>639</v>
      </c>
      <c r="C44" s="453">
        <f>IF(C42=0,0,C43/C42)</f>
        <v>0.56299165372513893</v>
      </c>
      <c r="D44" s="453">
        <f>IF(LN_IB1=0,0,LN_IB2/LN_IB1)</f>
        <v>0.51453111556476594</v>
      </c>
      <c r="E44" s="454">
        <f t="shared" si="4"/>
        <v>-4.846053816037299E-2</v>
      </c>
      <c r="F44" s="449">
        <f t="shared" si="5"/>
        <v>-8.6076832293560362E-2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5">
      <c r="A45" s="451">
        <v>4</v>
      </c>
      <c r="B45" s="447" t="s">
        <v>137</v>
      </c>
      <c r="C45" s="456">
        <v>4515</v>
      </c>
      <c r="D45" s="456">
        <v>4433</v>
      </c>
      <c r="E45" s="456">
        <f t="shared" si="4"/>
        <v>-82</v>
      </c>
      <c r="F45" s="449">
        <f t="shared" si="5"/>
        <v>-1.8161683277962349E-2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5">
      <c r="A46" s="451">
        <v>5</v>
      </c>
      <c r="B46" s="452" t="s">
        <v>640</v>
      </c>
      <c r="C46" s="459">
        <v>1.0504100000000001</v>
      </c>
      <c r="D46" s="459">
        <v>1.1152</v>
      </c>
      <c r="E46" s="460">
        <f t="shared" si="4"/>
        <v>6.4789999999999903E-2</v>
      </c>
      <c r="F46" s="449">
        <f t="shared" si="5"/>
        <v>6.1680677068953929E-2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5">
      <c r="A47" s="428">
        <v>6</v>
      </c>
      <c r="B47" s="452" t="s">
        <v>641</v>
      </c>
      <c r="C47" s="463">
        <f>C45*C46</f>
        <v>4742.6011500000004</v>
      </c>
      <c r="D47" s="463">
        <f>LN_IB4*LN_IB5</f>
        <v>4943.6815999999999</v>
      </c>
      <c r="E47" s="463">
        <f t="shared" si="4"/>
        <v>201.08044999999947</v>
      </c>
      <c r="F47" s="449">
        <f t="shared" si="5"/>
        <v>4.2398768869694944E-2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5">
      <c r="A48" s="451">
        <v>7</v>
      </c>
      <c r="B48" s="447" t="s">
        <v>642</v>
      </c>
      <c r="C48" s="465">
        <f>IF(C47=0,0,C43/C47)</f>
        <v>15726.153779556182</v>
      </c>
      <c r="D48" s="465">
        <f>IF(LN_IB6=0,0,LN_IB2/LN_IB6)</f>
        <v>14195.515342250197</v>
      </c>
      <c r="E48" s="465">
        <f t="shared" si="4"/>
        <v>-1530.6384373059846</v>
      </c>
      <c r="F48" s="449">
        <f t="shared" si="5"/>
        <v>-9.7330756061650425E-2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5">
      <c r="A49" s="451">
        <v>8</v>
      </c>
      <c r="B49" s="452" t="s">
        <v>658</v>
      </c>
      <c r="C49" s="465">
        <f>C21-C48</f>
        <v>-5966.7620807625135</v>
      </c>
      <c r="D49" s="465">
        <f>LN_IA7-LN_IB7</f>
        <v>-5518.950514512504</v>
      </c>
      <c r="E49" s="465">
        <f t="shared" si="4"/>
        <v>447.81156625000949</v>
      </c>
      <c r="F49" s="449">
        <f t="shared" si="5"/>
        <v>-7.5051017652237623E-2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5">
      <c r="A50" s="451">
        <v>9</v>
      </c>
      <c r="B50" s="447" t="s">
        <v>659</v>
      </c>
      <c r="C50" s="479">
        <f>C49*C47</f>
        <v>-28297972.706000693</v>
      </c>
      <c r="D50" s="479">
        <f>LN_IB8*LN_IB6</f>
        <v>-27283934.109905999</v>
      </c>
      <c r="E50" s="479">
        <f t="shared" si="4"/>
        <v>1014038.596094694</v>
      </c>
      <c r="F50" s="449">
        <f t="shared" si="5"/>
        <v>-3.5834319533415315E-2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5">
      <c r="A51" s="451">
        <v>10</v>
      </c>
      <c r="B51" s="447" t="s">
        <v>139</v>
      </c>
      <c r="C51" s="456">
        <v>16025</v>
      </c>
      <c r="D51" s="456">
        <v>15399</v>
      </c>
      <c r="E51" s="456">
        <f t="shared" si="4"/>
        <v>-626</v>
      </c>
      <c r="F51" s="449">
        <f t="shared" si="5"/>
        <v>-3.9063962558502342E-2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5">
      <c r="A52" s="451">
        <v>11</v>
      </c>
      <c r="B52" s="447" t="s">
        <v>643</v>
      </c>
      <c r="C52" s="465">
        <f>IF(C51=0,0,C43/C51)</f>
        <v>4654.1575663026524</v>
      </c>
      <c r="D52" s="465">
        <f>IF(LN_IB10=0,0,LN_IB2/LN_IB10)</f>
        <v>4557.3159296058184</v>
      </c>
      <c r="E52" s="465">
        <f t="shared" si="4"/>
        <v>-96.84163669683403</v>
      </c>
      <c r="F52" s="449">
        <f t="shared" si="5"/>
        <v>-2.080755438921824E-2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5">
      <c r="A53" s="451">
        <v>12</v>
      </c>
      <c r="B53" s="447" t="s">
        <v>644</v>
      </c>
      <c r="C53" s="466">
        <f>IF(C45=0,0,C51/C45)</f>
        <v>3.5492801771871538</v>
      </c>
      <c r="D53" s="466">
        <f>IF(LN_IB4=0,0,LN_IB10/LN_IB4)</f>
        <v>3.4737198285585382</v>
      </c>
      <c r="E53" s="466">
        <f t="shared" si="4"/>
        <v>-7.5560348628615603E-2</v>
      </c>
      <c r="F53" s="449">
        <f t="shared" si="5"/>
        <v>-2.1288921938109169E-2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5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660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5">
      <c r="A56" s="451">
        <v>13</v>
      </c>
      <c r="B56" s="447" t="s">
        <v>646</v>
      </c>
      <c r="C56" s="448">
        <v>247512854</v>
      </c>
      <c r="D56" s="448">
        <v>275327052</v>
      </c>
      <c r="E56" s="448">
        <f t="shared" ref="E56:E63" si="6">D56-C56</f>
        <v>27814198</v>
      </c>
      <c r="F56" s="449">
        <f t="shared" ref="F56:F63" si="7">IF(C56=0,0,E56/C56)</f>
        <v>0.11237476175681768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5">
      <c r="A57" s="451">
        <v>14</v>
      </c>
      <c r="B57" s="447" t="s">
        <v>647</v>
      </c>
      <c r="C57" s="448">
        <v>130180559</v>
      </c>
      <c r="D57" s="448">
        <v>144943945</v>
      </c>
      <c r="E57" s="448">
        <f t="shared" si="6"/>
        <v>14763386</v>
      </c>
      <c r="F57" s="449">
        <f t="shared" si="7"/>
        <v>0.11340699497226771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5">
      <c r="A58" s="451">
        <v>15</v>
      </c>
      <c r="B58" s="447" t="s">
        <v>648</v>
      </c>
      <c r="C58" s="453">
        <f>IF(C56=0,0,C57/C56)</f>
        <v>0.5259547409202433</v>
      </c>
      <c r="D58" s="453">
        <f>IF(LN_IB13=0,0,LN_IB14/LN_IB13)</f>
        <v>0.52644280301232438</v>
      </c>
      <c r="E58" s="454">
        <f t="shared" si="6"/>
        <v>4.8806209208107632E-4</v>
      </c>
      <c r="F58" s="449">
        <f t="shared" si="7"/>
        <v>9.2795454458140703E-4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5">
      <c r="A59" s="451">
        <v>16</v>
      </c>
      <c r="B59" s="447" t="s">
        <v>649</v>
      </c>
      <c r="C59" s="453">
        <f>IF(C42=0,0,C56/C42)</f>
        <v>1.8683601428838572</v>
      </c>
      <c r="D59" s="453">
        <f>IF(LN_IB1=0,0,LN_IB13/LN_IB1)</f>
        <v>2.0186399897061675</v>
      </c>
      <c r="E59" s="454">
        <f t="shared" si="6"/>
        <v>0.15027984682231033</v>
      </c>
      <c r="F59" s="449">
        <f t="shared" si="7"/>
        <v>8.0434089431146771E-2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5">
      <c r="A60" s="451">
        <v>17</v>
      </c>
      <c r="B60" s="447" t="s">
        <v>650</v>
      </c>
      <c r="C60" s="463">
        <f>C59*C45</f>
        <v>8435.6460451206149</v>
      </c>
      <c r="D60" s="463">
        <f>LN_IB16*LN_IB4</f>
        <v>8948.6310743674403</v>
      </c>
      <c r="E60" s="463">
        <f t="shared" si="6"/>
        <v>512.98502924682543</v>
      </c>
      <c r="F60" s="449">
        <f t="shared" si="7"/>
        <v>6.0811587696184645E-2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5">
      <c r="A61" s="451">
        <v>18</v>
      </c>
      <c r="B61" s="452" t="s">
        <v>651</v>
      </c>
      <c r="C61" s="465">
        <f>IF(C60=0,0,C57/C60)</f>
        <v>15432.197878347401</v>
      </c>
      <c r="D61" s="465">
        <f>IF(LN_IB17=0,0,LN_IB14/LN_IB17)</f>
        <v>16197.331613678774</v>
      </c>
      <c r="E61" s="465">
        <f t="shared" si="6"/>
        <v>765.13373533137383</v>
      </c>
      <c r="F61" s="449">
        <f t="shared" si="7"/>
        <v>4.958034761885196E-2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5">
      <c r="A62" s="473">
        <v>19</v>
      </c>
      <c r="B62" s="447" t="s">
        <v>661</v>
      </c>
      <c r="C62" s="465">
        <f>C32-C61</f>
        <v>-7134.5911832350503</v>
      </c>
      <c r="D62" s="465">
        <f>LN_IA16-LN_IB18</f>
        <v>-6641.1427616744513</v>
      </c>
      <c r="E62" s="465">
        <f t="shared" si="6"/>
        <v>493.44842156059894</v>
      </c>
      <c r="F62" s="449">
        <f t="shared" si="7"/>
        <v>-6.9162816605401314E-2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5">
      <c r="A63" s="473">
        <v>20</v>
      </c>
      <c r="B63" s="452" t="s">
        <v>662</v>
      </c>
      <c r="C63" s="448">
        <f>C62*C60</f>
        <v>-60184885.898409158</v>
      </c>
      <c r="D63" s="448">
        <f>LN_IB19*LN_IB17</f>
        <v>-59429136.486430392</v>
      </c>
      <c r="E63" s="448">
        <f t="shared" si="6"/>
        <v>755749.41197876632</v>
      </c>
      <c r="F63" s="449">
        <f t="shared" si="7"/>
        <v>-1.2557129596531191E-2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5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663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5">
      <c r="A66" s="473">
        <v>21</v>
      </c>
      <c r="B66" s="447" t="s">
        <v>653</v>
      </c>
      <c r="C66" s="448">
        <f>C42+C56</f>
        <v>379988841</v>
      </c>
      <c r="D66" s="448">
        <f>LN_IB1+LN_IB13</f>
        <v>411719402</v>
      </c>
      <c r="E66" s="448">
        <f>D66-C66</f>
        <v>31730561</v>
      </c>
      <c r="F66" s="449">
        <f>IF(C66=0,0,E66/C66)</f>
        <v>8.3503928474573288E-2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5">
      <c r="A67" s="473">
        <v>22</v>
      </c>
      <c r="B67" s="447" t="s">
        <v>654</v>
      </c>
      <c r="C67" s="448">
        <f>C43+C57</f>
        <v>204763434</v>
      </c>
      <c r="D67" s="448">
        <f>LN_IB2+LN_IB14</f>
        <v>215122053</v>
      </c>
      <c r="E67" s="448">
        <f>D67-C67</f>
        <v>10358619</v>
      </c>
      <c r="F67" s="449">
        <f>IF(C67=0,0,E67/C67)</f>
        <v>5.0588226606904825E-2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5">
      <c r="A68" s="473">
        <v>23</v>
      </c>
      <c r="B68" s="447" t="s">
        <v>655</v>
      </c>
      <c r="C68" s="448">
        <f>C66-C67</f>
        <v>175225407</v>
      </c>
      <c r="D68" s="448">
        <f>LN_IB21-LN_IB22</f>
        <v>196597349</v>
      </c>
      <c r="E68" s="448">
        <f>D68-C68</f>
        <v>21371942</v>
      </c>
      <c r="F68" s="449">
        <f>IF(C68=0,0,E68/C68)</f>
        <v>0.12196828283012634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5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5">
      <c r="A70" s="473">
        <v>24</v>
      </c>
      <c r="B70" s="447" t="s">
        <v>664</v>
      </c>
      <c r="C70" s="441">
        <f>C50+C63</f>
        <v>-88482858.604409844</v>
      </c>
      <c r="D70" s="441">
        <f>LN_IB9+LN_IB20</f>
        <v>-86713070.596336395</v>
      </c>
      <c r="E70" s="448">
        <f>D70-C70</f>
        <v>1769788.0080734491</v>
      </c>
      <c r="F70" s="449">
        <f>IF(C70=0,0,E70/C70)</f>
        <v>-2.0001478659113368E-2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5">
      <c r="A71" s="428"/>
      <c r="C71" s="421"/>
      <c r="Q71" s="421"/>
      <c r="U71" s="441"/>
    </row>
    <row r="72" spans="1:21" ht="15.75" customHeight="1" x14ac:dyDescent="0.25">
      <c r="A72" s="428"/>
      <c r="B72" s="434" t="s">
        <v>665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5">
      <c r="A73" s="428">
        <v>25</v>
      </c>
      <c r="B73" s="445" t="s">
        <v>666</v>
      </c>
      <c r="C73" s="488">
        <v>346306745</v>
      </c>
      <c r="D73" s="488">
        <v>374839328</v>
      </c>
      <c r="E73" s="488">
        <f>D73-C73</f>
        <v>28532583</v>
      </c>
      <c r="F73" s="489">
        <f>IF(C73=0,0,E73/C73)</f>
        <v>8.2391069223904378E-2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5">
      <c r="A74" s="428">
        <v>26</v>
      </c>
      <c r="B74" s="445" t="s">
        <v>667</v>
      </c>
      <c r="C74" s="488">
        <v>202821840</v>
      </c>
      <c r="D74" s="488">
        <v>210337378</v>
      </c>
      <c r="E74" s="488">
        <f>D74-C74</f>
        <v>7515538</v>
      </c>
      <c r="F74" s="489">
        <f>IF(C74=0,0,E74/C74)</f>
        <v>3.7054875352674051E-2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5">
      <c r="A75" s="428"/>
      <c r="B75" s="445" t="s">
        <v>668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5">
      <c r="A76" s="451">
        <v>27</v>
      </c>
      <c r="B76" s="447" t="s">
        <v>669</v>
      </c>
      <c r="C76" s="441">
        <f>C73-C74</f>
        <v>143484905</v>
      </c>
      <c r="D76" s="441">
        <f>LN_IB32-LN_IB33</f>
        <v>164501950</v>
      </c>
      <c r="E76" s="488">
        <f>D76-C76</f>
        <v>21017045</v>
      </c>
      <c r="F76" s="489">
        <f>IF(E76=0,0,E76/C76)</f>
        <v>0.1464756519161371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5">
      <c r="A77" s="451">
        <v>28</v>
      </c>
      <c r="B77" s="447" t="s">
        <v>670</v>
      </c>
      <c r="C77" s="453">
        <f>IF(C73=0,0,C76/C73)</f>
        <v>0.41432893546442473</v>
      </c>
      <c r="D77" s="453">
        <f>IF(LN_IB32=0,0,LN_IB34/LN_IB32)</f>
        <v>0.43885989999427166</v>
      </c>
      <c r="E77" s="493">
        <f>D77-C77</f>
        <v>2.4530964529846933E-2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5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3">
      <c r="A79" s="443" t="s">
        <v>36</v>
      </c>
      <c r="B79" s="444" t="s">
        <v>671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3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3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672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5">
      <c r="A83" s="428">
        <v>1</v>
      </c>
      <c r="B83" s="447" t="s">
        <v>637</v>
      </c>
      <c r="C83" s="448">
        <v>5833457</v>
      </c>
      <c r="D83" s="448">
        <v>5678211</v>
      </c>
      <c r="E83" s="448">
        <f t="shared" ref="E83:E95" si="8">D83-C83</f>
        <v>-155246</v>
      </c>
      <c r="F83" s="449">
        <f t="shared" ref="F83:F95" si="9">IF(C83=0,0,E83/C83)</f>
        <v>-2.6613035803640963E-2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5">
      <c r="A84" s="451">
        <v>2</v>
      </c>
      <c r="B84" s="447" t="s">
        <v>638</v>
      </c>
      <c r="C84" s="448">
        <v>251805</v>
      </c>
      <c r="D84" s="448">
        <v>960116</v>
      </c>
      <c r="E84" s="448">
        <f t="shared" si="8"/>
        <v>708311</v>
      </c>
      <c r="F84" s="449">
        <f t="shared" si="9"/>
        <v>2.8129346121006336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5">
      <c r="A85" s="428">
        <v>3</v>
      </c>
      <c r="B85" s="452" t="s">
        <v>639</v>
      </c>
      <c r="C85" s="453">
        <f>IF(C83=0,0,C84/C83)</f>
        <v>4.3165656316657516E-2</v>
      </c>
      <c r="D85" s="453">
        <f>IF(LN_IC1=0,0,LN_IC2/LN_IC1)</f>
        <v>0.16908776373403525</v>
      </c>
      <c r="E85" s="454">
        <f t="shared" si="8"/>
        <v>0.12592210741737775</v>
      </c>
      <c r="F85" s="449">
        <f t="shared" si="9"/>
        <v>2.9171827365169642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5">
      <c r="A86" s="451">
        <v>4</v>
      </c>
      <c r="B86" s="447" t="s">
        <v>137</v>
      </c>
      <c r="C86" s="456">
        <v>203</v>
      </c>
      <c r="D86" s="456">
        <v>187</v>
      </c>
      <c r="E86" s="456">
        <f t="shared" si="8"/>
        <v>-16</v>
      </c>
      <c r="F86" s="449">
        <f t="shared" si="9"/>
        <v>-7.8817733990147784E-2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5">
      <c r="A87" s="428">
        <v>5</v>
      </c>
      <c r="B87" s="452" t="s">
        <v>640</v>
      </c>
      <c r="C87" s="459">
        <v>1.0284199999999999</v>
      </c>
      <c r="D87" s="459">
        <v>1.0905</v>
      </c>
      <c r="E87" s="460">
        <f t="shared" si="8"/>
        <v>6.2080000000000135E-2</v>
      </c>
      <c r="F87" s="449">
        <f t="shared" si="9"/>
        <v>6.0364442542930066E-2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5">
      <c r="A88" s="451">
        <v>6</v>
      </c>
      <c r="B88" s="452" t="s">
        <v>641</v>
      </c>
      <c r="C88" s="463">
        <f>C86*C87</f>
        <v>208.76925999999997</v>
      </c>
      <c r="D88" s="463">
        <f>LN_IC4*LN_IC5</f>
        <v>203.92350000000002</v>
      </c>
      <c r="E88" s="463">
        <f t="shared" si="8"/>
        <v>-4.8457599999999559</v>
      </c>
      <c r="F88" s="449">
        <f t="shared" si="9"/>
        <v>-2.3211080022029856E-2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5">
      <c r="A89" s="428">
        <v>7</v>
      </c>
      <c r="B89" s="447" t="s">
        <v>642</v>
      </c>
      <c r="C89" s="465">
        <f>IF(C88=0,0,C84/C88)</f>
        <v>1206.140214320825</v>
      </c>
      <c r="D89" s="465">
        <f>IF(LN_IC6=0,0,LN_IC2/LN_IC6)</f>
        <v>4708.2165616027578</v>
      </c>
      <c r="E89" s="465">
        <f t="shared" si="8"/>
        <v>3502.0763472819326</v>
      </c>
      <c r="F89" s="449">
        <f t="shared" si="9"/>
        <v>2.9035399912057027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5">
      <c r="A90" s="451">
        <v>8</v>
      </c>
      <c r="B90" s="447" t="s">
        <v>673</v>
      </c>
      <c r="C90" s="465">
        <f>C48-C89</f>
        <v>14520.013565235357</v>
      </c>
      <c r="D90" s="465">
        <f>LN_IB7-LN_IC7</f>
        <v>9487.2987806474393</v>
      </c>
      <c r="E90" s="465">
        <f t="shared" si="8"/>
        <v>-5032.7147845879172</v>
      </c>
      <c r="F90" s="449">
        <f t="shared" si="9"/>
        <v>-0.34660537760360843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5">
      <c r="A91" s="428">
        <v>9</v>
      </c>
      <c r="B91" s="447" t="s">
        <v>674</v>
      </c>
      <c r="C91" s="465">
        <f>C21-C89</f>
        <v>8553.251484472843</v>
      </c>
      <c r="D91" s="465">
        <f>LN_IA7-LN_IC7</f>
        <v>3968.3482661349353</v>
      </c>
      <c r="E91" s="465">
        <f t="shared" si="8"/>
        <v>-4584.9032183379077</v>
      </c>
      <c r="F91" s="449">
        <f t="shared" si="9"/>
        <v>-0.53604213867219008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5">
      <c r="A92" s="451">
        <v>10</v>
      </c>
      <c r="B92" s="447" t="s">
        <v>659</v>
      </c>
      <c r="C92" s="441">
        <f>C91*C88</f>
        <v>1785655.9830072967</v>
      </c>
      <c r="D92" s="441">
        <f>LN_IC9*LN_IC6</f>
        <v>809239.46764916752</v>
      </c>
      <c r="E92" s="441">
        <f t="shared" si="8"/>
        <v>-976416.51535812917</v>
      </c>
      <c r="F92" s="449">
        <f t="shared" si="9"/>
        <v>-0.5468111017183197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5">
      <c r="A93" s="428">
        <v>11</v>
      </c>
      <c r="B93" s="447" t="s">
        <v>139</v>
      </c>
      <c r="C93" s="456">
        <v>784</v>
      </c>
      <c r="D93" s="456">
        <v>649</v>
      </c>
      <c r="E93" s="456">
        <f t="shared" si="8"/>
        <v>-135</v>
      </c>
      <c r="F93" s="449">
        <f t="shared" si="9"/>
        <v>-0.17219387755102042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5">
      <c r="A94" s="451">
        <v>12</v>
      </c>
      <c r="B94" s="447" t="s">
        <v>643</v>
      </c>
      <c r="C94" s="499">
        <f>IF(C93=0,0,C84/C93)</f>
        <v>321.17984693877548</v>
      </c>
      <c r="D94" s="499">
        <f>IF(LN_IC11=0,0,LN_IC2/LN_IC11)</f>
        <v>1479.3775038520801</v>
      </c>
      <c r="E94" s="499">
        <f t="shared" si="8"/>
        <v>1158.1976569133046</v>
      </c>
      <c r="F94" s="449">
        <f t="shared" si="9"/>
        <v>3.6060720121523833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5">
      <c r="A95" s="428">
        <v>13</v>
      </c>
      <c r="B95" s="447" t="s">
        <v>644</v>
      </c>
      <c r="C95" s="466">
        <f>IF(C86=0,0,C93/C86)</f>
        <v>3.8620689655172415</v>
      </c>
      <c r="D95" s="466">
        <f>IF(LN_IC4=0,0,LN_IC11/LN_IC4)</f>
        <v>3.4705882352941178</v>
      </c>
      <c r="E95" s="466">
        <f t="shared" si="8"/>
        <v>-0.3914807302231238</v>
      </c>
      <c r="F95" s="449">
        <f t="shared" si="9"/>
        <v>-0.10136554621848741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5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675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5">
      <c r="A98" s="451">
        <v>14</v>
      </c>
      <c r="B98" s="447" t="s">
        <v>646</v>
      </c>
      <c r="C98" s="448">
        <v>27848639</v>
      </c>
      <c r="D98" s="448">
        <v>31201863</v>
      </c>
      <c r="E98" s="448">
        <f t="shared" ref="E98:E106" si="10">D98-C98</f>
        <v>3353224</v>
      </c>
      <c r="F98" s="449">
        <f t="shared" ref="F98:F106" si="11">IF(C98=0,0,E98/C98)</f>
        <v>0.12040890041340979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5">
      <c r="A99" s="451">
        <v>15</v>
      </c>
      <c r="B99" s="447" t="s">
        <v>647</v>
      </c>
      <c r="C99" s="448">
        <v>1689789</v>
      </c>
      <c r="D99" s="448">
        <v>3824559</v>
      </c>
      <c r="E99" s="448">
        <f t="shared" si="10"/>
        <v>2134770</v>
      </c>
      <c r="F99" s="449">
        <f t="shared" si="11"/>
        <v>1.2633352448145894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5">
      <c r="A100" s="451">
        <v>16</v>
      </c>
      <c r="B100" s="447" t="s">
        <v>648</v>
      </c>
      <c r="C100" s="453">
        <f>IF(C98=0,0,C99/C98)</f>
        <v>6.067761516101379E-2</v>
      </c>
      <c r="D100" s="453">
        <f>IF(LN_IC14=0,0,LN_IC15/LN_IC14)</f>
        <v>0.12257470010684939</v>
      </c>
      <c r="E100" s="454">
        <f t="shared" si="10"/>
        <v>6.1897084945835595E-2</v>
      </c>
      <c r="F100" s="449">
        <f t="shared" si="11"/>
        <v>1.0200975233055194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5">
      <c r="A101" s="451">
        <v>17</v>
      </c>
      <c r="B101" s="447" t="s">
        <v>649</v>
      </c>
      <c r="C101" s="453">
        <f>IF(C83=0,0,C98/C83)</f>
        <v>4.7739511922347244</v>
      </c>
      <c r="D101" s="453">
        <f>IF(LN_IC1=0,0,LN_IC14/LN_IC1)</f>
        <v>5.4950164761401084</v>
      </c>
      <c r="E101" s="454">
        <f t="shared" si="10"/>
        <v>0.72106528390538394</v>
      </c>
      <c r="F101" s="449">
        <f t="shared" si="11"/>
        <v>0.15104161204627808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5">
      <c r="A102" s="451">
        <v>18</v>
      </c>
      <c r="B102" s="447" t="s">
        <v>650</v>
      </c>
      <c r="C102" s="463">
        <f>C101*C86</f>
        <v>969.1120920236491</v>
      </c>
      <c r="D102" s="463">
        <f>LN_IC17*LN_IC4</f>
        <v>1027.5680810382003</v>
      </c>
      <c r="E102" s="463">
        <f t="shared" si="10"/>
        <v>58.455989014551164</v>
      </c>
      <c r="F102" s="449">
        <f t="shared" si="11"/>
        <v>6.0319120456423604E-2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5">
      <c r="A103" s="451">
        <v>19</v>
      </c>
      <c r="B103" s="452" t="s">
        <v>651</v>
      </c>
      <c r="C103" s="465">
        <f>IF(C102=0,0,C99/C102)</f>
        <v>1743.6465955877934</v>
      </c>
      <c r="D103" s="465">
        <f>IF(LN_IC18=0,0,LN_IC15/LN_IC18)</f>
        <v>3721.951927638574</v>
      </c>
      <c r="E103" s="465">
        <f t="shared" si="10"/>
        <v>1978.3053320507806</v>
      </c>
      <c r="F103" s="449">
        <f t="shared" si="11"/>
        <v>1.1345792989570127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5">
      <c r="A104" s="451">
        <v>20</v>
      </c>
      <c r="B104" s="452" t="s">
        <v>676</v>
      </c>
      <c r="C104" s="465">
        <f>C61-C103</f>
        <v>13688.551282759607</v>
      </c>
      <c r="D104" s="465">
        <f>LN_IB18-LN_IC19</f>
        <v>12475.3796860402</v>
      </c>
      <c r="E104" s="465">
        <f t="shared" si="10"/>
        <v>-1213.1715967194068</v>
      </c>
      <c r="F104" s="449">
        <f t="shared" si="11"/>
        <v>-8.8626734243773958E-2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5">
      <c r="A105" s="451">
        <v>21</v>
      </c>
      <c r="B105" s="447" t="s">
        <v>677</v>
      </c>
      <c r="C105" s="465">
        <f>C32-C103</f>
        <v>6553.9600995245564</v>
      </c>
      <c r="D105" s="465">
        <f>LN_IA16-LN_IC19</f>
        <v>5834.2369243657486</v>
      </c>
      <c r="E105" s="465">
        <f t="shared" si="10"/>
        <v>-719.72317515880786</v>
      </c>
      <c r="F105" s="449">
        <f t="shared" si="11"/>
        <v>-0.10981500714522487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5">
      <c r="A106" s="451">
        <v>22</v>
      </c>
      <c r="B106" s="452" t="s">
        <v>662</v>
      </c>
      <c r="C106" s="448">
        <f>C105*C102</f>
        <v>6351521.9830897665</v>
      </c>
      <c r="D106" s="448">
        <f>LN_IC21*LN_IC18</f>
        <v>5995075.6406927239</v>
      </c>
      <c r="E106" s="448">
        <f t="shared" si="10"/>
        <v>-356446.34239704255</v>
      </c>
      <c r="F106" s="449">
        <f t="shared" si="11"/>
        <v>-5.6119831332717106E-2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5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678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5">
      <c r="A109" s="451">
        <v>23</v>
      </c>
      <c r="B109" s="447" t="s">
        <v>653</v>
      </c>
      <c r="C109" s="448">
        <f>C83+C98</f>
        <v>33682096</v>
      </c>
      <c r="D109" s="448">
        <f>LN_IC1+LN_IC14</f>
        <v>36880074</v>
      </c>
      <c r="E109" s="448">
        <f>D109-C109</f>
        <v>3197978</v>
      </c>
      <c r="F109" s="449">
        <f>IF(C109=0,0,E109/C109)</f>
        <v>9.4945932105887948E-2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5">
      <c r="A110" s="451">
        <v>24</v>
      </c>
      <c r="B110" s="447" t="s">
        <v>654</v>
      </c>
      <c r="C110" s="448">
        <f>C84+C99</f>
        <v>1941594</v>
      </c>
      <c r="D110" s="448">
        <f>LN_IC2+LN_IC15</f>
        <v>4784675</v>
      </c>
      <c r="E110" s="448">
        <f>D110-C110</f>
        <v>2843081</v>
      </c>
      <c r="F110" s="449">
        <f>IF(C110=0,0,E110/C110)</f>
        <v>1.4643025266868357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5">
      <c r="A111" s="451">
        <v>25</v>
      </c>
      <c r="B111" s="447" t="s">
        <v>655</v>
      </c>
      <c r="C111" s="448">
        <f>C109-C110</f>
        <v>31740502</v>
      </c>
      <c r="D111" s="448">
        <f>LN_IC23-LN_IC24</f>
        <v>32095399</v>
      </c>
      <c r="E111" s="448">
        <f>D111-C111</f>
        <v>354897</v>
      </c>
      <c r="F111" s="449">
        <f>IF(C111=0,0,E111/C111)</f>
        <v>1.1181203120227903E-2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5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5">
      <c r="A113" s="451">
        <v>26</v>
      </c>
      <c r="B113" s="447" t="s">
        <v>664</v>
      </c>
      <c r="C113" s="448">
        <f>C92+C106</f>
        <v>8137177.9660970634</v>
      </c>
      <c r="D113" s="448">
        <f>LN_IC10+LN_IC22</f>
        <v>6804315.1083418913</v>
      </c>
      <c r="E113" s="448">
        <f>D113-C113</f>
        <v>-1332862.8577551721</v>
      </c>
      <c r="F113" s="449">
        <f>IF(C113=0,0,E113/C113)</f>
        <v>-0.16379915288917662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5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3">
      <c r="A115" s="443" t="s">
        <v>170</v>
      </c>
      <c r="B115" s="444" t="s">
        <v>679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3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680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5">
      <c r="A118" s="428">
        <v>1</v>
      </c>
      <c r="B118" s="447" t="s">
        <v>637</v>
      </c>
      <c r="C118" s="448">
        <v>75908806</v>
      </c>
      <c r="D118" s="448">
        <v>84806012</v>
      </c>
      <c r="E118" s="448">
        <f t="shared" ref="E118:E130" si="12">D118-C118</f>
        <v>8897206</v>
      </c>
      <c r="F118" s="449">
        <f t="shared" ref="F118:F130" si="13">IF(C118=0,0,E118/C118)</f>
        <v>0.11720914171670675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5">
      <c r="A119" s="451">
        <v>2</v>
      </c>
      <c r="B119" s="447" t="s">
        <v>638</v>
      </c>
      <c r="C119" s="448">
        <v>18810298</v>
      </c>
      <c r="D119" s="448">
        <v>20010413</v>
      </c>
      <c r="E119" s="448">
        <f t="shared" si="12"/>
        <v>1200115</v>
      </c>
      <c r="F119" s="449">
        <f t="shared" si="13"/>
        <v>6.3800956263425496E-2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5">
      <c r="A120" s="451">
        <v>3</v>
      </c>
      <c r="B120" s="452" t="s">
        <v>639</v>
      </c>
      <c r="C120" s="453">
        <f>IF(C118=0,0,C119/C118)</f>
        <v>0.24780126300497995</v>
      </c>
      <c r="D120" s="453">
        <f>IF(LN_ID1=0,0,LN_1D2/LN_ID1)</f>
        <v>0.23595512308726416</v>
      </c>
      <c r="E120" s="454">
        <f t="shared" si="12"/>
        <v>-1.1846139917715798E-2</v>
      </c>
      <c r="F120" s="449">
        <f t="shared" si="13"/>
        <v>-4.7805002178208149E-2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5">
      <c r="A121" s="451">
        <v>4</v>
      </c>
      <c r="B121" s="447" t="s">
        <v>137</v>
      </c>
      <c r="C121" s="456">
        <v>2638</v>
      </c>
      <c r="D121" s="456">
        <v>2678</v>
      </c>
      <c r="E121" s="456">
        <f t="shared" si="12"/>
        <v>40</v>
      </c>
      <c r="F121" s="449">
        <f t="shared" si="13"/>
        <v>1.5163002274450341E-2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5">
      <c r="A122" s="451">
        <v>5</v>
      </c>
      <c r="B122" s="452" t="s">
        <v>640</v>
      </c>
      <c r="C122" s="459">
        <v>0.93062</v>
      </c>
      <c r="D122" s="459">
        <v>1.0448999999999999</v>
      </c>
      <c r="E122" s="460">
        <f t="shared" si="12"/>
        <v>0.11427999999999994</v>
      </c>
      <c r="F122" s="449">
        <f t="shared" si="13"/>
        <v>0.12279985386086688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5">
      <c r="A123" s="451">
        <v>6</v>
      </c>
      <c r="B123" s="452" t="s">
        <v>641</v>
      </c>
      <c r="C123" s="463">
        <f>C121*C122</f>
        <v>2454.9755599999999</v>
      </c>
      <c r="D123" s="463">
        <f>LN_ID4*LN_ID5</f>
        <v>2798.2421999999997</v>
      </c>
      <c r="E123" s="463">
        <f t="shared" si="12"/>
        <v>343.26663999999982</v>
      </c>
      <c r="F123" s="449">
        <f t="shared" si="13"/>
        <v>0.13982487059871171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5">
      <c r="A124" s="451">
        <v>7</v>
      </c>
      <c r="B124" s="447" t="s">
        <v>642</v>
      </c>
      <c r="C124" s="465">
        <f>IF(C123=0,0,C119/C123)</f>
        <v>7662.1121230225208</v>
      </c>
      <c r="D124" s="465">
        <f>IF(LN_ID6=0,0,LN_1D2/LN_ID6)</f>
        <v>7151.0654081337216</v>
      </c>
      <c r="E124" s="465">
        <f t="shared" si="12"/>
        <v>-511.04671488879922</v>
      </c>
      <c r="F124" s="449">
        <f t="shared" si="13"/>
        <v>-6.6697890435881993E-2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5">
      <c r="A125" s="451">
        <v>8</v>
      </c>
      <c r="B125" s="447" t="s">
        <v>681</v>
      </c>
      <c r="C125" s="465">
        <f>C48-C124</f>
        <v>8064.0416565336609</v>
      </c>
      <c r="D125" s="465">
        <f>LN_IB7-LN_ID7</f>
        <v>7044.4499341164756</v>
      </c>
      <c r="E125" s="465">
        <f t="shared" si="12"/>
        <v>-1019.5917224171853</v>
      </c>
      <c r="F125" s="449">
        <f t="shared" si="13"/>
        <v>-0.12643681243772967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5">
      <c r="A126" s="451">
        <v>9</v>
      </c>
      <c r="B126" s="447" t="s">
        <v>682</v>
      </c>
      <c r="C126" s="465">
        <f>C21-C124</f>
        <v>2097.2795757711474</v>
      </c>
      <c r="D126" s="465">
        <f>LN_IA7-LN_ID7</f>
        <v>1525.4994196039715</v>
      </c>
      <c r="E126" s="465">
        <f t="shared" si="12"/>
        <v>-571.78015616717585</v>
      </c>
      <c r="F126" s="449">
        <f t="shared" si="13"/>
        <v>-0.27262943995291539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5">
      <c r="A127" s="451">
        <v>10</v>
      </c>
      <c r="B127" s="447" t="s">
        <v>659</v>
      </c>
      <c r="C127" s="479">
        <f>C126*C123</f>
        <v>5148770.1010053344</v>
      </c>
      <c r="D127" s="479">
        <f>LN_ID9*LN_ID6</f>
        <v>4268716.8520113397</v>
      </c>
      <c r="E127" s="479">
        <f t="shared" si="12"/>
        <v>-880053.24899399467</v>
      </c>
      <c r="F127" s="449">
        <f t="shared" si="13"/>
        <v>-0.17092494551701928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5">
      <c r="A128" s="451">
        <v>11</v>
      </c>
      <c r="B128" s="447" t="s">
        <v>139</v>
      </c>
      <c r="C128" s="456">
        <v>10687</v>
      </c>
      <c r="D128" s="456">
        <v>11333</v>
      </c>
      <c r="E128" s="456">
        <f t="shared" si="12"/>
        <v>646</v>
      </c>
      <c r="F128" s="449">
        <f t="shared" si="13"/>
        <v>6.0447272387012259E-2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5">
      <c r="A129" s="451">
        <v>12</v>
      </c>
      <c r="B129" s="447" t="s">
        <v>643</v>
      </c>
      <c r="C129" s="465">
        <f>IF(C128=0,0,C119/C128)</f>
        <v>1760.1102273790586</v>
      </c>
      <c r="D129" s="465">
        <f>IF(LN_ID11=0,0,LN_1D2/LN_ID11)</f>
        <v>1765.6766081355333</v>
      </c>
      <c r="E129" s="465">
        <f t="shared" si="12"/>
        <v>5.5663807564747003</v>
      </c>
      <c r="F129" s="449">
        <f t="shared" si="13"/>
        <v>3.1625182729399142E-3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5">
      <c r="A130" s="451">
        <v>13</v>
      </c>
      <c r="B130" s="447" t="s">
        <v>644</v>
      </c>
      <c r="C130" s="466">
        <f>IF(C121=0,0,C128/C121)</f>
        <v>4.0511751326762697</v>
      </c>
      <c r="D130" s="466">
        <f>IF(LN_ID4=0,0,LN_ID11/LN_ID4)</f>
        <v>4.2318894697535478</v>
      </c>
      <c r="E130" s="466">
        <f t="shared" si="12"/>
        <v>0.18071433707727813</v>
      </c>
      <c r="F130" s="449">
        <f t="shared" si="13"/>
        <v>4.4607880715809838E-2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5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683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5">
      <c r="A133" s="451">
        <v>14</v>
      </c>
      <c r="B133" s="447" t="s">
        <v>646</v>
      </c>
      <c r="C133" s="448">
        <v>84059124</v>
      </c>
      <c r="D133" s="448">
        <v>91316411</v>
      </c>
      <c r="E133" s="448">
        <f t="shared" ref="E133:E141" si="14">D133-C133</f>
        <v>7257287</v>
      </c>
      <c r="F133" s="449">
        <f t="shared" ref="F133:F141" si="15">IF(C133=0,0,E133/C133)</f>
        <v>8.6335505946980848E-2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5">
      <c r="A134" s="451">
        <v>15</v>
      </c>
      <c r="B134" s="447" t="s">
        <v>647</v>
      </c>
      <c r="C134" s="448">
        <v>21600771</v>
      </c>
      <c r="D134" s="448">
        <v>21845649</v>
      </c>
      <c r="E134" s="448">
        <f t="shared" si="14"/>
        <v>244878</v>
      </c>
      <c r="F134" s="449">
        <f t="shared" si="15"/>
        <v>1.1336539792954613E-2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5">
      <c r="A135" s="451">
        <v>16</v>
      </c>
      <c r="B135" s="447" t="s">
        <v>648</v>
      </c>
      <c r="C135" s="453">
        <f>IF(C133=0,0,C134/C133)</f>
        <v>0.25697116472448606</v>
      </c>
      <c r="D135" s="453">
        <f>IF(LN_ID14=0,0,LN_ID15/LN_ID14)</f>
        <v>0.23923026278376183</v>
      </c>
      <c r="E135" s="454">
        <f t="shared" si="14"/>
        <v>-1.7740901940724224E-2</v>
      </c>
      <c r="F135" s="449">
        <f t="shared" si="15"/>
        <v>-6.9038492936533524E-2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5">
      <c r="A136" s="451">
        <v>17</v>
      </c>
      <c r="B136" s="447" t="s">
        <v>649</v>
      </c>
      <c r="C136" s="453">
        <f>IF(C118=0,0,C133/C118)</f>
        <v>1.1073698616732293</v>
      </c>
      <c r="D136" s="453">
        <f>IF(LN_ID1=0,0,LN_ID14/LN_ID1)</f>
        <v>1.0767681305424432</v>
      </c>
      <c r="E136" s="454">
        <f t="shared" si="14"/>
        <v>-3.0601731130786014E-2</v>
      </c>
      <c r="F136" s="449">
        <f t="shared" si="15"/>
        <v>-2.7634607180429292E-2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5">
      <c r="A137" s="451">
        <v>18</v>
      </c>
      <c r="B137" s="447" t="s">
        <v>650</v>
      </c>
      <c r="C137" s="463">
        <f>C136*C121</f>
        <v>2921.2416950939787</v>
      </c>
      <c r="D137" s="463">
        <f>LN_ID17*LN_ID4</f>
        <v>2883.5850535926629</v>
      </c>
      <c r="E137" s="463">
        <f t="shared" si="14"/>
        <v>-37.656641501315789</v>
      </c>
      <c r="F137" s="449">
        <f t="shared" si="15"/>
        <v>-1.2890628517509347E-2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5">
      <c r="A138" s="451">
        <v>19</v>
      </c>
      <c r="B138" s="452" t="s">
        <v>651</v>
      </c>
      <c r="C138" s="465">
        <f>IF(C137=0,0,C134/C137)</f>
        <v>7394.379943390848</v>
      </c>
      <c r="D138" s="465">
        <f>IF(LN_ID18=0,0,LN_ID15/LN_ID18)</f>
        <v>7575.8642779697011</v>
      </c>
      <c r="E138" s="465">
        <f t="shared" si="14"/>
        <v>181.48433457885312</v>
      </c>
      <c r="F138" s="449">
        <f t="shared" si="15"/>
        <v>2.4543550097268829E-2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5">
      <c r="A139" s="451">
        <v>20</v>
      </c>
      <c r="B139" s="452" t="s">
        <v>684</v>
      </c>
      <c r="C139" s="465">
        <f>C61-C138</f>
        <v>8037.8179349565526</v>
      </c>
      <c r="D139" s="465">
        <f>LN_IB18-LN_ID19</f>
        <v>8621.4673357090724</v>
      </c>
      <c r="E139" s="465">
        <f t="shared" si="14"/>
        <v>583.6494007525198</v>
      </c>
      <c r="F139" s="449">
        <f t="shared" si="15"/>
        <v>7.2612916275973674E-2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5">
      <c r="A140" s="451">
        <v>21</v>
      </c>
      <c r="B140" s="447" t="s">
        <v>685</v>
      </c>
      <c r="C140" s="465">
        <f>C32-C138</f>
        <v>903.2267517215023</v>
      </c>
      <c r="D140" s="465">
        <f>LN_IA16-LN_ID19</f>
        <v>1980.3245740346219</v>
      </c>
      <c r="E140" s="465">
        <f t="shared" si="14"/>
        <v>1077.0978223131197</v>
      </c>
      <c r="F140" s="449">
        <f t="shared" si="15"/>
        <v>1.1924999124087372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5">
      <c r="A141" s="428">
        <v>22</v>
      </c>
      <c r="B141" s="452" t="s">
        <v>662</v>
      </c>
      <c r="C141" s="441">
        <f>C140*C137</f>
        <v>2638543.6472531497</v>
      </c>
      <c r="D141" s="441">
        <f>LN_ID21*LN_ID18</f>
        <v>5710434.3429484926</v>
      </c>
      <c r="E141" s="441">
        <f t="shared" si="14"/>
        <v>3071890.695695343</v>
      </c>
      <c r="F141" s="449">
        <f t="shared" si="15"/>
        <v>1.1642372105132042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5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3">
      <c r="A143" s="428"/>
      <c r="B143" s="495" t="s">
        <v>686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5">
      <c r="A144" s="451">
        <v>23</v>
      </c>
      <c r="B144" s="447" t="s">
        <v>653</v>
      </c>
      <c r="C144" s="448">
        <f>C118+C133</f>
        <v>159967930</v>
      </c>
      <c r="D144" s="448">
        <f>LN_ID1+LN_ID14</f>
        <v>176122423</v>
      </c>
      <c r="E144" s="448">
        <f>D144-C144</f>
        <v>16154493</v>
      </c>
      <c r="F144" s="449">
        <f>IF(C144=0,0,E144/C144)</f>
        <v>0.10098582259581655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5">
      <c r="A145" s="451">
        <v>24</v>
      </c>
      <c r="B145" s="447" t="s">
        <v>654</v>
      </c>
      <c r="C145" s="448">
        <f>C119+C134</f>
        <v>40411069</v>
      </c>
      <c r="D145" s="448">
        <f>LN_1D2+LN_ID15</f>
        <v>41856062</v>
      </c>
      <c r="E145" s="448">
        <f>D145-C145</f>
        <v>1444993</v>
      </c>
      <c r="F145" s="449">
        <f>IF(C145=0,0,E145/C145)</f>
        <v>3.5757356480720669E-2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5">
      <c r="A146" s="451">
        <v>25</v>
      </c>
      <c r="B146" s="447" t="s">
        <v>655</v>
      </c>
      <c r="C146" s="448">
        <f>C144-C145</f>
        <v>119556861</v>
      </c>
      <c r="D146" s="448">
        <f>LN_ID23-LN_ID24</f>
        <v>134266361</v>
      </c>
      <c r="E146" s="448">
        <f>D146-C146</f>
        <v>14709500</v>
      </c>
      <c r="F146" s="449">
        <f>IF(C146=0,0,E146/C146)</f>
        <v>0.12303350788040512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5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5">
      <c r="A148" s="451">
        <v>26</v>
      </c>
      <c r="B148" s="447" t="s">
        <v>664</v>
      </c>
      <c r="C148" s="448">
        <f>C127+C141</f>
        <v>7787313.7482584845</v>
      </c>
      <c r="D148" s="448">
        <f>LN_ID10+LN_ID22</f>
        <v>9979151.1949598324</v>
      </c>
      <c r="E148" s="448">
        <f>D148-C148</f>
        <v>2191837.4467013478</v>
      </c>
      <c r="F148" s="503">
        <f>IF(C148=0,0,E148/C148)</f>
        <v>0.28146258357594994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5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3">
      <c r="A150" s="443" t="s">
        <v>175</v>
      </c>
      <c r="B150" s="444" t="s">
        <v>687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5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688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5">
      <c r="A153" s="428">
        <v>1</v>
      </c>
      <c r="B153" s="447" t="s">
        <v>637</v>
      </c>
      <c r="C153" s="448">
        <v>1246734</v>
      </c>
      <c r="D153" s="448">
        <v>1227307</v>
      </c>
      <c r="E153" s="448">
        <f t="shared" ref="E153:E165" si="16">D153-C153</f>
        <v>-19427</v>
      </c>
      <c r="F153" s="449">
        <f t="shared" ref="F153:F165" si="17">IF(C153=0,0,E153/C153)</f>
        <v>-1.5582313468630839E-2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5">
      <c r="A154" s="451">
        <v>2</v>
      </c>
      <c r="B154" s="447" t="s">
        <v>638</v>
      </c>
      <c r="C154" s="448">
        <v>201194</v>
      </c>
      <c r="D154" s="448">
        <v>244170</v>
      </c>
      <c r="E154" s="448">
        <f t="shared" si="16"/>
        <v>42976</v>
      </c>
      <c r="F154" s="449">
        <f t="shared" si="17"/>
        <v>0.21360477946658449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5">
      <c r="A155" s="451">
        <v>3</v>
      </c>
      <c r="B155" s="452" t="s">
        <v>639</v>
      </c>
      <c r="C155" s="453">
        <f>IF(C153=0,0,C154/C153)</f>
        <v>0.16137684542171787</v>
      </c>
      <c r="D155" s="453">
        <f>IF(LN_IE1=0,0,LN_IE2/LN_IE1)</f>
        <v>0.19894777753243484</v>
      </c>
      <c r="E155" s="454">
        <f t="shared" si="16"/>
        <v>3.7570932110716965E-2</v>
      </c>
      <c r="F155" s="449">
        <f t="shared" si="17"/>
        <v>0.23281488749228407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5">
      <c r="A156" s="451">
        <v>4</v>
      </c>
      <c r="B156" s="447" t="s">
        <v>137</v>
      </c>
      <c r="C156" s="506">
        <v>33</v>
      </c>
      <c r="D156" s="506">
        <v>35</v>
      </c>
      <c r="E156" s="506">
        <f t="shared" si="16"/>
        <v>2</v>
      </c>
      <c r="F156" s="449">
        <f t="shared" si="17"/>
        <v>6.0606060606060608E-2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5">
      <c r="A157" s="451">
        <v>5</v>
      </c>
      <c r="B157" s="452" t="s">
        <v>640</v>
      </c>
      <c r="C157" s="459">
        <v>1.27826</v>
      </c>
      <c r="D157" s="459">
        <v>1.0327999999999999</v>
      </c>
      <c r="E157" s="460">
        <f t="shared" si="16"/>
        <v>-0.24546000000000001</v>
      </c>
      <c r="F157" s="449">
        <f t="shared" si="17"/>
        <v>-0.19202666124262671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5">
      <c r="A158" s="451">
        <v>6</v>
      </c>
      <c r="B158" s="452" t="s">
        <v>641</v>
      </c>
      <c r="C158" s="463">
        <f>C156*C157</f>
        <v>42.182580000000002</v>
      </c>
      <c r="D158" s="463">
        <f>LN_IE4*LN_IE5</f>
        <v>36.147999999999996</v>
      </c>
      <c r="E158" s="463">
        <f t="shared" si="16"/>
        <v>-6.0345800000000054</v>
      </c>
      <c r="F158" s="449">
        <f t="shared" si="17"/>
        <v>-0.14305858010581632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5">
      <c r="A159" s="451">
        <v>7</v>
      </c>
      <c r="B159" s="447" t="s">
        <v>642</v>
      </c>
      <c r="C159" s="465">
        <f>IF(C158=0,0,C154/C158)</f>
        <v>4769.5992042212683</v>
      </c>
      <c r="D159" s="465">
        <f>IF(LN_IE6=0,0,LN_IE2/LN_IE6)</f>
        <v>6754.7305521743947</v>
      </c>
      <c r="E159" s="465">
        <f t="shared" si="16"/>
        <v>1985.1313479531264</v>
      </c>
      <c r="F159" s="449">
        <f t="shared" si="17"/>
        <v>0.41620506523823075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5">
      <c r="A160" s="451">
        <v>8</v>
      </c>
      <c r="B160" s="510" t="s">
        <v>689</v>
      </c>
      <c r="C160" s="465">
        <f>C48-C159</f>
        <v>10956.554575334914</v>
      </c>
      <c r="D160" s="465">
        <f>LN_IB7-LN_IE7</f>
        <v>7440.7847900758024</v>
      </c>
      <c r="E160" s="465">
        <f t="shared" si="16"/>
        <v>-3515.7697852591118</v>
      </c>
      <c r="F160" s="449">
        <f t="shared" si="17"/>
        <v>-0.32088278857057068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5">
      <c r="A161" s="451">
        <v>9</v>
      </c>
      <c r="B161" s="510" t="s">
        <v>690</v>
      </c>
      <c r="C161" s="465">
        <f>C21-C159</f>
        <v>4989.7924945723998</v>
      </c>
      <c r="D161" s="465">
        <f>LN_IA7-LN_IE7</f>
        <v>1921.8342755632984</v>
      </c>
      <c r="E161" s="465">
        <f t="shared" si="16"/>
        <v>-3067.9582190091014</v>
      </c>
      <c r="F161" s="449">
        <f t="shared" si="17"/>
        <v>-0.61484685432234798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5">
      <c r="A162" s="451">
        <v>10</v>
      </c>
      <c r="B162" s="447" t="s">
        <v>659</v>
      </c>
      <c r="C162" s="479">
        <f>C161*C158</f>
        <v>210482.32108569983</v>
      </c>
      <c r="D162" s="479">
        <f>LN_IE9*LN_IE6</f>
        <v>69470.465393062099</v>
      </c>
      <c r="E162" s="479">
        <f t="shared" si="16"/>
        <v>-141011.85569263774</v>
      </c>
      <c r="F162" s="449">
        <f t="shared" si="17"/>
        <v>-0.66994631646628144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5">
      <c r="A163" s="451">
        <v>11</v>
      </c>
      <c r="B163" s="447" t="s">
        <v>139</v>
      </c>
      <c r="C163" s="456">
        <v>168</v>
      </c>
      <c r="D163" s="456">
        <v>187</v>
      </c>
      <c r="E163" s="506">
        <f t="shared" si="16"/>
        <v>19</v>
      </c>
      <c r="F163" s="449">
        <f t="shared" si="17"/>
        <v>0.1130952380952381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5">
      <c r="A164" s="451">
        <v>12</v>
      </c>
      <c r="B164" s="447" t="s">
        <v>643</v>
      </c>
      <c r="C164" s="465">
        <f>IF(C163=0,0,C154/C163)</f>
        <v>1197.5833333333333</v>
      </c>
      <c r="D164" s="465">
        <f>IF(LN_IE11=0,0,LN_IE2/LN_IE11)</f>
        <v>1305.7219251336899</v>
      </c>
      <c r="E164" s="465">
        <f t="shared" si="16"/>
        <v>108.13859180035661</v>
      </c>
      <c r="F164" s="449">
        <f t="shared" si="17"/>
        <v>9.0297341980674933E-2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5">
      <c r="A165" s="451">
        <v>13</v>
      </c>
      <c r="B165" s="447" t="s">
        <v>644</v>
      </c>
      <c r="C165" s="466">
        <f>IF(C156=0,0,C163/C156)</f>
        <v>5.0909090909090908</v>
      </c>
      <c r="D165" s="466">
        <f>IF(LN_IE4=0,0,LN_IE11/LN_IE4)</f>
        <v>5.3428571428571425</v>
      </c>
      <c r="E165" s="466">
        <f t="shared" si="16"/>
        <v>0.2519480519480517</v>
      </c>
      <c r="F165" s="449">
        <f t="shared" si="17"/>
        <v>4.9489795918367302E-2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5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691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5">
      <c r="A168" s="451">
        <v>14</v>
      </c>
      <c r="B168" s="447" t="s">
        <v>646</v>
      </c>
      <c r="C168" s="511">
        <v>799592</v>
      </c>
      <c r="D168" s="511">
        <v>920964</v>
      </c>
      <c r="E168" s="511">
        <f t="shared" ref="E168:E176" si="18">D168-C168</f>
        <v>121372</v>
      </c>
      <c r="F168" s="449">
        <f t="shared" ref="F168:F176" si="19">IF(C168=0,0,E168/C168)</f>
        <v>0.15179241413120692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5">
      <c r="A169" s="451">
        <v>15</v>
      </c>
      <c r="B169" s="447" t="s">
        <v>647</v>
      </c>
      <c r="C169" s="511">
        <v>101477</v>
      </c>
      <c r="D169" s="511">
        <v>240655</v>
      </c>
      <c r="E169" s="511">
        <f t="shared" si="18"/>
        <v>139178</v>
      </c>
      <c r="F169" s="449">
        <f t="shared" si="19"/>
        <v>1.3715226110350129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5">
      <c r="A170" s="451">
        <v>16</v>
      </c>
      <c r="B170" s="447" t="s">
        <v>648</v>
      </c>
      <c r="C170" s="453">
        <f>IF(C168=0,0,C169/C168)</f>
        <v>0.12691097459704448</v>
      </c>
      <c r="D170" s="453">
        <f>IF(LN_IE14=0,0,LN_IE15/LN_IE14)</f>
        <v>0.26130771669685243</v>
      </c>
      <c r="E170" s="454">
        <f t="shared" si="18"/>
        <v>0.13439674209980795</v>
      </c>
      <c r="F170" s="449">
        <f t="shared" si="19"/>
        <v>1.0589843985244898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5">
      <c r="A171" s="451">
        <v>17</v>
      </c>
      <c r="B171" s="447" t="s">
        <v>649</v>
      </c>
      <c r="C171" s="453">
        <f>IF(C153=0,0,C168/C153)</f>
        <v>0.6413493174967555</v>
      </c>
      <c r="D171" s="453">
        <f>IF(LN_IE1=0,0,LN_IE14/LN_IE1)</f>
        <v>0.75039415565950496</v>
      </c>
      <c r="E171" s="454">
        <f t="shared" si="18"/>
        <v>0.10904483816274946</v>
      </c>
      <c r="F171" s="449">
        <f t="shared" si="19"/>
        <v>0.17002409636664359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5">
      <c r="A172" s="451">
        <v>18</v>
      </c>
      <c r="B172" s="447" t="s">
        <v>650</v>
      </c>
      <c r="C172" s="463">
        <f>C171*C156</f>
        <v>21.16452747739293</v>
      </c>
      <c r="D172" s="463">
        <f>LN_IE17*LN_IE4</f>
        <v>26.263795448082675</v>
      </c>
      <c r="E172" s="463">
        <f t="shared" si="18"/>
        <v>5.0992679706897448</v>
      </c>
      <c r="F172" s="449">
        <f t="shared" si="19"/>
        <v>0.24093464766159184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5">
      <c r="A173" s="451">
        <v>19</v>
      </c>
      <c r="B173" s="452" t="s">
        <v>651</v>
      </c>
      <c r="C173" s="465">
        <f>IF(C172=0,0,C169/C172)</f>
        <v>4794.6735455536873</v>
      </c>
      <c r="D173" s="465">
        <f>IF(LN_IE18=0,0,LN_IE15/LN_IE18)</f>
        <v>9162.9939958875384</v>
      </c>
      <c r="E173" s="465">
        <f t="shared" si="18"/>
        <v>4368.3204503338511</v>
      </c>
      <c r="F173" s="449">
        <f t="shared" si="19"/>
        <v>0.91107776344539404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5">
      <c r="A174" s="451">
        <v>20</v>
      </c>
      <c r="B174" s="510" t="s">
        <v>692</v>
      </c>
      <c r="C174" s="465">
        <f>C61-C173</f>
        <v>10637.524332793713</v>
      </c>
      <c r="D174" s="465">
        <f>LN_IB18-LN_IE19</f>
        <v>7034.337617791236</v>
      </c>
      <c r="E174" s="465">
        <f t="shared" si="18"/>
        <v>-3603.1867150024773</v>
      </c>
      <c r="F174" s="449">
        <f t="shared" si="19"/>
        <v>-0.33872418076586236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5">
      <c r="A175" s="451">
        <v>21</v>
      </c>
      <c r="B175" s="510" t="s">
        <v>693</v>
      </c>
      <c r="C175" s="465">
        <f>C32-C173</f>
        <v>3502.933149558663</v>
      </c>
      <c r="D175" s="465">
        <f>LN_IA16-LN_IE19</f>
        <v>393.19485611678465</v>
      </c>
      <c r="E175" s="465">
        <f t="shared" si="18"/>
        <v>-3109.7382934418783</v>
      </c>
      <c r="F175" s="449">
        <f t="shared" si="19"/>
        <v>-0.88775268058817403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5">
      <c r="A176" s="451">
        <v>22</v>
      </c>
      <c r="B176" s="452" t="s">
        <v>662</v>
      </c>
      <c r="C176" s="441">
        <f>C175*C172</f>
        <v>74137.924895304881</v>
      </c>
      <c r="D176" s="441">
        <f>LN_IE21*LN_IE18</f>
        <v>10326.78927228953</v>
      </c>
      <c r="E176" s="441">
        <f t="shared" si="18"/>
        <v>-63811.135623015347</v>
      </c>
      <c r="F176" s="449">
        <f t="shared" si="19"/>
        <v>-0.8607084122347276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5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694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5">
      <c r="A179" s="451">
        <v>23</v>
      </c>
      <c r="B179" s="447" t="s">
        <v>653</v>
      </c>
      <c r="C179" s="448">
        <f>C153+C168</f>
        <v>2046326</v>
      </c>
      <c r="D179" s="448">
        <f>LN_IE1+LN_IE14</f>
        <v>2148271</v>
      </c>
      <c r="E179" s="448">
        <f>D179-C179</f>
        <v>101945</v>
      </c>
      <c r="F179" s="449">
        <f>IF(C179=0,0,E179/C179)</f>
        <v>4.9818552860101471E-2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5">
      <c r="A180" s="451">
        <v>24</v>
      </c>
      <c r="B180" s="447" t="s">
        <v>654</v>
      </c>
      <c r="C180" s="448">
        <f>C154+C169</f>
        <v>302671</v>
      </c>
      <c r="D180" s="448">
        <f>LN_IE15+LN_IE2</f>
        <v>484825</v>
      </c>
      <c r="E180" s="448">
        <f>D180-C180</f>
        <v>182154</v>
      </c>
      <c r="F180" s="449">
        <f>IF(C180=0,0,E180/C180)</f>
        <v>0.60182178008464637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5">
      <c r="A181" s="451">
        <v>25</v>
      </c>
      <c r="B181" s="447" t="s">
        <v>655</v>
      </c>
      <c r="C181" s="448">
        <f>C179-C180</f>
        <v>1743655</v>
      </c>
      <c r="D181" s="448">
        <f>LN_IE23-LN_IE24</f>
        <v>1663446</v>
      </c>
      <c r="E181" s="448">
        <f>D181-C181</f>
        <v>-80209</v>
      </c>
      <c r="F181" s="449">
        <f>IF(C181=0,0,E181/C181)</f>
        <v>-4.6000498951914229E-2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5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5">
      <c r="A183" s="451">
        <v>26</v>
      </c>
      <c r="B183" s="447" t="s">
        <v>695</v>
      </c>
      <c r="C183" s="448">
        <f>C162+C176</f>
        <v>284620.24598100473</v>
      </c>
      <c r="D183" s="448">
        <f>LN_IE10+LN_IE22</f>
        <v>79797.254665351633</v>
      </c>
      <c r="E183" s="441">
        <f>D183-C183</f>
        <v>-204822.99131565308</v>
      </c>
      <c r="F183" s="449">
        <f>IF(C183=0,0,E183/C183)</f>
        <v>-0.71963605614100534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5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3">
      <c r="A185" s="443" t="s">
        <v>181</v>
      </c>
      <c r="B185" s="444" t="s">
        <v>696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3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697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5">
      <c r="A188" s="428">
        <v>1</v>
      </c>
      <c r="B188" s="447" t="s">
        <v>637</v>
      </c>
      <c r="C188" s="448">
        <f>C118+C153</f>
        <v>77155540</v>
      </c>
      <c r="D188" s="448">
        <f>LN_ID1+LN_IE1</f>
        <v>86033319</v>
      </c>
      <c r="E188" s="448">
        <f t="shared" ref="E188:E200" si="20">D188-C188</f>
        <v>8877779</v>
      </c>
      <c r="F188" s="449">
        <f t="shared" ref="F188:F200" si="21">IF(C188=0,0,E188/C188)</f>
        <v>0.11506340309458012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5">
      <c r="A189" s="451">
        <v>2</v>
      </c>
      <c r="B189" s="447" t="s">
        <v>638</v>
      </c>
      <c r="C189" s="448">
        <f>C119+C154</f>
        <v>19011492</v>
      </c>
      <c r="D189" s="448">
        <f>LN_1D2+LN_IE2</f>
        <v>20254583</v>
      </c>
      <c r="E189" s="448">
        <f t="shared" si="20"/>
        <v>1243091</v>
      </c>
      <c r="F189" s="449">
        <f t="shared" si="21"/>
        <v>6.538629372171316E-2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5">
      <c r="A190" s="451">
        <v>3</v>
      </c>
      <c r="B190" s="452" t="s">
        <v>639</v>
      </c>
      <c r="C190" s="453">
        <f>IF(C188=0,0,C189/C188)</f>
        <v>0.24640475589957636</v>
      </c>
      <c r="D190" s="453">
        <f>IF(LN_IF1=0,0,LN_IF2/LN_IF1)</f>
        <v>0.23542719536369391</v>
      </c>
      <c r="E190" s="454">
        <f t="shared" si="20"/>
        <v>-1.0977560535882447E-2</v>
      </c>
      <c r="F190" s="449">
        <f t="shared" si="21"/>
        <v>-4.4550927987592956E-2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5">
      <c r="A191" s="451">
        <v>4</v>
      </c>
      <c r="B191" s="447" t="s">
        <v>137</v>
      </c>
      <c r="C191" s="456">
        <f>C121+C156</f>
        <v>2671</v>
      </c>
      <c r="D191" s="456">
        <f>LN_ID4+LN_IE4</f>
        <v>2713</v>
      </c>
      <c r="E191" s="456">
        <f t="shared" si="20"/>
        <v>42</v>
      </c>
      <c r="F191" s="449">
        <f t="shared" si="21"/>
        <v>1.57244477723699E-2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5">
      <c r="A192" s="451">
        <v>5</v>
      </c>
      <c r="B192" s="452" t="s">
        <v>640</v>
      </c>
      <c r="C192" s="459">
        <f>IF((C121+C156)=0,0,(C123+C158)/(C121+C156))</f>
        <v>0.93491506551853243</v>
      </c>
      <c r="D192" s="459">
        <f>IF((LN_ID4+LN_IE4)=0,0,(LN_ID6+LN_IE6)/(LN_ID4+LN_IE4))</f>
        <v>1.0447438997419829</v>
      </c>
      <c r="E192" s="460">
        <f t="shared" si="20"/>
        <v>0.10982883422345047</v>
      </c>
      <c r="F192" s="449">
        <f t="shared" si="21"/>
        <v>0.11747466510504465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5">
      <c r="A193" s="451">
        <v>6</v>
      </c>
      <c r="B193" s="452" t="s">
        <v>641</v>
      </c>
      <c r="C193" s="463">
        <f>C123+C158</f>
        <v>2497.15814</v>
      </c>
      <c r="D193" s="463">
        <f>LN_IF4*LN_IF5</f>
        <v>2834.3901999999998</v>
      </c>
      <c r="E193" s="463">
        <f t="shared" si="20"/>
        <v>337.23205999999982</v>
      </c>
      <c r="F193" s="449">
        <f t="shared" si="21"/>
        <v>0.13504633711343561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5">
      <c r="A194" s="451">
        <v>7</v>
      </c>
      <c r="B194" s="447" t="s">
        <v>642</v>
      </c>
      <c r="C194" s="465">
        <f>IF(C193=0,0,C189/C193)</f>
        <v>7613.2511175283435</v>
      </c>
      <c r="D194" s="465">
        <f>IF(LN_IF6=0,0,LN_IF2/LN_IF6)</f>
        <v>7146.0108068395102</v>
      </c>
      <c r="E194" s="465">
        <f t="shared" si="20"/>
        <v>-467.24031068883323</v>
      </c>
      <c r="F194" s="449">
        <f t="shared" si="21"/>
        <v>-6.1371982018704738E-2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5">
      <c r="A195" s="451">
        <v>8</v>
      </c>
      <c r="B195" s="445" t="s">
        <v>698</v>
      </c>
      <c r="C195" s="465">
        <f>C48-C194</f>
        <v>8112.9026620278382</v>
      </c>
      <c r="D195" s="465">
        <f>LN_IB7-LN_IF7</f>
        <v>7049.5045354106869</v>
      </c>
      <c r="E195" s="465">
        <f t="shared" si="20"/>
        <v>-1063.3981266171513</v>
      </c>
      <c r="F195" s="449">
        <f t="shared" si="21"/>
        <v>-0.13107492729998471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5">
      <c r="A196" s="451">
        <v>9</v>
      </c>
      <c r="B196" s="452" t="s">
        <v>699</v>
      </c>
      <c r="C196" s="465">
        <f>C21-C194</f>
        <v>2146.1405812653247</v>
      </c>
      <c r="D196" s="465">
        <f>LN_IA7-LN_IF7</f>
        <v>1530.5540208981829</v>
      </c>
      <c r="E196" s="465">
        <f t="shared" si="20"/>
        <v>-615.58656036714183</v>
      </c>
      <c r="F196" s="449">
        <f t="shared" si="21"/>
        <v>-0.28683422033993849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5">
      <c r="A197" s="451">
        <v>10</v>
      </c>
      <c r="B197" s="447" t="s">
        <v>659</v>
      </c>
      <c r="C197" s="479">
        <f>C127+C162</f>
        <v>5359252.4220910342</v>
      </c>
      <c r="D197" s="479">
        <f>LN_IF9*LN_IF6</f>
        <v>4338187.3174044043</v>
      </c>
      <c r="E197" s="479">
        <f t="shared" si="20"/>
        <v>-1021065.10468663</v>
      </c>
      <c r="F197" s="449">
        <f t="shared" si="21"/>
        <v>-0.1905237940421993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5">
      <c r="A198" s="451">
        <v>11</v>
      </c>
      <c r="B198" s="447" t="s">
        <v>139</v>
      </c>
      <c r="C198" s="456">
        <f>C128+C163</f>
        <v>10855</v>
      </c>
      <c r="D198" s="456">
        <f>LN_ID11+LN_IE11</f>
        <v>11520</v>
      </c>
      <c r="E198" s="456">
        <f t="shared" si="20"/>
        <v>665</v>
      </c>
      <c r="F198" s="449">
        <f t="shared" si="21"/>
        <v>6.1262091202210961E-2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5">
      <c r="A199" s="451">
        <v>12</v>
      </c>
      <c r="B199" s="447" t="s">
        <v>643</v>
      </c>
      <c r="C199" s="519">
        <f>IF(C198=0,0,C189/C198)</f>
        <v>1751.4041455550437</v>
      </c>
      <c r="D199" s="519">
        <f>IF(LN_IF11=0,0,LN_IF2/LN_IF11)</f>
        <v>1758.2103298611112</v>
      </c>
      <c r="E199" s="519">
        <f t="shared" si="20"/>
        <v>6.8061843060675074</v>
      </c>
      <c r="F199" s="449">
        <f t="shared" si="21"/>
        <v>3.8861300650344958E-3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5">
      <c r="A200" s="451">
        <v>13</v>
      </c>
      <c r="B200" s="447" t="s">
        <v>644</v>
      </c>
      <c r="C200" s="466">
        <f>IF(C191=0,0,C198/C191)</f>
        <v>4.0640209659303634</v>
      </c>
      <c r="D200" s="466">
        <f>IF(LN_IF4=0,0,LN_IF11/LN_IF4)</f>
        <v>4.2462218945816437</v>
      </c>
      <c r="E200" s="466">
        <f t="shared" si="20"/>
        <v>0.18220092865128024</v>
      </c>
      <c r="F200" s="449">
        <f t="shared" si="21"/>
        <v>4.4832674383009627E-2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5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700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5">
      <c r="A203" s="428">
        <v>14</v>
      </c>
      <c r="B203" s="447" t="s">
        <v>646</v>
      </c>
      <c r="C203" s="448">
        <f>C133+C168</f>
        <v>84858716</v>
      </c>
      <c r="D203" s="448">
        <f>LN_ID14+LN_IE14</f>
        <v>92237375</v>
      </c>
      <c r="E203" s="448">
        <f t="shared" ref="E203:E211" si="22">D203-C203</f>
        <v>7378659</v>
      </c>
      <c r="F203" s="449">
        <f t="shared" ref="F203:F211" si="23">IF(C203=0,0,E203/C203)</f>
        <v>8.6952281955338565E-2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5">
      <c r="A204" s="428">
        <v>15</v>
      </c>
      <c r="B204" s="447" t="s">
        <v>647</v>
      </c>
      <c r="C204" s="448">
        <f>C134+C169</f>
        <v>21702248</v>
      </c>
      <c r="D204" s="448">
        <f>LN_ID15+LN_IE15</f>
        <v>22086304</v>
      </c>
      <c r="E204" s="448">
        <f t="shared" si="22"/>
        <v>384056</v>
      </c>
      <c r="F204" s="449">
        <f t="shared" si="23"/>
        <v>1.7696599909834226E-2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5">
      <c r="A205" s="428">
        <v>16</v>
      </c>
      <c r="B205" s="447" t="s">
        <v>648</v>
      </c>
      <c r="C205" s="453">
        <f>IF(C203=0,0,C204/C203)</f>
        <v>0.25574565610914973</v>
      </c>
      <c r="D205" s="453">
        <f>IF(LN_IF14=0,0,LN_IF15/LN_IF14)</f>
        <v>0.23945069989253273</v>
      </c>
      <c r="E205" s="454">
        <f t="shared" si="22"/>
        <v>-1.6294956216617001E-2</v>
      </c>
      <c r="F205" s="449">
        <f t="shared" si="23"/>
        <v>-6.371547601051912E-2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5">
      <c r="A206" s="428">
        <v>17</v>
      </c>
      <c r="B206" s="447" t="s">
        <v>649</v>
      </c>
      <c r="C206" s="453">
        <f>IF(C188=0,0,C203/C188)</f>
        <v>1.09983957082019</v>
      </c>
      <c r="D206" s="453">
        <f>IF(LN_IF1=0,0,LN_IF14/LN_IF1)</f>
        <v>1.0721122475816607</v>
      </c>
      <c r="E206" s="454">
        <f t="shared" si="22"/>
        <v>-2.7727323238529333E-2</v>
      </c>
      <c r="F206" s="449">
        <f t="shared" si="23"/>
        <v>-2.521033428343742E-2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5">
      <c r="A207" s="428">
        <v>18</v>
      </c>
      <c r="B207" s="447" t="s">
        <v>650</v>
      </c>
      <c r="C207" s="463">
        <f>C137+C172</f>
        <v>2942.4062225713715</v>
      </c>
      <c r="D207" s="463">
        <f>LN_ID18+LN_IE18</f>
        <v>2909.8488490407458</v>
      </c>
      <c r="E207" s="463">
        <f t="shared" si="22"/>
        <v>-32.557373530625682</v>
      </c>
      <c r="F207" s="449">
        <f t="shared" si="23"/>
        <v>-1.1064880600399819E-2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5">
      <c r="A208" s="428">
        <v>19</v>
      </c>
      <c r="B208" s="452" t="s">
        <v>651</v>
      </c>
      <c r="C208" s="465">
        <f>IF(C207=0,0,C204/C207)</f>
        <v>7375.6804324028335</v>
      </c>
      <c r="D208" s="465">
        <f>IF(LN_IF18=0,0,LN_IF15/LN_IF18)</f>
        <v>7590.189437943116</v>
      </c>
      <c r="E208" s="465">
        <f t="shared" si="22"/>
        <v>214.50900554028249</v>
      </c>
      <c r="F208" s="449">
        <f t="shared" si="23"/>
        <v>2.9083283570408187E-2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5">
      <c r="A209" s="428">
        <v>20</v>
      </c>
      <c r="B209" s="452" t="s">
        <v>701</v>
      </c>
      <c r="C209" s="465">
        <f>C61-C208</f>
        <v>8056.517445944567</v>
      </c>
      <c r="D209" s="465">
        <f>LN_IB18-LN_IF19</f>
        <v>8607.1421757356584</v>
      </c>
      <c r="E209" s="465">
        <f t="shared" si="22"/>
        <v>550.62472979109134</v>
      </c>
      <c r="F209" s="449">
        <f t="shared" si="23"/>
        <v>6.8345253825306485E-2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5">
      <c r="A210" s="428">
        <v>21</v>
      </c>
      <c r="B210" s="452" t="s">
        <v>702</v>
      </c>
      <c r="C210" s="465">
        <f>C32-C208</f>
        <v>921.92626270951678</v>
      </c>
      <c r="D210" s="465">
        <f>LN_IA16-LN_IF19</f>
        <v>1965.9994140612071</v>
      </c>
      <c r="E210" s="465">
        <f t="shared" si="22"/>
        <v>1044.0731513516903</v>
      </c>
      <c r="F210" s="449">
        <f t="shared" si="23"/>
        <v>1.1324909524577238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5">
      <c r="A211" s="428">
        <v>22</v>
      </c>
      <c r="B211" s="452" t="s">
        <v>662</v>
      </c>
      <c r="C211" s="479">
        <f>C141+C176</f>
        <v>2712681.5721484544</v>
      </c>
      <c r="D211" s="441">
        <f>LN_IF21*LN_IF18</f>
        <v>5720761.1322207842</v>
      </c>
      <c r="E211" s="441">
        <f t="shared" si="22"/>
        <v>3008079.5600723298</v>
      </c>
      <c r="F211" s="449">
        <f t="shared" si="23"/>
        <v>1.1088951946873438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5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703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5">
      <c r="A214" s="428">
        <v>23</v>
      </c>
      <c r="B214" s="447" t="s">
        <v>653</v>
      </c>
      <c r="C214" s="448">
        <f>C188+C203</f>
        <v>162014256</v>
      </c>
      <c r="D214" s="448">
        <f>LN_IF1+LN_IF14</f>
        <v>178270694</v>
      </c>
      <c r="E214" s="448">
        <f>D214-C214</f>
        <v>16256438</v>
      </c>
      <c r="F214" s="449">
        <f>IF(C214=0,0,E214/C214)</f>
        <v>0.10033955283539987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5">
      <c r="A215" s="428">
        <v>24</v>
      </c>
      <c r="B215" s="447" t="s">
        <v>654</v>
      </c>
      <c r="C215" s="448">
        <f>C189+C204</f>
        <v>40713740</v>
      </c>
      <c r="D215" s="448">
        <f>LN_IF2+LN_IF15</f>
        <v>42340887</v>
      </c>
      <c r="E215" s="448">
        <f>D215-C215</f>
        <v>1627147</v>
      </c>
      <c r="F215" s="449">
        <f>IF(C215=0,0,E215/C215)</f>
        <v>3.9965549713683879E-2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5">
      <c r="A216" s="428">
        <v>25</v>
      </c>
      <c r="B216" s="447" t="s">
        <v>655</v>
      </c>
      <c r="C216" s="448">
        <f>C214-C215</f>
        <v>121300516</v>
      </c>
      <c r="D216" s="448">
        <f>LN_IF23-LN_IF24</f>
        <v>135929807</v>
      </c>
      <c r="E216" s="448">
        <f>D216-C216</f>
        <v>14629291</v>
      </c>
      <c r="F216" s="449">
        <f>IF(C216=0,0,E216/C216)</f>
        <v>0.12060369965779866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5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3">
      <c r="A218" s="443" t="s">
        <v>183</v>
      </c>
      <c r="B218" s="444" t="s">
        <v>704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5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705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5">
      <c r="A221" s="428">
        <v>1</v>
      </c>
      <c r="B221" s="447" t="s">
        <v>637</v>
      </c>
      <c r="C221" s="448">
        <v>260692</v>
      </c>
      <c r="D221" s="448">
        <v>367783</v>
      </c>
      <c r="E221" s="448">
        <f t="shared" ref="E221:E230" si="24">D221-C221</f>
        <v>107091</v>
      </c>
      <c r="F221" s="449">
        <f t="shared" ref="F221:F230" si="25">IF(C221=0,0,E221/C221)</f>
        <v>0.4107951145412978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5">
      <c r="A222" s="451">
        <v>2</v>
      </c>
      <c r="B222" s="447" t="s">
        <v>638</v>
      </c>
      <c r="C222" s="448">
        <v>99570</v>
      </c>
      <c r="D222" s="448">
        <v>126891</v>
      </c>
      <c r="E222" s="448">
        <f t="shared" si="24"/>
        <v>27321</v>
      </c>
      <c r="F222" s="449">
        <f t="shared" si="25"/>
        <v>0.27438987646881591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5">
      <c r="A223" s="451">
        <v>3</v>
      </c>
      <c r="B223" s="452" t="s">
        <v>639</v>
      </c>
      <c r="C223" s="453">
        <f>IF(C221=0,0,C222/C221)</f>
        <v>0.38194497721449067</v>
      </c>
      <c r="D223" s="453">
        <f>IF(LN_IG1=0,0,LN_IG2/LN_IG1)</f>
        <v>0.34501594690347298</v>
      </c>
      <c r="E223" s="454">
        <f t="shared" si="24"/>
        <v>-3.6929030311017685E-2</v>
      </c>
      <c r="F223" s="449">
        <f t="shared" si="25"/>
        <v>-9.668678085607936E-2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5">
      <c r="A224" s="451">
        <v>4</v>
      </c>
      <c r="B224" s="447" t="s">
        <v>137</v>
      </c>
      <c r="C224" s="456">
        <v>15</v>
      </c>
      <c r="D224" s="456">
        <v>9</v>
      </c>
      <c r="E224" s="456">
        <f t="shared" si="24"/>
        <v>-6</v>
      </c>
      <c r="F224" s="449">
        <f t="shared" si="25"/>
        <v>-0.4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5">
      <c r="A225" s="451">
        <v>5</v>
      </c>
      <c r="B225" s="452" t="s">
        <v>640</v>
      </c>
      <c r="C225" s="459">
        <v>0.68359999999999999</v>
      </c>
      <c r="D225" s="459">
        <v>2.1718000000000002</v>
      </c>
      <c r="E225" s="460">
        <f t="shared" si="24"/>
        <v>1.4882000000000002</v>
      </c>
      <c r="F225" s="449">
        <f t="shared" si="25"/>
        <v>2.1770040959625514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5">
      <c r="A226" s="451">
        <v>6</v>
      </c>
      <c r="B226" s="452" t="s">
        <v>641</v>
      </c>
      <c r="C226" s="463">
        <f>C224*C225</f>
        <v>10.254</v>
      </c>
      <c r="D226" s="463">
        <f>LN_IG3*LN_IG4</f>
        <v>19.546200000000002</v>
      </c>
      <c r="E226" s="463">
        <f t="shared" si="24"/>
        <v>9.2922000000000029</v>
      </c>
      <c r="F226" s="449">
        <f t="shared" si="25"/>
        <v>0.90620245757753104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5">
      <c r="A227" s="451">
        <v>7</v>
      </c>
      <c r="B227" s="447" t="s">
        <v>642</v>
      </c>
      <c r="C227" s="465">
        <f>IF(C226=0,0,C222/C226)</f>
        <v>9710.3569338794623</v>
      </c>
      <c r="D227" s="465">
        <f>IF(LN_IG5=0,0,LN_IG2/LN_IG5)</f>
        <v>6491.8500782760839</v>
      </c>
      <c r="E227" s="465">
        <f t="shared" si="24"/>
        <v>-3218.5068556033784</v>
      </c>
      <c r="F227" s="449">
        <f t="shared" si="25"/>
        <v>-0.3314509319810891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5">
      <c r="A228" s="451">
        <v>8</v>
      </c>
      <c r="B228" s="447" t="s">
        <v>139</v>
      </c>
      <c r="C228" s="456">
        <v>38</v>
      </c>
      <c r="D228" s="456">
        <v>27</v>
      </c>
      <c r="E228" s="456">
        <f t="shared" si="24"/>
        <v>-11</v>
      </c>
      <c r="F228" s="449">
        <f t="shared" si="25"/>
        <v>-0.28947368421052633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5">
      <c r="A229" s="451">
        <v>9</v>
      </c>
      <c r="B229" s="447" t="s">
        <v>643</v>
      </c>
      <c r="C229" s="465">
        <f>IF(C228=0,0,C222/C228)</f>
        <v>2620.2631578947367</v>
      </c>
      <c r="D229" s="465">
        <f>IF(LN_IG6=0,0,LN_IG2/LN_IG6)</f>
        <v>4699.666666666667</v>
      </c>
      <c r="E229" s="465">
        <f t="shared" si="24"/>
        <v>2079.4035087719303</v>
      </c>
      <c r="F229" s="449">
        <f t="shared" si="25"/>
        <v>0.79358575206722259</v>
      </c>
      <c r="Q229" s="421"/>
      <c r="U229" s="462"/>
    </row>
    <row r="230" spans="1:21" ht="15.75" customHeight="1" x14ac:dyDescent="0.25">
      <c r="A230" s="451">
        <v>10</v>
      </c>
      <c r="B230" s="447" t="s">
        <v>644</v>
      </c>
      <c r="C230" s="466">
        <f>IF(C224=0,0,C228/C224)</f>
        <v>2.5333333333333332</v>
      </c>
      <c r="D230" s="466">
        <f>IF(LN_IG3=0,0,LN_IG6/LN_IG3)</f>
        <v>3</v>
      </c>
      <c r="E230" s="466">
        <f t="shared" si="24"/>
        <v>0.46666666666666679</v>
      </c>
      <c r="F230" s="449">
        <f t="shared" si="25"/>
        <v>0.18421052631578952</v>
      </c>
      <c r="Q230" s="421"/>
      <c r="U230" s="441"/>
    </row>
    <row r="231" spans="1:21" ht="15.75" customHeight="1" x14ac:dyDescent="0.25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706</v>
      </c>
      <c r="C232" s="421"/>
      <c r="Q232" s="421"/>
      <c r="U232" s="487"/>
    </row>
    <row r="233" spans="1:21" ht="15.75" customHeight="1" x14ac:dyDescent="0.25">
      <c r="A233" s="451">
        <v>11</v>
      </c>
      <c r="B233" s="447" t="s">
        <v>646</v>
      </c>
      <c r="C233" s="448">
        <v>378243</v>
      </c>
      <c r="D233" s="448">
        <v>523869</v>
      </c>
      <c r="E233" s="448">
        <f>D233-C233</f>
        <v>145626</v>
      </c>
      <c r="F233" s="449">
        <f>IF(C233=0,0,E233/C233)</f>
        <v>0.38500646409847639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5">
      <c r="A234" s="451">
        <v>12</v>
      </c>
      <c r="B234" s="447" t="s">
        <v>647</v>
      </c>
      <c r="C234" s="448">
        <v>46016</v>
      </c>
      <c r="D234" s="448">
        <v>88223</v>
      </c>
      <c r="E234" s="448">
        <f>D234-C234</f>
        <v>42207</v>
      </c>
      <c r="F234" s="449">
        <f>IF(C234=0,0,E234/C234)</f>
        <v>0.91722444367176637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5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707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5">
      <c r="A237" s="428">
        <v>13</v>
      </c>
      <c r="B237" s="447" t="s">
        <v>653</v>
      </c>
      <c r="C237" s="448">
        <f>C221+C233</f>
        <v>638935</v>
      </c>
      <c r="D237" s="448">
        <f>LN_IG1+LN_IG9</f>
        <v>891652</v>
      </c>
      <c r="E237" s="448">
        <f>D237-C237</f>
        <v>252717</v>
      </c>
      <c r="F237" s="449">
        <f>IF(C237=0,0,E237/C237)</f>
        <v>0.39552849663893824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5">
      <c r="A238" s="428">
        <v>14</v>
      </c>
      <c r="B238" s="447" t="s">
        <v>654</v>
      </c>
      <c r="C238" s="448">
        <f>C222+C234</f>
        <v>145586</v>
      </c>
      <c r="D238" s="448">
        <f>LN_IG2+LN_IG10</f>
        <v>215114</v>
      </c>
      <c r="E238" s="448">
        <f>D238-C238</f>
        <v>69528</v>
      </c>
      <c r="F238" s="449">
        <f>IF(C238=0,0,E238/C238)</f>
        <v>0.47757339304603463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5">
      <c r="A239" s="428">
        <v>15</v>
      </c>
      <c r="B239" s="447" t="s">
        <v>655</v>
      </c>
      <c r="C239" s="448">
        <f>C237-C238</f>
        <v>493349</v>
      </c>
      <c r="D239" s="448">
        <f>LN_IG13-LN_IG14</f>
        <v>676538</v>
      </c>
      <c r="E239" s="448">
        <f>D239-C239</f>
        <v>183189</v>
      </c>
      <c r="F239" s="449">
        <f>IF(C239=0,0,E239/C239)</f>
        <v>0.37131726222207806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5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3">
      <c r="A241" s="443" t="s">
        <v>185</v>
      </c>
      <c r="B241" s="444" t="s">
        <v>708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3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5">
      <c r="A243" s="428">
        <v>1</v>
      </c>
      <c r="B243" s="447" t="s">
        <v>709</v>
      </c>
      <c r="C243" s="448">
        <v>14524481</v>
      </c>
      <c r="D243" s="448">
        <v>12937127</v>
      </c>
      <c r="E243" s="441">
        <f>D243-C243</f>
        <v>-1587354</v>
      </c>
      <c r="F243" s="503">
        <f>IF(C243=0,0,E243/C243)</f>
        <v>-0.10928817353267219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5">
      <c r="A244" s="428">
        <v>2</v>
      </c>
      <c r="B244" s="447" t="s">
        <v>710</v>
      </c>
      <c r="C244" s="448">
        <v>354816000</v>
      </c>
      <c r="D244" s="448">
        <v>382146747</v>
      </c>
      <c r="E244" s="441">
        <f>D244-C244</f>
        <v>27330747</v>
      </c>
      <c r="F244" s="503">
        <f>IF(C244=0,0,E244/C244)</f>
        <v>7.7027944061147186E-2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5">
      <c r="A245" s="428">
        <v>3</v>
      </c>
      <c r="B245" s="447" t="s">
        <v>711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5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712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5">
      <c r="A248" s="451">
        <v>4</v>
      </c>
      <c r="B248" s="523" t="s">
        <v>713</v>
      </c>
      <c r="C248" s="441">
        <v>15719561</v>
      </c>
      <c r="D248" s="441">
        <v>18588723</v>
      </c>
      <c r="E248" s="441">
        <f>D248-C248</f>
        <v>2869162</v>
      </c>
      <c r="F248" s="449">
        <f>IF(C248=0,0,E248/C248)</f>
        <v>0.18252176380752619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5">
      <c r="A249" s="451">
        <v>5</v>
      </c>
      <c r="B249" s="523" t="s">
        <v>714</v>
      </c>
      <c r="C249" s="441">
        <v>13113368</v>
      </c>
      <c r="D249" s="441">
        <v>12856802</v>
      </c>
      <c r="E249" s="441">
        <f>D249-C249</f>
        <v>-256566</v>
      </c>
      <c r="F249" s="449">
        <f>IF(C249=0,0,E249/C249)</f>
        <v>-1.9565225348667101E-2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5">
      <c r="A250" s="451">
        <v>6</v>
      </c>
      <c r="B250" s="452" t="s">
        <v>715</v>
      </c>
      <c r="C250" s="441">
        <f>C248+C249</f>
        <v>28832929</v>
      </c>
      <c r="D250" s="441">
        <f>LN_IH4+LN_IH5</f>
        <v>31445525</v>
      </c>
      <c r="E250" s="441">
        <f>D250-C250</f>
        <v>2612596</v>
      </c>
      <c r="F250" s="449">
        <f>IF(C250=0,0,E250/C250)</f>
        <v>9.0611536552529917E-2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5">
      <c r="A251" s="451">
        <v>7</v>
      </c>
      <c r="B251" s="452" t="s">
        <v>716</v>
      </c>
      <c r="C251" s="441">
        <f>C250*C313</f>
        <v>10478854.405493749</v>
      </c>
      <c r="D251" s="441">
        <f>LN_IH6*LN_III10</f>
        <v>11028757.46524721</v>
      </c>
      <c r="E251" s="441">
        <f>D251-C251</f>
        <v>549903.05975346081</v>
      </c>
      <c r="F251" s="449">
        <f>IF(C251=0,0,E251/C251)</f>
        <v>5.2477402440591514E-2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5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5">
      <c r="A253" s="428"/>
      <c r="B253" s="434" t="s">
        <v>717</v>
      </c>
      <c r="C253" s="420"/>
      <c r="D253" s="420"/>
      <c r="E253" s="420"/>
      <c r="F253" s="420"/>
      <c r="Q253" s="421"/>
      <c r="U253" s="476"/>
    </row>
    <row r="254" spans="1:250" ht="15.75" customHeight="1" x14ac:dyDescent="0.25">
      <c r="A254" s="428">
        <v>8</v>
      </c>
      <c r="B254" s="447" t="s">
        <v>653</v>
      </c>
      <c r="C254" s="441">
        <f>C188+C203</f>
        <v>162014256</v>
      </c>
      <c r="D254" s="441">
        <f>LN_IF23</f>
        <v>178270694</v>
      </c>
      <c r="E254" s="441">
        <f>D254-C254</f>
        <v>16256438</v>
      </c>
      <c r="F254" s="449">
        <f>IF(C254=0,0,E254/C254)</f>
        <v>0.10033955283539987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5">
      <c r="A255" s="428">
        <v>9</v>
      </c>
      <c r="B255" s="447" t="s">
        <v>654</v>
      </c>
      <c r="C255" s="441">
        <f>C189+C204</f>
        <v>40713740</v>
      </c>
      <c r="D255" s="441">
        <f>LN_IF24</f>
        <v>42340887</v>
      </c>
      <c r="E255" s="441">
        <f>D255-C255</f>
        <v>1627147</v>
      </c>
      <c r="F255" s="449">
        <f>IF(C255=0,0,E255/C255)</f>
        <v>3.9965549713683879E-2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5">
      <c r="A256" s="428">
        <v>10</v>
      </c>
      <c r="B256" s="447" t="s">
        <v>718</v>
      </c>
      <c r="C256" s="441">
        <f>C254*C313</f>
        <v>58881419.929220237</v>
      </c>
      <c r="D256" s="441">
        <f>LN_IH8*LN_III10</f>
        <v>62524134.905914314</v>
      </c>
      <c r="E256" s="441">
        <f>D256-C256</f>
        <v>3642714.9766940773</v>
      </c>
      <c r="F256" s="449">
        <f>IF(C256=0,0,E256/C256)</f>
        <v>6.1865270590839801E-2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5">
      <c r="A257" s="428">
        <v>11</v>
      </c>
      <c r="B257" s="452" t="s">
        <v>719</v>
      </c>
      <c r="C257" s="441">
        <f>C256-C255</f>
        <v>18167679.929220237</v>
      </c>
      <c r="D257" s="441">
        <f>LN_IH10-LN_IH9</f>
        <v>20183247.905914314</v>
      </c>
      <c r="E257" s="441">
        <f>D257-C257</f>
        <v>2015567.9766940773</v>
      </c>
      <c r="F257" s="449">
        <f>IF(C257=0,0,E257/C257)</f>
        <v>0.11094250804431616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3">
      <c r="A258" s="436" t="s">
        <v>44</v>
      </c>
      <c r="B258" s="437" t="s">
        <v>720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5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3">
      <c r="A260" s="419" t="s">
        <v>14</v>
      </c>
      <c r="B260" s="446" t="s">
        <v>721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5">
      <c r="A261" s="428">
        <v>1</v>
      </c>
      <c r="B261" s="447" t="s">
        <v>465</v>
      </c>
      <c r="C261" s="448">
        <f>C15+C42+C188+C221</f>
        <v>459739745</v>
      </c>
      <c r="D261" s="448">
        <f>LN_IA1+LN_IB1+LN_IF1+LN_IG1</f>
        <v>466868294</v>
      </c>
      <c r="E261" s="448">
        <f t="shared" ref="E261:E274" si="26">D261-C261</f>
        <v>7128549</v>
      </c>
      <c r="F261" s="503">
        <f t="shared" ref="F261:F274" si="27">IF(C261=0,0,E261/C261)</f>
        <v>1.5505618292801724E-2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5">
      <c r="A262" s="451">
        <v>2</v>
      </c>
      <c r="B262" s="447" t="s">
        <v>466</v>
      </c>
      <c r="C262" s="448">
        <f>C16+C43+C189+C222</f>
        <v>172065249</v>
      </c>
      <c r="D262" s="448">
        <f>+LN_IA2+LN_IB2+LN_IF2+LN_IG2</f>
        <v>160207298</v>
      </c>
      <c r="E262" s="448">
        <f t="shared" si="26"/>
        <v>-11857951</v>
      </c>
      <c r="F262" s="503">
        <f t="shared" si="27"/>
        <v>-6.891543219165655E-2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5">
      <c r="A263" s="451">
        <v>3</v>
      </c>
      <c r="B263" s="452" t="s">
        <v>722</v>
      </c>
      <c r="C263" s="453">
        <f>IF(C261=0,0,C262/C261)</f>
        <v>0.3742666386174639</v>
      </c>
      <c r="D263" s="453">
        <f>IF(LN_IIA1=0,0,LN_IIA2/LN_IIA1)</f>
        <v>0.34315309062302696</v>
      </c>
      <c r="E263" s="454">
        <f t="shared" si="26"/>
        <v>-3.1113547994436941E-2</v>
      </c>
      <c r="F263" s="458">
        <f t="shared" si="27"/>
        <v>-8.313203685311088E-2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5">
      <c r="A264" s="451">
        <v>4</v>
      </c>
      <c r="B264" s="447" t="s">
        <v>138</v>
      </c>
      <c r="C264" s="456">
        <f>C18+C45+C191+C224</f>
        <v>12877</v>
      </c>
      <c r="D264" s="456">
        <f>LN_IA4+LN_IB4+LN_IF4+LN_IG3</f>
        <v>12647</v>
      </c>
      <c r="E264" s="456">
        <f t="shared" si="26"/>
        <v>-230</v>
      </c>
      <c r="F264" s="503">
        <f t="shared" si="27"/>
        <v>-1.7861303098547797E-2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5">
      <c r="A265" s="451">
        <v>5</v>
      </c>
      <c r="B265" s="447" t="s">
        <v>723</v>
      </c>
      <c r="C265" s="525">
        <f>IF(C264=0,0,C266/C264)</f>
        <v>1.1866398485672129</v>
      </c>
      <c r="D265" s="525">
        <f>IF(LN_IIA4=0,0,LN_IIA6/LN_IIA4)</f>
        <v>1.2512631612240057</v>
      </c>
      <c r="E265" s="525">
        <f t="shared" si="26"/>
        <v>6.4623312656792775E-2</v>
      </c>
      <c r="F265" s="503">
        <f t="shared" si="27"/>
        <v>5.4459078493631442E-2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5">
      <c r="A266" s="451">
        <v>6</v>
      </c>
      <c r="B266" s="447" t="s">
        <v>724</v>
      </c>
      <c r="C266" s="463">
        <f>C20+C47+C193+C226</f>
        <v>15280.36133</v>
      </c>
      <c r="D266" s="463">
        <f>LN_IA6+LN_IB6+LN_IF6+LN_IG5</f>
        <v>15824.725200000001</v>
      </c>
      <c r="E266" s="463">
        <f t="shared" si="26"/>
        <v>544.36387000000104</v>
      </c>
      <c r="F266" s="503">
        <f t="shared" si="27"/>
        <v>3.5625065287641408E-2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5">
      <c r="A267" s="451">
        <v>7</v>
      </c>
      <c r="B267" s="447" t="s">
        <v>467</v>
      </c>
      <c r="C267" s="448">
        <f>C27+C56+C203+C233</f>
        <v>485327482</v>
      </c>
      <c r="D267" s="448">
        <f>LN_IA11+LN_IB13+LN_IF14+LN_IG9</f>
        <v>547538642</v>
      </c>
      <c r="E267" s="448">
        <f t="shared" si="26"/>
        <v>62211160</v>
      </c>
      <c r="F267" s="503">
        <f t="shared" si="27"/>
        <v>0.12818388059054936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5">
      <c r="A268" s="451">
        <v>8</v>
      </c>
      <c r="B268" s="452" t="s">
        <v>649</v>
      </c>
      <c r="C268" s="453">
        <f>IF(C261=0,0,C267/C261)</f>
        <v>1.0556570043775528</v>
      </c>
      <c r="D268" s="453">
        <f>IF(LN_IIA1=0,0,LN_IIA7/LN_IIA1)</f>
        <v>1.1727903758656184</v>
      </c>
      <c r="E268" s="454">
        <f t="shared" si="26"/>
        <v>0.11713337148806557</v>
      </c>
      <c r="F268" s="458">
        <f t="shared" si="27"/>
        <v>0.11095779311115445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5">
      <c r="A269" s="451">
        <v>9</v>
      </c>
      <c r="B269" s="447" t="s">
        <v>468</v>
      </c>
      <c r="C269" s="448">
        <f>C28+C57+C204+C234</f>
        <v>180690298</v>
      </c>
      <c r="D269" s="448">
        <f>LN_IA12+LN_IB14+LN_IF15+LN_IG10</f>
        <v>205705074</v>
      </c>
      <c r="E269" s="448">
        <f t="shared" si="26"/>
        <v>25014776</v>
      </c>
      <c r="F269" s="503">
        <f t="shared" si="27"/>
        <v>0.13844006167945996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5">
      <c r="A270" s="451">
        <v>10</v>
      </c>
      <c r="B270" s="452" t="s">
        <v>648</v>
      </c>
      <c r="C270" s="453">
        <f>IF(C267=0,0,C269/C267)</f>
        <v>0.37230592682571395</v>
      </c>
      <c r="D270" s="453">
        <f>IF(LN_IIA7=0,0,LN_IIA9/LN_IIA7)</f>
        <v>0.37569051427789457</v>
      </c>
      <c r="E270" s="454">
        <f t="shared" si="26"/>
        <v>3.3845874521806207E-3</v>
      </c>
      <c r="F270" s="458">
        <f t="shared" si="27"/>
        <v>9.0908771746871318E-3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5">
      <c r="A271" s="451">
        <v>11</v>
      </c>
      <c r="B271" s="447" t="s">
        <v>725</v>
      </c>
      <c r="C271" s="441">
        <f>C261+C267</f>
        <v>945067227</v>
      </c>
      <c r="D271" s="441">
        <f>LN_IIA1+LN_IIA7</f>
        <v>1014406936</v>
      </c>
      <c r="E271" s="441">
        <f t="shared" si="26"/>
        <v>69339709</v>
      </c>
      <c r="F271" s="503">
        <f t="shared" si="27"/>
        <v>7.3370133911119115E-2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5">
      <c r="A272" s="451">
        <v>12</v>
      </c>
      <c r="B272" s="447" t="s">
        <v>726</v>
      </c>
      <c r="C272" s="441">
        <f>C262+C269</f>
        <v>352755547</v>
      </c>
      <c r="D272" s="441">
        <f>LN_IIA2+LN_IIA9</f>
        <v>365912372</v>
      </c>
      <c r="E272" s="441">
        <f t="shared" si="26"/>
        <v>13156825</v>
      </c>
      <c r="F272" s="503">
        <f t="shared" si="27"/>
        <v>3.7297287347830138E-2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5">
      <c r="A273" s="451">
        <v>13</v>
      </c>
      <c r="B273" s="452" t="s">
        <v>727</v>
      </c>
      <c r="C273" s="453">
        <f>IF(C271=0,0,C272/C271)</f>
        <v>0.37325973954231723</v>
      </c>
      <c r="D273" s="453">
        <f>IF(LN_IIA11=0,0,LN_IIA12/LN_IIA11)</f>
        <v>0.36071556592747905</v>
      </c>
      <c r="E273" s="454">
        <f t="shared" si="26"/>
        <v>-1.2544173614838172E-2</v>
      </c>
      <c r="F273" s="458">
        <f t="shared" si="27"/>
        <v>-3.3607089878537555E-2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5">
      <c r="A274" s="451">
        <v>14</v>
      </c>
      <c r="B274" s="447" t="s">
        <v>139</v>
      </c>
      <c r="C274" s="508">
        <f>C22+C51+C198+C228</f>
        <v>58011</v>
      </c>
      <c r="D274" s="508">
        <f>LN_IA8+LN_IB10+LN_IF11+LN_IG6</f>
        <v>54050</v>
      </c>
      <c r="E274" s="528">
        <f t="shared" si="26"/>
        <v>-3961</v>
      </c>
      <c r="F274" s="458">
        <f t="shared" si="27"/>
        <v>-6.8280153763941323E-2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5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3">
      <c r="A276" s="419" t="s">
        <v>26</v>
      </c>
      <c r="B276" s="446" t="s">
        <v>728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5">
      <c r="A277" s="428">
        <v>1</v>
      </c>
      <c r="B277" s="447" t="s">
        <v>729</v>
      </c>
      <c r="C277" s="448">
        <f>C15+C188+C221</f>
        <v>327263758</v>
      </c>
      <c r="D277" s="448">
        <f>LN_IA1+LN_IF1+LN_IG1</f>
        <v>330475944</v>
      </c>
      <c r="E277" s="448">
        <f t="shared" ref="E277:E291" si="28">D277-C277</f>
        <v>3212186</v>
      </c>
      <c r="F277" s="503">
        <f t="shared" ref="F277:F291" si="29">IF(C277=0,0,E277/C277)</f>
        <v>9.8152817764807308E-3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5">
      <c r="A278" s="451">
        <v>2</v>
      </c>
      <c r="B278" s="447" t="s">
        <v>730</v>
      </c>
      <c r="C278" s="448">
        <f>C16+C189+C222</f>
        <v>97482374</v>
      </c>
      <c r="D278" s="448">
        <f>LN_IA2+LN_IF2+LN_IG2</f>
        <v>90029190</v>
      </c>
      <c r="E278" s="448">
        <f t="shared" si="28"/>
        <v>-7453184</v>
      </c>
      <c r="F278" s="503">
        <f t="shared" si="29"/>
        <v>-7.6456734629790607E-2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5">
      <c r="A279" s="451">
        <v>3</v>
      </c>
      <c r="B279" s="452" t="s">
        <v>731</v>
      </c>
      <c r="C279" s="453">
        <f>IF(C277=0,0,C278/C277)</f>
        <v>0.29787097292942533</v>
      </c>
      <c r="D279" s="453">
        <f>IF(D277=0,0,LN_IIB2/D277)</f>
        <v>0.27242282421621589</v>
      </c>
      <c r="E279" s="454">
        <f t="shared" si="28"/>
        <v>-2.544814871320944E-2</v>
      </c>
      <c r="F279" s="458">
        <f t="shared" si="29"/>
        <v>-8.5433462894818152E-2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5">
      <c r="A280" s="451">
        <v>4</v>
      </c>
      <c r="B280" s="447" t="s">
        <v>732</v>
      </c>
      <c r="C280" s="456">
        <f>C18+C191+C224</f>
        <v>8362</v>
      </c>
      <c r="D280" s="456">
        <f>LN_IA4+LN_IF4+LN_IG3</f>
        <v>8214</v>
      </c>
      <c r="E280" s="456">
        <f t="shared" si="28"/>
        <v>-148</v>
      </c>
      <c r="F280" s="503">
        <f t="shared" si="29"/>
        <v>-1.7699115044247787E-2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5">
      <c r="A281" s="451">
        <v>5</v>
      </c>
      <c r="B281" s="447" t="s">
        <v>733</v>
      </c>
      <c r="C281" s="525">
        <f>IF(C280=0,0,C282/C280)</f>
        <v>1.2601961468548195</v>
      </c>
      <c r="D281" s="525">
        <f>IF(LN_IIB4=0,0,LN_IIB6/LN_IIB4)</f>
        <v>1.3246948624299977</v>
      </c>
      <c r="E281" s="525">
        <f t="shared" si="28"/>
        <v>6.4498715575178167E-2</v>
      </c>
      <c r="F281" s="503">
        <f t="shared" si="29"/>
        <v>5.1181489275422078E-2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5">
      <c r="A282" s="451">
        <v>6</v>
      </c>
      <c r="B282" s="447" t="s">
        <v>734</v>
      </c>
      <c r="C282" s="463">
        <f>C20+C193+C226</f>
        <v>10537.760180000001</v>
      </c>
      <c r="D282" s="463">
        <f>LN_IA6+LN_IF6+LN_IG5</f>
        <v>10881.043600000001</v>
      </c>
      <c r="E282" s="463">
        <f t="shared" si="28"/>
        <v>343.28341999999975</v>
      </c>
      <c r="F282" s="503">
        <f t="shared" si="29"/>
        <v>3.2576507164352619E-2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5">
      <c r="A283" s="451">
        <v>7</v>
      </c>
      <c r="B283" s="447" t="s">
        <v>735</v>
      </c>
      <c r="C283" s="448">
        <f>C27+C203+C233</f>
        <v>237814628</v>
      </c>
      <c r="D283" s="448">
        <f>LN_IA11+LN_IF14+LN_IG9</f>
        <v>272211590</v>
      </c>
      <c r="E283" s="448">
        <f t="shared" si="28"/>
        <v>34396962</v>
      </c>
      <c r="F283" s="503">
        <f t="shared" si="29"/>
        <v>0.14463770496068895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5">
      <c r="A284" s="451">
        <v>8</v>
      </c>
      <c r="B284" s="447" t="s">
        <v>736</v>
      </c>
      <c r="C284" s="453">
        <f>IF(C277=0,0,C283/C277)</f>
        <v>0.72667572313338769</v>
      </c>
      <c r="D284" s="453">
        <f>IF(D277=0,0,LN_IIB7/D277)</f>
        <v>0.82369562729806445</v>
      </c>
      <c r="E284" s="454">
        <f t="shared" si="28"/>
        <v>9.7019904164676762E-2</v>
      </c>
      <c r="F284" s="458">
        <f t="shared" si="29"/>
        <v>0.1335119656211054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5">
      <c r="A285" s="451">
        <v>9</v>
      </c>
      <c r="B285" s="447" t="s">
        <v>737</v>
      </c>
      <c r="C285" s="448">
        <f>C28+C204+C234</f>
        <v>50509739</v>
      </c>
      <c r="D285" s="448">
        <f>LN_IA12+LN_IF15+LN_IG10</f>
        <v>60761129</v>
      </c>
      <c r="E285" s="448">
        <f t="shared" si="28"/>
        <v>10251390</v>
      </c>
      <c r="F285" s="503">
        <f t="shared" si="29"/>
        <v>0.20295868089914304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5">
      <c r="A286" s="451">
        <v>10</v>
      </c>
      <c r="B286" s="447" t="s">
        <v>738</v>
      </c>
      <c r="C286" s="453">
        <f>IF(C283=0,0,C285/C283)</f>
        <v>0.21239122010610717</v>
      </c>
      <c r="D286" s="453">
        <f>IF(LN_IIB7=0,0,LN_IIB9/LN_IIB7)</f>
        <v>0.22321286540371041</v>
      </c>
      <c r="E286" s="454">
        <f t="shared" si="28"/>
        <v>1.0821645297603238E-2</v>
      </c>
      <c r="F286" s="458">
        <f t="shared" si="29"/>
        <v>5.0951471968553701E-2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5">
      <c r="A287" s="451">
        <v>11</v>
      </c>
      <c r="B287" s="452" t="s">
        <v>739</v>
      </c>
      <c r="C287" s="441">
        <f>C277+C283</f>
        <v>565078386</v>
      </c>
      <c r="D287" s="441">
        <f>D277+LN_IIB7</f>
        <v>602687534</v>
      </c>
      <c r="E287" s="441">
        <f t="shared" si="28"/>
        <v>37609148</v>
      </c>
      <c r="F287" s="503">
        <f t="shared" si="29"/>
        <v>6.6555630036077867E-2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5">
      <c r="A288" s="451">
        <v>12</v>
      </c>
      <c r="B288" s="452" t="s">
        <v>740</v>
      </c>
      <c r="C288" s="441">
        <f>C278+C285</f>
        <v>147992113</v>
      </c>
      <c r="D288" s="441">
        <f>LN_IIB2+LN_IIB9</f>
        <v>150790319</v>
      </c>
      <c r="E288" s="441">
        <f t="shared" si="28"/>
        <v>2798206</v>
      </c>
      <c r="F288" s="503">
        <f t="shared" si="29"/>
        <v>1.8907804904441092E-2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5">
      <c r="A289" s="451">
        <v>13</v>
      </c>
      <c r="B289" s="452" t="s">
        <v>741</v>
      </c>
      <c r="C289" s="453">
        <f>IF(C287=0,0,C288/C287)</f>
        <v>0.26189660880074789</v>
      </c>
      <c r="D289" s="453">
        <f>IF(LN_IIB11=0,0,LN_IIB12/LN_IIB11)</f>
        <v>0.2501965122776208</v>
      </c>
      <c r="E289" s="454">
        <f t="shared" si="28"/>
        <v>-1.170009652312709E-2</v>
      </c>
      <c r="F289" s="458">
        <f t="shared" si="29"/>
        <v>-4.4674486533838917E-2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5">
      <c r="A290" s="428">
        <v>14</v>
      </c>
      <c r="B290" s="447" t="s">
        <v>139</v>
      </c>
      <c r="C290" s="508">
        <f>C22+C198+C228</f>
        <v>41986</v>
      </c>
      <c r="D290" s="508">
        <f>LN_IA8+LN_IF11+LN_IG6</f>
        <v>38651</v>
      </c>
      <c r="E290" s="528">
        <f t="shared" si="28"/>
        <v>-3335</v>
      </c>
      <c r="F290" s="458">
        <f t="shared" si="29"/>
        <v>-7.9431238984423377E-2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5">
      <c r="A291" s="428">
        <v>15</v>
      </c>
      <c r="B291" s="445" t="s">
        <v>742</v>
      </c>
      <c r="C291" s="448">
        <f>C287-C288</f>
        <v>417086273</v>
      </c>
      <c r="D291" s="516">
        <f>LN_IIB11-LN_IIB12</f>
        <v>451897215</v>
      </c>
      <c r="E291" s="441">
        <f t="shared" si="28"/>
        <v>34810942</v>
      </c>
      <c r="F291" s="503">
        <f t="shared" si="29"/>
        <v>8.3462209747670116E-2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5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3">
      <c r="A293" s="419" t="s">
        <v>36</v>
      </c>
      <c r="B293" s="470" t="s">
        <v>644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5">
      <c r="A294" s="428">
        <v>1</v>
      </c>
      <c r="B294" s="452" t="s">
        <v>635</v>
      </c>
      <c r="C294" s="466">
        <f>IF(C18=0,0,C22/C18)</f>
        <v>5.4779774489076818</v>
      </c>
      <c r="D294" s="466">
        <f>IF(LN_IA4=0,0,LN_IA8/LN_IA4)</f>
        <v>4.9351784413692643</v>
      </c>
      <c r="E294" s="466">
        <f t="shared" ref="E294:E300" si="30">D294-C294</f>
        <v>-0.54279900753841748</v>
      </c>
      <c r="F294" s="503">
        <f t="shared" ref="F294:F300" si="31">IF(C294=0,0,E294/C294)</f>
        <v>-9.9087484861160313E-2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5">
      <c r="A295" s="451">
        <v>2</v>
      </c>
      <c r="B295" s="452" t="s">
        <v>656</v>
      </c>
      <c r="C295" s="466">
        <f>IF(C45=0,0,C51/C45)</f>
        <v>3.5492801771871538</v>
      </c>
      <c r="D295" s="466">
        <f>IF(LN_IB4=0,0,(LN_IB10)/(LN_IB4))</f>
        <v>3.4737198285585382</v>
      </c>
      <c r="E295" s="466">
        <f t="shared" si="30"/>
        <v>-7.5560348628615603E-2</v>
      </c>
      <c r="F295" s="503">
        <f t="shared" si="31"/>
        <v>-2.1288921938109169E-2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5">
      <c r="A296" s="451">
        <v>3</v>
      </c>
      <c r="B296" s="452" t="s">
        <v>671</v>
      </c>
      <c r="C296" s="466">
        <f>IF(C86=0,0,C93/C86)</f>
        <v>3.8620689655172415</v>
      </c>
      <c r="D296" s="466">
        <f>IF(LN_IC4=0,0,LN_IC11/LN_IC4)</f>
        <v>3.4705882352941178</v>
      </c>
      <c r="E296" s="466">
        <f t="shared" si="30"/>
        <v>-0.3914807302231238</v>
      </c>
      <c r="F296" s="503">
        <f t="shared" si="31"/>
        <v>-0.10136554621848741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5">
      <c r="A297" s="451">
        <v>4</v>
      </c>
      <c r="B297" s="452" t="s">
        <v>115</v>
      </c>
      <c r="C297" s="466">
        <f>IF(C121=0,0,C128/C121)</f>
        <v>4.0511751326762697</v>
      </c>
      <c r="D297" s="466">
        <f>IF(LN_ID4=0,0,LN_ID11/LN_ID4)</f>
        <v>4.2318894697535478</v>
      </c>
      <c r="E297" s="466">
        <f t="shared" si="30"/>
        <v>0.18071433707727813</v>
      </c>
      <c r="F297" s="503">
        <f t="shared" si="31"/>
        <v>4.4607880715809838E-2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5">
      <c r="A298" s="451">
        <v>5</v>
      </c>
      <c r="B298" s="452" t="s">
        <v>743</v>
      </c>
      <c r="C298" s="466">
        <f>IF(C156=0,0,C163/C156)</f>
        <v>5.0909090909090908</v>
      </c>
      <c r="D298" s="466">
        <f>IF(LN_IE4=0,0,LN_IE11/LN_IE4)</f>
        <v>5.3428571428571425</v>
      </c>
      <c r="E298" s="466">
        <f t="shared" si="30"/>
        <v>0.2519480519480517</v>
      </c>
      <c r="F298" s="503">
        <f t="shared" si="31"/>
        <v>4.9489795918367302E-2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5">
      <c r="A299" s="451">
        <v>6</v>
      </c>
      <c r="B299" s="447" t="s">
        <v>424</v>
      </c>
      <c r="C299" s="466">
        <f>IF(C224=0,0,C228/C224)</f>
        <v>2.5333333333333332</v>
      </c>
      <c r="D299" s="466">
        <f>IF(LN_IG3=0,0,LN_IG6/LN_IG3)</f>
        <v>3</v>
      </c>
      <c r="E299" s="466">
        <f t="shared" si="30"/>
        <v>0.46666666666666679</v>
      </c>
      <c r="F299" s="503">
        <f t="shared" si="31"/>
        <v>0.18421052631578952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5">
      <c r="A300" s="451">
        <v>7</v>
      </c>
      <c r="B300" s="452" t="s">
        <v>744</v>
      </c>
      <c r="C300" s="466">
        <f>IF(C264=0,0,C274/C264)</f>
        <v>4.5050089306515488</v>
      </c>
      <c r="D300" s="466">
        <f>IF(LN_IIA4=0,0,LN_IIA14/LN_IIA4)</f>
        <v>4.2737408080967816</v>
      </c>
      <c r="E300" s="466">
        <f t="shared" si="30"/>
        <v>-0.23126812255476725</v>
      </c>
      <c r="F300" s="503">
        <f t="shared" si="31"/>
        <v>-5.1335774493419147E-2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5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3">
      <c r="A302" s="419" t="s">
        <v>135</v>
      </c>
      <c r="B302" s="530" t="s">
        <v>745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3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5">
      <c r="A304" s="428">
        <v>1</v>
      </c>
      <c r="B304" s="452" t="s">
        <v>739</v>
      </c>
      <c r="C304" s="441">
        <f>C35+C66+C214+C221+C233</f>
        <v>945067227</v>
      </c>
      <c r="D304" s="441">
        <f>LN_IIA11</f>
        <v>1014406936</v>
      </c>
      <c r="E304" s="441">
        <f t="shared" ref="E304:E316" si="32">D304-C304</f>
        <v>69339709</v>
      </c>
      <c r="F304" s="449">
        <f>IF(C304=0,0,E304/C304)</f>
        <v>7.3370133911119115E-2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5">
      <c r="A305" s="451">
        <v>2</v>
      </c>
      <c r="B305" s="445" t="s">
        <v>742</v>
      </c>
      <c r="C305" s="441">
        <f>C291</f>
        <v>417086273</v>
      </c>
      <c r="D305" s="441">
        <f>LN_IIB14</f>
        <v>451897215</v>
      </c>
      <c r="E305" s="441">
        <f t="shared" si="32"/>
        <v>34810942</v>
      </c>
      <c r="F305" s="449">
        <f>IF(C305=0,0,E305/C305)</f>
        <v>8.3462209747670116E-2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5">
      <c r="A306" s="451">
        <v>3</v>
      </c>
      <c r="B306" s="447" t="s">
        <v>746</v>
      </c>
      <c r="C306" s="441">
        <f>C250</f>
        <v>28832929</v>
      </c>
      <c r="D306" s="441">
        <f>LN_IH6</f>
        <v>31445525</v>
      </c>
      <c r="E306" s="441">
        <f t="shared" si="32"/>
        <v>2612596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5">
      <c r="A307" s="451">
        <v>4</v>
      </c>
      <c r="B307" s="447" t="s">
        <v>747</v>
      </c>
      <c r="C307" s="441">
        <f>C73-C74</f>
        <v>143484905</v>
      </c>
      <c r="D307" s="441">
        <f>LN_IB32-LN_IB33</f>
        <v>164501950</v>
      </c>
      <c r="E307" s="441">
        <f t="shared" si="32"/>
        <v>21017045</v>
      </c>
      <c r="F307" s="449">
        <f t="shared" ref="F307:F316" si="33">IF(C307=0,0,E307/C307)</f>
        <v>0.1464756519161371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5">
      <c r="A308" s="451">
        <v>5</v>
      </c>
      <c r="B308" s="447" t="s">
        <v>748</v>
      </c>
      <c r="C308" s="441">
        <v>12193961</v>
      </c>
      <c r="D308" s="441">
        <v>10783544</v>
      </c>
      <c r="E308" s="441">
        <f t="shared" si="32"/>
        <v>-1410417</v>
      </c>
      <c r="F308" s="449">
        <f t="shared" si="33"/>
        <v>-0.11566520509619475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5">
      <c r="A309" s="451">
        <v>6</v>
      </c>
      <c r="B309" s="445" t="s">
        <v>749</v>
      </c>
      <c r="C309" s="441">
        <f>C305+C307+C308+C306</f>
        <v>601598068</v>
      </c>
      <c r="D309" s="441">
        <f>LN_III2+LN_III3+LN_III4+LN_III5</f>
        <v>658628234</v>
      </c>
      <c r="E309" s="441">
        <f t="shared" si="32"/>
        <v>57030166</v>
      </c>
      <c r="F309" s="449">
        <f t="shared" si="33"/>
        <v>9.4797787814704215E-2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5">
      <c r="A310" s="451">
        <v>7</v>
      </c>
      <c r="B310" s="445" t="s">
        <v>750</v>
      </c>
      <c r="C310" s="441">
        <f>C304-C309</f>
        <v>343469159</v>
      </c>
      <c r="D310" s="441">
        <f>LN_III1-LN_III6</f>
        <v>355778702</v>
      </c>
      <c r="E310" s="441">
        <f t="shared" si="32"/>
        <v>12309543</v>
      </c>
      <c r="F310" s="449">
        <f t="shared" si="33"/>
        <v>3.5838859698026047E-2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5">
      <c r="A311" s="451">
        <v>8</v>
      </c>
      <c r="B311" s="447" t="s">
        <v>751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5">
      <c r="A312" s="451">
        <v>9</v>
      </c>
      <c r="B312" s="452" t="s">
        <v>752</v>
      </c>
      <c r="C312" s="441">
        <f>C310+C311</f>
        <v>343469159</v>
      </c>
      <c r="D312" s="441">
        <f>LN_III7+LN_III8</f>
        <v>355778702</v>
      </c>
      <c r="E312" s="441">
        <f t="shared" si="32"/>
        <v>12309543</v>
      </c>
      <c r="F312" s="449">
        <f t="shared" si="33"/>
        <v>3.5838859698026047E-2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5">
      <c r="A313" s="451">
        <v>10</v>
      </c>
      <c r="B313" s="447" t="s">
        <v>753</v>
      </c>
      <c r="C313" s="532">
        <f>IF(C304=0,0,C312/C304)</f>
        <v>0.36343357296422257</v>
      </c>
      <c r="D313" s="532">
        <f>IF(LN_III1=0,0,LN_III9/LN_III1)</f>
        <v>0.35072581759239863</v>
      </c>
      <c r="E313" s="532">
        <f t="shared" si="32"/>
        <v>-1.2707755371823948E-2</v>
      </c>
      <c r="F313" s="449">
        <f t="shared" si="33"/>
        <v>-3.4965826817201985E-2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5">
      <c r="A314" s="428">
        <v>11</v>
      </c>
      <c r="B314" s="447" t="s">
        <v>716</v>
      </c>
      <c r="C314" s="441">
        <f>C306*C313</f>
        <v>10478854.405493749</v>
      </c>
      <c r="D314" s="441">
        <f>D313*LN_III5</f>
        <v>11028757.46524721</v>
      </c>
      <c r="E314" s="441">
        <f t="shared" si="32"/>
        <v>549903.05975346081</v>
      </c>
      <c r="F314" s="449">
        <f t="shared" si="33"/>
        <v>5.2477402440591514E-2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5">
      <c r="A315" s="428">
        <v>12</v>
      </c>
      <c r="B315" s="452" t="s">
        <v>719</v>
      </c>
      <c r="C315" s="441">
        <f>(C214*C313)-C215</f>
        <v>18167679.929220237</v>
      </c>
      <c r="D315" s="441">
        <f>D313*LN_IH8-LN_IH9</f>
        <v>20183247.905914314</v>
      </c>
      <c r="E315" s="441">
        <f t="shared" si="32"/>
        <v>2015567.9766940773</v>
      </c>
      <c r="F315" s="449">
        <f t="shared" si="33"/>
        <v>0.11094250804431616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5">
      <c r="A316" s="428">
        <v>13</v>
      </c>
      <c r="B316" s="447" t="s">
        <v>754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3">
      <c r="A317" s="428">
        <v>14</v>
      </c>
      <c r="B317" s="447" t="s">
        <v>755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5">
      <c r="A318" s="428"/>
      <c r="B318" s="447" t="s">
        <v>756</v>
      </c>
      <c r="C318" s="441">
        <f>C314+C315+C316</f>
        <v>28646534.334713988</v>
      </c>
      <c r="D318" s="441">
        <f>D314+D315+D316</f>
        <v>31212005.371161524</v>
      </c>
      <c r="E318" s="441">
        <f>D318-C318</f>
        <v>2565471.0364475362</v>
      </c>
      <c r="F318" s="449">
        <f>IF(C318=0,0,E318/C318)</f>
        <v>8.9556070080655026E-2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5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3">
      <c r="A320" s="419" t="s">
        <v>143</v>
      </c>
      <c r="B320" s="537" t="s">
        <v>757</v>
      </c>
      <c r="C320" s="420"/>
      <c r="D320" s="420"/>
      <c r="E320" s="420"/>
      <c r="F320" s="420"/>
      <c r="Q320" s="421"/>
      <c r="U320" s="438"/>
    </row>
    <row r="321" spans="1:22" ht="15.75" customHeight="1" x14ac:dyDescent="0.3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5">
      <c r="A322" s="451">
        <v>1</v>
      </c>
      <c r="B322" s="445" t="s">
        <v>115</v>
      </c>
      <c r="C322" s="441">
        <f>C141</f>
        <v>2638543.6472531497</v>
      </c>
      <c r="D322" s="441">
        <f>LN_ID22</f>
        <v>5710434.3429484926</v>
      </c>
      <c r="E322" s="441">
        <f>LN_IV2-C322</f>
        <v>3071890.695695343</v>
      </c>
      <c r="F322" s="449">
        <f>IF(C322=0,0,E322/C322)</f>
        <v>1.1642372105132042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5">
      <c r="A323" s="451">
        <v>2</v>
      </c>
      <c r="B323" s="445" t="s">
        <v>743</v>
      </c>
      <c r="C323" s="441">
        <f>C162+C176</f>
        <v>284620.24598100473</v>
      </c>
      <c r="D323" s="441">
        <f>LN_IE10+LN_IE22</f>
        <v>79797.254665351633</v>
      </c>
      <c r="E323" s="441">
        <f>LN_IV3-C323</f>
        <v>-204822.99131565308</v>
      </c>
      <c r="F323" s="449">
        <f>IF(C323=0,0,E323/C323)</f>
        <v>-0.71963605614100534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5">
      <c r="A324" s="428">
        <v>3</v>
      </c>
      <c r="B324" s="538" t="s">
        <v>758</v>
      </c>
      <c r="C324" s="441">
        <f>C92+C106</f>
        <v>8137177.9660970634</v>
      </c>
      <c r="D324" s="441">
        <f>LN_IC10+LN_IC22</f>
        <v>6804315.1083418913</v>
      </c>
      <c r="E324" s="441">
        <f>LN_IV1-C324</f>
        <v>-1332862.8577551721</v>
      </c>
      <c r="F324" s="449">
        <f>IF(C324=0,0,E324/C324)</f>
        <v>-0.16379915288917662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5">
      <c r="A325" s="451">
        <v>4</v>
      </c>
      <c r="B325" s="539" t="s">
        <v>759</v>
      </c>
      <c r="C325" s="516">
        <f>C324+C322+C323</f>
        <v>11060341.859331217</v>
      </c>
      <c r="D325" s="516">
        <f>LN_IV1+LN_IV2+LN_IV3</f>
        <v>12594546.705955736</v>
      </c>
      <c r="E325" s="441">
        <f>LN_IV4-C325</f>
        <v>1534204.8466245197</v>
      </c>
      <c r="F325" s="449">
        <f>IF(C325=0,0,E325/C325)</f>
        <v>0.13871224471512747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3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3">
      <c r="A327" s="419" t="s">
        <v>760</v>
      </c>
      <c r="B327" s="530" t="s">
        <v>761</v>
      </c>
      <c r="F327" s="427"/>
    </row>
    <row r="328" spans="1:22" s="420" customFormat="1" ht="15.75" customHeight="1" x14ac:dyDescent="0.3">
      <c r="A328" s="436"/>
      <c r="B328" s="470"/>
      <c r="F328" s="427"/>
    </row>
    <row r="329" spans="1:22" s="420" customFormat="1" ht="15.75" customHeight="1" x14ac:dyDescent="0.25">
      <c r="A329" s="451">
        <v>1</v>
      </c>
      <c r="B329" s="447" t="s">
        <v>762</v>
      </c>
      <c r="C329" s="518">
        <v>18479767</v>
      </c>
      <c r="D329" s="518">
        <v>17006632</v>
      </c>
      <c r="E329" s="518">
        <f t="shared" ref="E329:E335" si="34">D329-C329</f>
        <v>-1473135</v>
      </c>
      <c r="F329" s="542">
        <f t="shared" ref="F329:F335" si="35">IF(C329=0,0,E329/C329)</f>
        <v>-7.9716102481162232E-2</v>
      </c>
    </row>
    <row r="330" spans="1:22" s="420" customFormat="1" ht="15.75" customHeight="1" x14ac:dyDescent="0.25">
      <c r="A330" s="451">
        <v>2</v>
      </c>
      <c r="B330" s="447" t="s">
        <v>763</v>
      </c>
      <c r="C330" s="516">
        <v>2755453</v>
      </c>
      <c r="D330" s="516">
        <v>6311354</v>
      </c>
      <c r="E330" s="518">
        <f t="shared" si="34"/>
        <v>3555901</v>
      </c>
      <c r="F330" s="543">
        <f t="shared" si="35"/>
        <v>1.2904959728944752</v>
      </c>
    </row>
    <row r="331" spans="1:22" s="420" customFormat="1" ht="15.75" customHeight="1" x14ac:dyDescent="0.25">
      <c r="A331" s="427">
        <v>3</v>
      </c>
      <c r="B331" s="447" t="s">
        <v>764</v>
      </c>
      <c r="C331" s="516">
        <v>355511000</v>
      </c>
      <c r="D331" s="516">
        <v>372223726</v>
      </c>
      <c r="E331" s="518">
        <f t="shared" si="34"/>
        <v>16712726</v>
      </c>
      <c r="F331" s="542">
        <f t="shared" si="35"/>
        <v>4.7010432869869008E-2</v>
      </c>
    </row>
    <row r="332" spans="1:22" s="420" customFormat="1" ht="27" customHeight="1" x14ac:dyDescent="0.25">
      <c r="A332" s="451">
        <v>4</v>
      </c>
      <c r="B332" s="447" t="s">
        <v>765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5">
      <c r="A333" s="451">
        <v>5</v>
      </c>
      <c r="B333" s="447" t="s">
        <v>766</v>
      </c>
      <c r="C333" s="516">
        <v>945067226</v>
      </c>
      <c r="D333" s="516">
        <v>1014407266</v>
      </c>
      <c r="E333" s="518">
        <f t="shared" si="34"/>
        <v>69340040</v>
      </c>
      <c r="F333" s="542">
        <f t="shared" si="35"/>
        <v>7.3370484228388641E-2</v>
      </c>
    </row>
    <row r="334" spans="1:22" s="420" customFormat="1" ht="15.75" customHeight="1" x14ac:dyDescent="0.25">
      <c r="A334" s="427">
        <v>6</v>
      </c>
      <c r="B334" s="447" t="s">
        <v>767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5">
      <c r="A335" s="451">
        <v>7</v>
      </c>
      <c r="B335" s="447" t="s">
        <v>768</v>
      </c>
      <c r="C335" s="516">
        <v>28832929</v>
      </c>
      <c r="D335" s="516">
        <v>31445525</v>
      </c>
      <c r="E335" s="516">
        <f t="shared" si="34"/>
        <v>2612596</v>
      </c>
      <c r="F335" s="542">
        <f t="shared" si="35"/>
        <v>9.0611536552529917E-2</v>
      </c>
    </row>
    <row r="336" spans="1:22" s="420" customFormat="1" ht="15.75" customHeight="1" x14ac:dyDescent="0.25">
      <c r="A336" s="544"/>
      <c r="B336" s="445"/>
      <c r="C336" s="438"/>
      <c r="F336" s="427"/>
    </row>
    <row r="337" spans="1:17" ht="15.75" customHeight="1" x14ac:dyDescent="0.25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5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5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5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5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5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5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5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5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5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5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5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5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5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5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5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5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5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5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5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5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5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5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3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5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5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5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5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5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5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5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3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5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5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5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5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3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5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5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5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5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5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5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5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5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3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5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3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5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5">
      <c r="B386" s="447"/>
      <c r="C386" s="538"/>
      <c r="D386" s="448"/>
      <c r="E386" s="448"/>
      <c r="F386" s="448"/>
    </row>
    <row r="387" spans="2:17" ht="15.75" customHeight="1" x14ac:dyDescent="0.25">
      <c r="B387" s="447"/>
      <c r="C387" s="541"/>
      <c r="D387" s="458"/>
      <c r="E387" s="458"/>
      <c r="F387" s="458"/>
    </row>
    <row r="388" spans="2:17" ht="15.75" customHeight="1" x14ac:dyDescent="0.25">
      <c r="B388" s="447"/>
      <c r="C388" s="553"/>
      <c r="D388" s="456"/>
      <c r="E388" s="456"/>
      <c r="F388" s="456"/>
    </row>
    <row r="389" spans="2:17" ht="15.75" customHeight="1" x14ac:dyDescent="0.25">
      <c r="B389" s="447"/>
      <c r="C389" s="550"/>
      <c r="D389" s="551"/>
      <c r="E389" s="551"/>
      <c r="F389" s="551"/>
    </row>
    <row r="390" spans="2:17" ht="15.75" customHeight="1" x14ac:dyDescent="0.25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5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5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5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5">
      <c r="B394" s="447"/>
      <c r="C394" s="553"/>
      <c r="D394" s="456"/>
      <c r="E394" s="456"/>
      <c r="F394" s="456"/>
    </row>
    <row r="395" spans="2:17" ht="15.75" customHeight="1" x14ac:dyDescent="0.25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5">
      <c r="B396" s="447"/>
      <c r="C396" s="565"/>
      <c r="D396" s="566"/>
      <c r="E396" s="566"/>
      <c r="F396" s="456"/>
      <c r="Q396" s="488"/>
    </row>
    <row r="397" spans="2:17" ht="15.75" customHeight="1" x14ac:dyDescent="0.25">
      <c r="B397" s="447"/>
      <c r="C397" s="538"/>
      <c r="D397" s="448"/>
      <c r="E397" s="448"/>
      <c r="F397" s="448"/>
    </row>
    <row r="398" spans="2:17" ht="15.75" customHeight="1" x14ac:dyDescent="0.3">
      <c r="B398" s="495"/>
      <c r="C398" s="557"/>
      <c r="D398" s="448"/>
      <c r="E398" s="448"/>
      <c r="F398" s="448"/>
    </row>
    <row r="399" spans="2:17" ht="15.75" customHeight="1" x14ac:dyDescent="0.25">
      <c r="B399" s="447"/>
      <c r="C399" s="538"/>
      <c r="D399" s="448"/>
      <c r="E399" s="448"/>
      <c r="F399" s="448"/>
    </row>
    <row r="400" spans="2:17" ht="15.75" customHeight="1" x14ac:dyDescent="0.25">
      <c r="B400" s="447"/>
      <c r="C400" s="538"/>
      <c r="D400" s="448"/>
      <c r="E400" s="448"/>
      <c r="F400" s="448"/>
    </row>
    <row r="401" spans="2:6" ht="15.75" customHeight="1" x14ac:dyDescent="0.25">
      <c r="B401" s="447"/>
      <c r="C401" s="567"/>
      <c r="D401" s="483"/>
      <c r="E401" s="483"/>
      <c r="F401" s="483"/>
    </row>
    <row r="402" spans="2:6" ht="15.75" customHeight="1" x14ac:dyDescent="0.25">
      <c r="B402" s="447"/>
      <c r="C402" s="541"/>
      <c r="D402" s="503"/>
      <c r="E402" s="503"/>
      <c r="F402" s="503"/>
    </row>
    <row r="403" spans="2:6" ht="15.75" customHeight="1" x14ac:dyDescent="0.25">
      <c r="B403" s="447"/>
      <c r="C403" s="565"/>
      <c r="D403" s="566"/>
      <c r="E403" s="566"/>
      <c r="F403" s="566"/>
    </row>
    <row r="404" spans="2:6" ht="15.75" customHeight="1" x14ac:dyDescent="0.25">
      <c r="B404" s="447"/>
      <c r="C404" s="538"/>
      <c r="D404" s="448"/>
      <c r="E404" s="448"/>
      <c r="F404" s="448"/>
    </row>
    <row r="405" spans="2:6" ht="15.75" customHeight="1" x14ac:dyDescent="0.25">
      <c r="B405" s="447"/>
      <c r="C405" s="538"/>
      <c r="D405" s="448"/>
      <c r="E405" s="448"/>
      <c r="F405" s="448"/>
    </row>
    <row r="406" spans="2:6" ht="15.75" customHeight="1" x14ac:dyDescent="0.25">
      <c r="B406" s="447"/>
      <c r="C406" s="538"/>
      <c r="D406" s="448"/>
      <c r="E406" s="448"/>
      <c r="F406" s="448"/>
    </row>
    <row r="407" spans="2:6" ht="15.75" customHeight="1" x14ac:dyDescent="0.25">
      <c r="B407" s="447"/>
      <c r="C407" s="538"/>
      <c r="D407" s="448"/>
      <c r="E407" s="448"/>
      <c r="F407" s="448"/>
    </row>
    <row r="408" spans="2:6" ht="15.75" customHeight="1" x14ac:dyDescent="0.3">
      <c r="B408" s="495"/>
      <c r="C408" s="538"/>
      <c r="D408" s="448"/>
      <c r="E408" s="448"/>
      <c r="F408" s="448"/>
    </row>
    <row r="409" spans="2:6" ht="15.75" customHeight="1" x14ac:dyDescent="0.25">
      <c r="B409" s="447"/>
      <c r="C409" s="538"/>
      <c r="D409" s="448"/>
      <c r="E409" s="448"/>
      <c r="F409" s="448"/>
    </row>
    <row r="410" spans="2:6" ht="15.75" customHeight="1" x14ac:dyDescent="0.25">
      <c r="B410" s="447"/>
      <c r="C410" s="538"/>
      <c r="D410" s="448"/>
      <c r="E410" s="448"/>
      <c r="F410" s="448"/>
    </row>
    <row r="411" spans="2:6" ht="15.75" customHeight="1" x14ac:dyDescent="0.25">
      <c r="B411" s="447"/>
      <c r="C411" s="538"/>
      <c r="D411" s="448"/>
      <c r="E411" s="448"/>
      <c r="F411" s="448"/>
    </row>
    <row r="412" spans="2:6" ht="15.75" customHeight="1" x14ac:dyDescent="0.25">
      <c r="B412" s="447"/>
      <c r="C412" s="538"/>
      <c r="D412" s="448"/>
      <c r="E412" s="448"/>
      <c r="F412" s="448"/>
    </row>
    <row r="413" spans="2:6" ht="15.75" customHeight="1" x14ac:dyDescent="0.3">
      <c r="B413" s="495"/>
      <c r="C413" s="445"/>
      <c r="D413" s="420"/>
      <c r="E413" s="420"/>
      <c r="F413" s="420"/>
    </row>
    <row r="414" spans="2:6" ht="15.75" customHeight="1" x14ac:dyDescent="0.25">
      <c r="B414" s="447"/>
      <c r="C414" s="561"/>
      <c r="D414" s="474"/>
      <c r="E414" s="474"/>
      <c r="F414" s="474"/>
    </row>
    <row r="415" spans="2:6" ht="15.75" customHeight="1" x14ac:dyDescent="0.25">
      <c r="B415" s="447"/>
      <c r="C415" s="561"/>
      <c r="D415" s="474"/>
      <c r="E415" s="474"/>
      <c r="F415" s="474"/>
    </row>
    <row r="416" spans="2:6" ht="15.75" customHeight="1" x14ac:dyDescent="0.25">
      <c r="B416" s="447"/>
      <c r="C416" s="561"/>
      <c r="D416" s="474"/>
      <c r="E416" s="474"/>
      <c r="F416" s="474"/>
    </row>
    <row r="417" spans="2:17" ht="15.75" customHeight="1" x14ac:dyDescent="0.25">
      <c r="B417" s="447"/>
      <c r="C417" s="561"/>
      <c r="D417" s="474"/>
      <c r="E417" s="474"/>
      <c r="F417" s="474"/>
    </row>
    <row r="418" spans="2:17" ht="15.75" customHeight="1" x14ac:dyDescent="0.25">
      <c r="B418" s="447"/>
      <c r="C418" s="561"/>
      <c r="D418" s="474"/>
      <c r="E418" s="474"/>
      <c r="F418" s="474"/>
    </row>
    <row r="419" spans="2:17" ht="15.75" customHeight="1" x14ac:dyDescent="0.25">
      <c r="B419" s="447"/>
      <c r="C419" s="561"/>
      <c r="D419" s="474"/>
      <c r="E419" s="474"/>
      <c r="F419" s="474"/>
    </row>
    <row r="420" spans="2:17" ht="15.75" customHeight="1" x14ac:dyDescent="0.25">
      <c r="B420" s="447"/>
      <c r="C420" s="561"/>
      <c r="D420" s="474"/>
      <c r="E420" s="474"/>
      <c r="F420" s="474"/>
    </row>
    <row r="421" spans="2:17" ht="15.75" customHeight="1" x14ac:dyDescent="0.25">
      <c r="B421" s="447"/>
      <c r="C421" s="538"/>
      <c r="D421" s="441"/>
      <c r="E421" s="441"/>
      <c r="F421" s="448"/>
    </row>
    <row r="422" spans="2:17" ht="15.75" customHeight="1" x14ac:dyDescent="0.25">
      <c r="B422" s="447"/>
      <c r="C422" s="538"/>
      <c r="D422" s="441"/>
      <c r="E422" s="441"/>
      <c r="F422" s="448"/>
    </row>
    <row r="423" spans="2:17" ht="15.75" customHeight="1" x14ac:dyDescent="0.3">
      <c r="B423" s="495"/>
      <c r="C423" s="561"/>
      <c r="D423" s="474"/>
      <c r="E423" s="474"/>
      <c r="F423" s="474"/>
    </row>
    <row r="424" spans="2:17" ht="15.75" customHeight="1" x14ac:dyDescent="0.3">
      <c r="B424" s="495"/>
      <c r="C424" s="561"/>
      <c r="D424" s="474"/>
      <c r="E424" s="474"/>
      <c r="F424" s="474"/>
    </row>
    <row r="425" spans="2:17" ht="15.75" customHeight="1" x14ac:dyDescent="0.3">
      <c r="B425" s="495"/>
      <c r="C425" s="447"/>
      <c r="D425" s="496"/>
      <c r="E425" s="496"/>
      <c r="F425" s="496"/>
    </row>
    <row r="426" spans="2:17" ht="15.75" customHeight="1" x14ac:dyDescent="0.25">
      <c r="B426" s="447"/>
      <c r="C426" s="538"/>
      <c r="D426" s="448"/>
      <c r="E426" s="448"/>
      <c r="F426" s="448"/>
    </row>
    <row r="427" spans="2:17" ht="15.75" customHeight="1" x14ac:dyDescent="0.25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5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5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5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5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5">
      <c r="B432" s="447"/>
      <c r="C432" s="538"/>
      <c r="D432" s="448"/>
      <c r="E432" s="448"/>
      <c r="F432" s="448"/>
    </row>
    <row r="433" spans="1:17" ht="15.75" customHeight="1" x14ac:dyDescent="0.25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5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5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5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5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5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5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5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5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5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5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5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5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5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5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5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5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5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5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5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5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5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5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5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5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5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5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5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5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5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5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5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5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5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5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5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5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5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5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5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5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5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5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5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5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5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5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5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5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5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5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5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5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5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5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5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5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5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5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5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5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5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5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5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5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5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5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5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5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5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5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5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5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5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5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5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5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5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5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5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5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5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5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5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5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5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5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5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5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5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5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5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5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5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5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5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5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5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5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5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5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5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5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5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5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5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5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5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5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5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5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5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5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5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5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5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5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5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5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5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5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5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5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5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5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5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5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5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5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5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5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5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5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5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5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5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5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5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5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5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5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5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5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5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5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5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5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5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5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5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5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5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5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5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5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5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5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5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5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5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5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5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5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5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5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5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5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5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5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5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5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5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5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5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5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5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5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5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5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5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5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5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5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5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5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5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5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5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5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5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5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5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5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5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5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5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5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5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5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5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5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5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5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5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5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5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5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5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5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5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5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5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5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5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5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5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5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5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5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5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5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5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5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5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5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5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5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5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5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5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5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5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5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5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5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5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5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5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5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5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5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5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5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5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5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5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5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5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5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5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5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5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5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5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5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5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5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5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5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5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5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5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5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5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5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5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5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5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5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5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5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5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5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5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5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5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5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5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5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5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5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5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5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5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5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5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5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5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5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5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5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5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5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5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5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5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5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5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5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5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5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5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5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5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5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5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5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5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5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5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5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5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5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5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5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5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5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5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5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5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5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5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5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5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5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5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5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5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5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5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5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5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5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5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5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5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5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5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5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5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5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5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5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5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5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5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5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5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5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5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5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5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5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5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5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5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5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5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5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5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5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5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5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5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5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5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5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5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5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5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5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5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5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5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5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5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5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5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5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5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5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5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5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5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5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5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5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5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5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5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5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5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5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5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5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5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5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5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5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5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5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5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5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5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5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5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5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5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5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5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5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5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5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5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5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5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5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5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5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5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5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5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5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5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5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5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5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5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5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5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5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5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5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5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5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5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5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5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5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5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5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5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5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5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5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5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5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5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5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5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5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5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5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5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5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5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5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5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5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5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5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5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5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5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5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5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5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5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5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5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5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5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5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5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5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5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5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5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5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5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5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5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5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5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5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5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5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5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5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5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5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5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5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5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5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5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5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5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5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5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5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5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5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5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5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5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5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5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5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5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5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5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5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5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5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5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5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5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5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5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5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5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5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5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5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5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5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5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5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5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5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5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5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5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5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5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5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5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5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5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5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5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5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5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5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5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5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5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5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5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5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5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5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5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5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5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5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5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5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5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5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5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5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5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5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5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5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5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5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5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5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5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5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5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5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5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5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5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5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5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5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5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5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5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5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5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5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5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5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5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5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5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5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5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5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5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5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5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5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5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5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5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5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5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5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5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5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5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5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5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5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5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5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5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5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5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5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5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5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5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5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5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5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5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5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5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5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5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5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5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5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5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5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5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5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5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5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5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5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5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2" fitToHeight="0" orientation="portrait" horizontalDpi="300" verticalDpi="300" r:id="rId1"/>
  <headerFooter>
    <oddHeader>&amp;LOFFICE OF HEALTH CARE ACCESS&amp;CTWELVE MONTHS ACTUAL FILING&amp;RNORWALK HOSPITAL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30" sqref="B30"/>
    </sheetView>
  </sheetViews>
  <sheetFormatPr defaultColWidth="9.109375" defaultRowHeight="13.2" x14ac:dyDescent="0.25"/>
  <cols>
    <col min="1" max="1" width="5.33203125" style="569" bestFit="1" customWidth="1"/>
    <col min="2" max="2" width="82.5546875" style="660" customWidth="1"/>
    <col min="3" max="3" width="17" style="660" customWidth="1"/>
    <col min="4" max="4" width="16.109375" style="569" customWidth="1"/>
    <col min="5" max="5" width="16.6640625" style="420" customWidth="1"/>
    <col min="6" max="16384" width="9.109375" style="569"/>
  </cols>
  <sheetData>
    <row r="1" spans="1:5" ht="10.199999999999999" x14ac:dyDescent="0.2">
      <c r="A1" s="821"/>
      <c r="B1" s="821"/>
      <c r="C1" s="821"/>
      <c r="D1" s="821"/>
      <c r="E1" s="821"/>
    </row>
    <row r="2" spans="1:5" s="428" customFormat="1" ht="15.75" customHeight="1" x14ac:dyDescent="0.3">
      <c r="A2" s="822" t="s">
        <v>0</v>
      </c>
      <c r="B2" s="822"/>
      <c r="C2" s="822"/>
      <c r="D2" s="822"/>
      <c r="E2" s="822"/>
    </row>
    <row r="3" spans="1:5" s="428" customFormat="1" ht="15.75" customHeight="1" x14ac:dyDescent="0.3">
      <c r="A3" s="820" t="s">
        <v>629</v>
      </c>
      <c r="B3" s="820"/>
      <c r="C3" s="820"/>
      <c r="D3" s="820"/>
      <c r="E3" s="820"/>
    </row>
    <row r="4" spans="1:5" s="428" customFormat="1" ht="15.75" customHeight="1" x14ac:dyDescent="0.3">
      <c r="A4" s="820" t="s">
        <v>769</v>
      </c>
      <c r="B4" s="820"/>
      <c r="C4" s="820"/>
      <c r="D4" s="820"/>
      <c r="E4" s="820"/>
    </row>
    <row r="5" spans="1:5" s="428" customFormat="1" ht="15.75" customHeight="1" x14ac:dyDescent="0.3">
      <c r="A5" s="820" t="s">
        <v>770</v>
      </c>
      <c r="B5" s="820"/>
      <c r="C5" s="820"/>
      <c r="D5" s="820"/>
      <c r="E5" s="820"/>
    </row>
    <row r="6" spans="1:5" s="428" customFormat="1" ht="15.75" customHeight="1" x14ac:dyDescent="0.3">
      <c r="A6" s="820" t="s">
        <v>771</v>
      </c>
      <c r="B6" s="820"/>
      <c r="C6" s="820"/>
      <c r="D6" s="820"/>
      <c r="E6" s="820"/>
    </row>
    <row r="7" spans="1:5" s="428" customFormat="1" ht="15.75" customHeight="1" x14ac:dyDescent="0.3">
      <c r="A7" s="820"/>
      <c r="B7" s="820"/>
      <c r="C7" s="820"/>
      <c r="D7" s="820"/>
      <c r="E7" s="820"/>
    </row>
    <row r="8" spans="1:5" s="428" customFormat="1" x14ac:dyDescent="0.25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" customHeight="1" x14ac:dyDescent="0.3">
      <c r="A9" s="571" t="s">
        <v>8</v>
      </c>
      <c r="B9" s="572" t="s">
        <v>9</v>
      </c>
      <c r="C9" s="573" t="s">
        <v>772</v>
      </c>
      <c r="D9" s="573" t="s">
        <v>773</v>
      </c>
      <c r="E9" s="573" t="s">
        <v>774</v>
      </c>
    </row>
    <row r="10" spans="1:5" s="428" customFormat="1" x14ac:dyDescent="0.25">
      <c r="A10" s="574"/>
      <c r="B10" s="575"/>
      <c r="C10" s="576"/>
      <c r="D10" s="576"/>
      <c r="E10" s="577"/>
    </row>
    <row r="11" spans="1:5" s="428" customFormat="1" ht="15.75" customHeight="1" x14ac:dyDescent="0.3">
      <c r="A11" s="578" t="s">
        <v>12</v>
      </c>
      <c r="B11" s="579" t="s">
        <v>775</v>
      </c>
      <c r="C11" s="580"/>
      <c r="D11" s="570"/>
      <c r="E11" s="577"/>
    </row>
    <row r="12" spans="1:5" s="583" customFormat="1" x14ac:dyDescent="0.25">
      <c r="A12" s="581"/>
      <c r="B12" s="577"/>
      <c r="C12" s="582"/>
      <c r="D12" s="425"/>
      <c r="E12" s="577"/>
    </row>
    <row r="13" spans="1:5" s="421" customFormat="1" x14ac:dyDescent="0.25">
      <c r="A13" s="584" t="s">
        <v>14</v>
      </c>
      <c r="B13" s="585" t="s">
        <v>776</v>
      </c>
      <c r="C13" s="586"/>
      <c r="D13" s="425"/>
      <c r="E13" s="587"/>
    </row>
    <row r="14" spans="1:5" s="421" customFormat="1" x14ac:dyDescent="0.25">
      <c r="A14" s="588">
        <v>1</v>
      </c>
      <c r="B14" s="587" t="s">
        <v>656</v>
      </c>
      <c r="C14" s="589">
        <v>132475987</v>
      </c>
      <c r="D14" s="589">
        <v>136392350</v>
      </c>
      <c r="E14" s="590">
        <f t="shared" ref="E14:E22" si="0">D14-C14</f>
        <v>3916363</v>
      </c>
    </row>
    <row r="15" spans="1:5" s="421" customFormat="1" x14ac:dyDescent="0.25">
      <c r="A15" s="588">
        <v>2</v>
      </c>
      <c r="B15" s="587" t="s">
        <v>635</v>
      </c>
      <c r="C15" s="589">
        <v>249847526</v>
      </c>
      <c r="D15" s="591">
        <v>244074842</v>
      </c>
      <c r="E15" s="590">
        <f t="shared" si="0"/>
        <v>-5772684</v>
      </c>
    </row>
    <row r="16" spans="1:5" s="421" customFormat="1" x14ac:dyDescent="0.25">
      <c r="A16" s="588">
        <v>3</v>
      </c>
      <c r="B16" s="587" t="s">
        <v>777</v>
      </c>
      <c r="C16" s="589">
        <v>77155540</v>
      </c>
      <c r="D16" s="591">
        <v>86033319</v>
      </c>
      <c r="E16" s="590">
        <f t="shared" si="0"/>
        <v>8877779</v>
      </c>
    </row>
    <row r="17" spans="1:5" s="421" customFormat="1" x14ac:dyDescent="0.25">
      <c r="A17" s="588">
        <v>4</v>
      </c>
      <c r="B17" s="587" t="s">
        <v>115</v>
      </c>
      <c r="C17" s="589">
        <v>75908806</v>
      </c>
      <c r="D17" s="591">
        <v>84806012</v>
      </c>
      <c r="E17" s="590">
        <f t="shared" si="0"/>
        <v>8897206</v>
      </c>
    </row>
    <row r="18" spans="1:5" s="421" customFormat="1" x14ac:dyDescent="0.25">
      <c r="A18" s="588">
        <v>5</v>
      </c>
      <c r="B18" s="587" t="s">
        <v>743</v>
      </c>
      <c r="C18" s="589">
        <v>1246734</v>
      </c>
      <c r="D18" s="591">
        <v>1227307</v>
      </c>
      <c r="E18" s="590">
        <f t="shared" si="0"/>
        <v>-19427</v>
      </c>
    </row>
    <row r="19" spans="1:5" s="421" customFormat="1" x14ac:dyDescent="0.25">
      <c r="A19" s="588">
        <v>6</v>
      </c>
      <c r="B19" s="587" t="s">
        <v>424</v>
      </c>
      <c r="C19" s="589">
        <v>260692</v>
      </c>
      <c r="D19" s="591">
        <v>367783</v>
      </c>
      <c r="E19" s="590">
        <f t="shared" si="0"/>
        <v>107091</v>
      </c>
    </row>
    <row r="20" spans="1:5" s="421" customFormat="1" x14ac:dyDescent="0.25">
      <c r="A20" s="588">
        <v>7</v>
      </c>
      <c r="B20" s="587" t="s">
        <v>758</v>
      </c>
      <c r="C20" s="589">
        <v>5833457</v>
      </c>
      <c r="D20" s="591">
        <v>5678211</v>
      </c>
      <c r="E20" s="590">
        <f t="shared" si="0"/>
        <v>-155246</v>
      </c>
    </row>
    <row r="21" spans="1:5" s="421" customFormat="1" x14ac:dyDescent="0.25">
      <c r="A21" s="588"/>
      <c r="B21" s="592" t="s">
        <v>778</v>
      </c>
      <c r="C21" s="593">
        <f>SUM(C15+C16+C19)</f>
        <v>327263758</v>
      </c>
      <c r="D21" s="593">
        <f>SUM(D15+D16+D19)</f>
        <v>330475944</v>
      </c>
      <c r="E21" s="593">
        <f t="shared" si="0"/>
        <v>3212186</v>
      </c>
    </row>
    <row r="22" spans="1:5" s="421" customFormat="1" x14ac:dyDescent="0.25">
      <c r="A22" s="588"/>
      <c r="B22" s="592" t="s">
        <v>465</v>
      </c>
      <c r="C22" s="593">
        <f>SUM(C14+C21)</f>
        <v>459739745</v>
      </c>
      <c r="D22" s="593">
        <f>SUM(D14+D21)</f>
        <v>466868294</v>
      </c>
      <c r="E22" s="593">
        <f t="shared" si="0"/>
        <v>7128549</v>
      </c>
    </row>
    <row r="23" spans="1:5" s="421" customFormat="1" x14ac:dyDescent="0.25">
      <c r="A23" s="588"/>
      <c r="B23" s="587"/>
      <c r="C23" s="587"/>
      <c r="D23" s="587"/>
      <c r="E23" s="587"/>
    </row>
    <row r="24" spans="1:5" s="421" customFormat="1" x14ac:dyDescent="0.25">
      <c r="A24" s="584" t="s">
        <v>26</v>
      </c>
      <c r="B24" s="585" t="s">
        <v>779</v>
      </c>
      <c r="C24" s="587"/>
      <c r="D24" s="587"/>
      <c r="E24" s="587"/>
    </row>
    <row r="25" spans="1:5" s="421" customFormat="1" x14ac:dyDescent="0.25">
      <c r="A25" s="588">
        <v>1</v>
      </c>
      <c r="B25" s="587" t="s">
        <v>656</v>
      </c>
      <c r="C25" s="589">
        <v>247512854</v>
      </c>
      <c r="D25" s="589">
        <v>275327052</v>
      </c>
      <c r="E25" s="590">
        <f t="shared" ref="E25:E33" si="1">D25-C25</f>
        <v>27814198</v>
      </c>
    </row>
    <row r="26" spans="1:5" s="421" customFormat="1" x14ac:dyDescent="0.25">
      <c r="A26" s="588">
        <v>2</v>
      </c>
      <c r="B26" s="587" t="s">
        <v>635</v>
      </c>
      <c r="C26" s="589">
        <v>152577669</v>
      </c>
      <c r="D26" s="591">
        <v>179450346</v>
      </c>
      <c r="E26" s="590">
        <f t="shared" si="1"/>
        <v>26872677</v>
      </c>
    </row>
    <row r="27" spans="1:5" s="421" customFormat="1" x14ac:dyDescent="0.25">
      <c r="A27" s="588">
        <v>3</v>
      </c>
      <c r="B27" s="587" t="s">
        <v>777</v>
      </c>
      <c r="C27" s="589">
        <v>84858716</v>
      </c>
      <c r="D27" s="591">
        <v>92237375</v>
      </c>
      <c r="E27" s="590">
        <f t="shared" si="1"/>
        <v>7378659</v>
      </c>
    </row>
    <row r="28" spans="1:5" s="421" customFormat="1" x14ac:dyDescent="0.25">
      <c r="A28" s="588">
        <v>4</v>
      </c>
      <c r="B28" s="587" t="s">
        <v>115</v>
      </c>
      <c r="C28" s="589">
        <v>84059124</v>
      </c>
      <c r="D28" s="591">
        <v>91316411</v>
      </c>
      <c r="E28" s="590">
        <f t="shared" si="1"/>
        <v>7257287</v>
      </c>
    </row>
    <row r="29" spans="1:5" s="421" customFormat="1" x14ac:dyDescent="0.25">
      <c r="A29" s="588">
        <v>5</v>
      </c>
      <c r="B29" s="587" t="s">
        <v>743</v>
      </c>
      <c r="C29" s="589">
        <v>799592</v>
      </c>
      <c r="D29" s="591">
        <v>920964</v>
      </c>
      <c r="E29" s="590">
        <f t="shared" si="1"/>
        <v>121372</v>
      </c>
    </row>
    <row r="30" spans="1:5" s="421" customFormat="1" x14ac:dyDescent="0.25">
      <c r="A30" s="588">
        <v>6</v>
      </c>
      <c r="B30" s="587" t="s">
        <v>424</v>
      </c>
      <c r="C30" s="589">
        <v>378243</v>
      </c>
      <c r="D30" s="591">
        <v>523869</v>
      </c>
      <c r="E30" s="590">
        <f t="shared" si="1"/>
        <v>145626</v>
      </c>
    </row>
    <row r="31" spans="1:5" s="421" customFormat="1" x14ac:dyDescent="0.25">
      <c r="A31" s="588">
        <v>7</v>
      </c>
      <c r="B31" s="587" t="s">
        <v>758</v>
      </c>
      <c r="C31" s="590">
        <v>27848639</v>
      </c>
      <c r="D31" s="594">
        <v>31201863</v>
      </c>
      <c r="E31" s="590">
        <f t="shared" si="1"/>
        <v>3353224</v>
      </c>
    </row>
    <row r="32" spans="1:5" s="421" customFormat="1" x14ac:dyDescent="0.25">
      <c r="A32" s="588"/>
      <c r="B32" s="592" t="s">
        <v>780</v>
      </c>
      <c r="C32" s="593">
        <f>SUM(C26+C27+C30)</f>
        <v>237814628</v>
      </c>
      <c r="D32" s="593">
        <f>SUM(D26+D27+D30)</f>
        <v>272211590</v>
      </c>
      <c r="E32" s="593">
        <f t="shared" si="1"/>
        <v>34396962</v>
      </c>
    </row>
    <row r="33" spans="1:5" s="421" customFormat="1" x14ac:dyDescent="0.25">
      <c r="A33" s="588"/>
      <c r="B33" s="592" t="s">
        <v>467</v>
      </c>
      <c r="C33" s="593">
        <f>SUM(C25+C32)</f>
        <v>485327482</v>
      </c>
      <c r="D33" s="593">
        <f>SUM(D25+D32)</f>
        <v>547538642</v>
      </c>
      <c r="E33" s="593">
        <f t="shared" si="1"/>
        <v>62211160</v>
      </c>
    </row>
    <row r="34" spans="1:5" s="421" customFormat="1" x14ac:dyDescent="0.25">
      <c r="A34" s="588"/>
      <c r="B34" s="587"/>
      <c r="C34" s="587"/>
      <c r="D34" s="587"/>
      <c r="E34" s="587"/>
    </row>
    <row r="35" spans="1:5" s="421" customFormat="1" x14ac:dyDescent="0.25">
      <c r="A35" s="584" t="s">
        <v>36</v>
      </c>
      <c r="B35" s="585" t="s">
        <v>653</v>
      </c>
      <c r="C35" s="590"/>
      <c r="D35" s="590"/>
      <c r="E35" s="587"/>
    </row>
    <row r="36" spans="1:5" s="421" customFormat="1" x14ac:dyDescent="0.25">
      <c r="A36" s="588">
        <v>1</v>
      </c>
      <c r="B36" s="587" t="s">
        <v>781</v>
      </c>
      <c r="C36" s="590">
        <f t="shared" ref="C36:D42" si="2">C14+C25</f>
        <v>379988841</v>
      </c>
      <c r="D36" s="590">
        <f t="shared" si="2"/>
        <v>411719402</v>
      </c>
      <c r="E36" s="590">
        <f t="shared" ref="E36:E44" si="3">D36-C36</f>
        <v>31730561</v>
      </c>
    </row>
    <row r="37" spans="1:5" s="421" customFormat="1" x14ac:dyDescent="0.25">
      <c r="A37" s="588">
        <v>2</v>
      </c>
      <c r="B37" s="587" t="s">
        <v>782</v>
      </c>
      <c r="C37" s="590">
        <f t="shared" si="2"/>
        <v>402425195</v>
      </c>
      <c r="D37" s="590">
        <f t="shared" si="2"/>
        <v>423525188</v>
      </c>
      <c r="E37" s="590">
        <f t="shared" si="3"/>
        <v>21099993</v>
      </c>
    </row>
    <row r="38" spans="1:5" s="421" customFormat="1" x14ac:dyDescent="0.25">
      <c r="A38" s="588">
        <v>3</v>
      </c>
      <c r="B38" s="587" t="s">
        <v>783</v>
      </c>
      <c r="C38" s="590">
        <f t="shared" si="2"/>
        <v>162014256</v>
      </c>
      <c r="D38" s="590">
        <f t="shared" si="2"/>
        <v>178270694</v>
      </c>
      <c r="E38" s="590">
        <f t="shared" si="3"/>
        <v>16256438</v>
      </c>
    </row>
    <row r="39" spans="1:5" s="421" customFormat="1" x14ac:dyDescent="0.25">
      <c r="A39" s="588">
        <v>4</v>
      </c>
      <c r="B39" s="587" t="s">
        <v>784</v>
      </c>
      <c r="C39" s="590">
        <f t="shared" si="2"/>
        <v>159967930</v>
      </c>
      <c r="D39" s="590">
        <f t="shared" si="2"/>
        <v>176122423</v>
      </c>
      <c r="E39" s="590">
        <f t="shared" si="3"/>
        <v>16154493</v>
      </c>
    </row>
    <row r="40" spans="1:5" s="421" customFormat="1" x14ac:dyDescent="0.25">
      <c r="A40" s="588">
        <v>5</v>
      </c>
      <c r="B40" s="587" t="s">
        <v>785</v>
      </c>
      <c r="C40" s="590">
        <f t="shared" si="2"/>
        <v>2046326</v>
      </c>
      <c r="D40" s="590">
        <f t="shared" si="2"/>
        <v>2148271</v>
      </c>
      <c r="E40" s="590">
        <f t="shared" si="3"/>
        <v>101945</v>
      </c>
    </row>
    <row r="41" spans="1:5" s="421" customFormat="1" x14ac:dyDescent="0.25">
      <c r="A41" s="588">
        <v>6</v>
      </c>
      <c r="B41" s="587" t="s">
        <v>786</v>
      </c>
      <c r="C41" s="590">
        <f t="shared" si="2"/>
        <v>638935</v>
      </c>
      <c r="D41" s="590">
        <f t="shared" si="2"/>
        <v>891652</v>
      </c>
      <c r="E41" s="590">
        <f t="shared" si="3"/>
        <v>252717</v>
      </c>
    </row>
    <row r="42" spans="1:5" s="421" customFormat="1" x14ac:dyDescent="0.25">
      <c r="A42" s="588">
        <v>7</v>
      </c>
      <c r="B42" s="587" t="s">
        <v>787</v>
      </c>
      <c r="C42" s="590">
        <f t="shared" si="2"/>
        <v>33682096</v>
      </c>
      <c r="D42" s="590">
        <f t="shared" si="2"/>
        <v>36880074</v>
      </c>
      <c r="E42" s="590">
        <f t="shared" si="3"/>
        <v>3197978</v>
      </c>
    </row>
    <row r="43" spans="1:5" s="421" customFormat="1" x14ac:dyDescent="0.25">
      <c r="A43" s="588"/>
      <c r="B43" s="592" t="s">
        <v>788</v>
      </c>
      <c r="C43" s="593">
        <f>SUM(C37+C38+C41)</f>
        <v>565078386</v>
      </c>
      <c r="D43" s="593">
        <f>SUM(D37+D38+D41)</f>
        <v>602687534</v>
      </c>
      <c r="E43" s="593">
        <f t="shared" si="3"/>
        <v>37609148</v>
      </c>
    </row>
    <row r="44" spans="1:5" s="421" customFormat="1" x14ac:dyDescent="0.25">
      <c r="A44" s="588"/>
      <c r="B44" s="592" t="s">
        <v>725</v>
      </c>
      <c r="C44" s="593">
        <f>SUM(C36+C43)</f>
        <v>945067227</v>
      </c>
      <c r="D44" s="593">
        <f>SUM(D36+D43)</f>
        <v>1014406936</v>
      </c>
      <c r="E44" s="593">
        <f t="shared" si="3"/>
        <v>69339709</v>
      </c>
    </row>
    <row r="45" spans="1:5" s="421" customFormat="1" x14ac:dyDescent="0.25">
      <c r="A45" s="588"/>
      <c r="B45" s="587"/>
      <c r="C45" s="590"/>
      <c r="D45" s="591"/>
      <c r="E45" s="587"/>
    </row>
    <row r="46" spans="1:5" s="421" customFormat="1" x14ac:dyDescent="0.25">
      <c r="A46" s="584" t="s">
        <v>170</v>
      </c>
      <c r="B46" s="585" t="s">
        <v>789</v>
      </c>
      <c r="C46" s="577"/>
      <c r="D46" s="591"/>
      <c r="E46" s="587"/>
    </row>
    <row r="47" spans="1:5" s="421" customFormat="1" ht="12" customHeight="1" x14ac:dyDescent="0.25">
      <c r="A47" s="588">
        <v>1</v>
      </c>
      <c r="B47" s="587" t="s">
        <v>656</v>
      </c>
      <c r="C47" s="589">
        <v>74582875</v>
      </c>
      <c r="D47" s="589">
        <v>70178108</v>
      </c>
      <c r="E47" s="590">
        <f t="shared" ref="E47:E55" si="4">D47-C47</f>
        <v>-4404767</v>
      </c>
    </row>
    <row r="48" spans="1:5" s="421" customFormat="1" x14ac:dyDescent="0.25">
      <c r="A48" s="588">
        <v>2</v>
      </c>
      <c r="B48" s="587" t="s">
        <v>635</v>
      </c>
      <c r="C48" s="589">
        <v>78371312</v>
      </c>
      <c r="D48" s="591">
        <v>69647716</v>
      </c>
      <c r="E48" s="590">
        <f t="shared" si="4"/>
        <v>-8723596</v>
      </c>
    </row>
    <row r="49" spans="1:5" s="421" customFormat="1" x14ac:dyDescent="0.25">
      <c r="A49" s="588">
        <v>3</v>
      </c>
      <c r="B49" s="587" t="s">
        <v>777</v>
      </c>
      <c r="C49" s="589">
        <v>19011492</v>
      </c>
      <c r="D49" s="591">
        <v>20254583</v>
      </c>
      <c r="E49" s="590">
        <f t="shared" si="4"/>
        <v>1243091</v>
      </c>
    </row>
    <row r="50" spans="1:5" s="421" customFormat="1" x14ac:dyDescent="0.25">
      <c r="A50" s="588">
        <v>4</v>
      </c>
      <c r="B50" s="587" t="s">
        <v>115</v>
      </c>
      <c r="C50" s="589">
        <v>18810298</v>
      </c>
      <c r="D50" s="591">
        <v>20010413</v>
      </c>
      <c r="E50" s="590">
        <f t="shared" si="4"/>
        <v>1200115</v>
      </c>
    </row>
    <row r="51" spans="1:5" s="421" customFormat="1" x14ac:dyDescent="0.25">
      <c r="A51" s="588">
        <v>5</v>
      </c>
      <c r="B51" s="587" t="s">
        <v>743</v>
      </c>
      <c r="C51" s="589">
        <v>201194</v>
      </c>
      <c r="D51" s="591">
        <v>244170</v>
      </c>
      <c r="E51" s="590">
        <f t="shared" si="4"/>
        <v>42976</v>
      </c>
    </row>
    <row r="52" spans="1:5" s="421" customFormat="1" x14ac:dyDescent="0.25">
      <c r="A52" s="588">
        <v>6</v>
      </c>
      <c r="B52" s="587" t="s">
        <v>424</v>
      </c>
      <c r="C52" s="589">
        <v>99570</v>
      </c>
      <c r="D52" s="591">
        <v>126891</v>
      </c>
      <c r="E52" s="590">
        <f t="shared" si="4"/>
        <v>27321</v>
      </c>
    </row>
    <row r="53" spans="1:5" s="421" customFormat="1" x14ac:dyDescent="0.25">
      <c r="A53" s="588">
        <v>7</v>
      </c>
      <c r="B53" s="587" t="s">
        <v>758</v>
      </c>
      <c r="C53" s="589">
        <v>251805</v>
      </c>
      <c r="D53" s="591">
        <v>960116</v>
      </c>
      <c r="E53" s="590">
        <f t="shared" si="4"/>
        <v>708311</v>
      </c>
    </row>
    <row r="54" spans="1:5" s="421" customFormat="1" x14ac:dyDescent="0.25">
      <c r="A54" s="588"/>
      <c r="B54" s="592" t="s">
        <v>790</v>
      </c>
      <c r="C54" s="593">
        <f>SUM(C48+C49+C52)</f>
        <v>97482374</v>
      </c>
      <c r="D54" s="593">
        <f>SUM(D48+D49+D52)</f>
        <v>90029190</v>
      </c>
      <c r="E54" s="593">
        <f t="shared" si="4"/>
        <v>-7453184</v>
      </c>
    </row>
    <row r="55" spans="1:5" s="421" customFormat="1" x14ac:dyDescent="0.25">
      <c r="A55" s="588"/>
      <c r="B55" s="592" t="s">
        <v>466</v>
      </c>
      <c r="C55" s="593">
        <f>SUM(C47+C54)</f>
        <v>172065249</v>
      </c>
      <c r="D55" s="593">
        <f>SUM(D47+D54)</f>
        <v>160207298</v>
      </c>
      <c r="E55" s="593">
        <f t="shared" si="4"/>
        <v>-11857951</v>
      </c>
    </row>
    <row r="56" spans="1:5" s="421" customFormat="1" x14ac:dyDescent="0.25">
      <c r="A56" s="588"/>
      <c r="B56" s="587"/>
      <c r="C56" s="587"/>
      <c r="D56" s="591"/>
      <c r="E56" s="587"/>
    </row>
    <row r="57" spans="1:5" s="421" customFormat="1" x14ac:dyDescent="0.25">
      <c r="A57" s="584" t="s">
        <v>175</v>
      </c>
      <c r="B57" s="585" t="s">
        <v>791</v>
      </c>
      <c r="C57" s="577"/>
      <c r="D57" s="591"/>
      <c r="E57" s="587"/>
    </row>
    <row r="58" spans="1:5" s="421" customFormat="1" x14ac:dyDescent="0.25">
      <c r="A58" s="588">
        <v>1</v>
      </c>
      <c r="B58" s="587" t="s">
        <v>656</v>
      </c>
      <c r="C58" s="589">
        <v>130180559</v>
      </c>
      <c r="D58" s="589">
        <v>144943945</v>
      </c>
      <c r="E58" s="590">
        <f t="shared" ref="E58:E66" si="5">D58-C58</f>
        <v>14763386</v>
      </c>
    </row>
    <row r="59" spans="1:5" s="421" customFormat="1" x14ac:dyDescent="0.25">
      <c r="A59" s="588">
        <v>2</v>
      </c>
      <c r="B59" s="587" t="s">
        <v>635</v>
      </c>
      <c r="C59" s="589">
        <v>28761475</v>
      </c>
      <c r="D59" s="591">
        <v>38586602</v>
      </c>
      <c r="E59" s="590">
        <f t="shared" si="5"/>
        <v>9825127</v>
      </c>
    </row>
    <row r="60" spans="1:5" s="421" customFormat="1" x14ac:dyDescent="0.25">
      <c r="A60" s="588">
        <v>3</v>
      </c>
      <c r="B60" s="587" t="s">
        <v>777</v>
      </c>
      <c r="C60" s="589">
        <f>C61+C62</f>
        <v>21702248</v>
      </c>
      <c r="D60" s="591">
        <f>D61+D62</f>
        <v>22086304</v>
      </c>
      <c r="E60" s="590">
        <f t="shared" si="5"/>
        <v>384056</v>
      </c>
    </row>
    <row r="61" spans="1:5" s="421" customFormat="1" x14ac:dyDescent="0.25">
      <c r="A61" s="588">
        <v>4</v>
      </c>
      <c r="B61" s="587" t="s">
        <v>115</v>
      </c>
      <c r="C61" s="589">
        <v>21600771</v>
      </c>
      <c r="D61" s="591">
        <v>21845649</v>
      </c>
      <c r="E61" s="590">
        <f t="shared" si="5"/>
        <v>244878</v>
      </c>
    </row>
    <row r="62" spans="1:5" s="421" customFormat="1" x14ac:dyDescent="0.25">
      <c r="A62" s="588">
        <v>5</v>
      </c>
      <c r="B62" s="587" t="s">
        <v>743</v>
      </c>
      <c r="C62" s="589">
        <v>101477</v>
      </c>
      <c r="D62" s="591">
        <v>240655</v>
      </c>
      <c r="E62" s="590">
        <f t="shared" si="5"/>
        <v>139178</v>
      </c>
    </row>
    <row r="63" spans="1:5" s="421" customFormat="1" x14ac:dyDescent="0.25">
      <c r="A63" s="588">
        <v>6</v>
      </c>
      <c r="B63" s="587" t="s">
        <v>424</v>
      </c>
      <c r="C63" s="589">
        <v>46016</v>
      </c>
      <c r="D63" s="591">
        <v>88223</v>
      </c>
      <c r="E63" s="590">
        <f t="shared" si="5"/>
        <v>42207</v>
      </c>
    </row>
    <row r="64" spans="1:5" s="421" customFormat="1" x14ac:dyDescent="0.25">
      <c r="A64" s="588">
        <v>7</v>
      </c>
      <c r="B64" s="587" t="s">
        <v>758</v>
      </c>
      <c r="C64" s="589">
        <v>1689789</v>
      </c>
      <c r="D64" s="591">
        <v>3824559</v>
      </c>
      <c r="E64" s="590">
        <f t="shared" si="5"/>
        <v>2134770</v>
      </c>
    </row>
    <row r="65" spans="1:5" s="421" customFormat="1" x14ac:dyDescent="0.25">
      <c r="A65" s="588"/>
      <c r="B65" s="592" t="s">
        <v>792</v>
      </c>
      <c r="C65" s="593">
        <f>SUM(C59+C60+C63)</f>
        <v>50509739</v>
      </c>
      <c r="D65" s="593">
        <f>SUM(D59+D60+D63)</f>
        <v>60761129</v>
      </c>
      <c r="E65" s="593">
        <f t="shared" si="5"/>
        <v>10251390</v>
      </c>
    </row>
    <row r="66" spans="1:5" s="421" customFormat="1" x14ac:dyDescent="0.25">
      <c r="A66" s="588"/>
      <c r="B66" s="592" t="s">
        <v>468</v>
      </c>
      <c r="C66" s="593">
        <f>SUM(C58+C65)</f>
        <v>180690298</v>
      </c>
      <c r="D66" s="593">
        <f>SUM(D58+D65)</f>
        <v>205705074</v>
      </c>
      <c r="E66" s="593">
        <f t="shared" si="5"/>
        <v>25014776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5">
      <c r="A68" s="584" t="s">
        <v>181</v>
      </c>
      <c r="B68" s="597" t="s">
        <v>654</v>
      </c>
      <c r="C68" s="587"/>
      <c r="D68" s="587"/>
      <c r="E68" s="587"/>
    </row>
    <row r="69" spans="1:5" s="421" customFormat="1" x14ac:dyDescent="0.25">
      <c r="A69" s="588">
        <v>1</v>
      </c>
      <c r="B69" s="587" t="s">
        <v>781</v>
      </c>
      <c r="C69" s="590">
        <f t="shared" ref="C69:D75" si="6">C47+C58</f>
        <v>204763434</v>
      </c>
      <c r="D69" s="590">
        <f t="shared" si="6"/>
        <v>215122053</v>
      </c>
      <c r="E69" s="590">
        <f t="shared" ref="E69:E77" si="7">D69-C69</f>
        <v>10358619</v>
      </c>
    </row>
    <row r="70" spans="1:5" s="421" customFormat="1" x14ac:dyDescent="0.25">
      <c r="A70" s="588">
        <v>2</v>
      </c>
      <c r="B70" s="587" t="s">
        <v>782</v>
      </c>
      <c r="C70" s="590">
        <f t="shared" si="6"/>
        <v>107132787</v>
      </c>
      <c r="D70" s="590">
        <f t="shared" si="6"/>
        <v>108234318</v>
      </c>
      <c r="E70" s="590">
        <f t="shared" si="7"/>
        <v>1101531</v>
      </c>
    </row>
    <row r="71" spans="1:5" s="421" customFormat="1" x14ac:dyDescent="0.25">
      <c r="A71" s="588">
        <v>3</v>
      </c>
      <c r="B71" s="587" t="s">
        <v>783</v>
      </c>
      <c r="C71" s="590">
        <f t="shared" si="6"/>
        <v>40713740</v>
      </c>
      <c r="D71" s="590">
        <f t="shared" si="6"/>
        <v>42340887</v>
      </c>
      <c r="E71" s="590">
        <f t="shared" si="7"/>
        <v>1627147</v>
      </c>
    </row>
    <row r="72" spans="1:5" s="421" customFormat="1" x14ac:dyDescent="0.25">
      <c r="A72" s="588">
        <v>4</v>
      </c>
      <c r="B72" s="587" t="s">
        <v>784</v>
      </c>
      <c r="C72" s="590">
        <f t="shared" si="6"/>
        <v>40411069</v>
      </c>
      <c r="D72" s="590">
        <f t="shared" si="6"/>
        <v>41856062</v>
      </c>
      <c r="E72" s="590">
        <f t="shared" si="7"/>
        <v>1444993</v>
      </c>
    </row>
    <row r="73" spans="1:5" s="421" customFormat="1" x14ac:dyDescent="0.25">
      <c r="A73" s="588">
        <v>5</v>
      </c>
      <c r="B73" s="587" t="s">
        <v>785</v>
      </c>
      <c r="C73" s="590">
        <f t="shared" si="6"/>
        <v>302671</v>
      </c>
      <c r="D73" s="590">
        <f t="shared" si="6"/>
        <v>484825</v>
      </c>
      <c r="E73" s="590">
        <f t="shared" si="7"/>
        <v>182154</v>
      </c>
    </row>
    <row r="74" spans="1:5" s="421" customFormat="1" x14ac:dyDescent="0.25">
      <c r="A74" s="588">
        <v>6</v>
      </c>
      <c r="B74" s="587" t="s">
        <v>786</v>
      </c>
      <c r="C74" s="590">
        <f t="shared" si="6"/>
        <v>145586</v>
      </c>
      <c r="D74" s="590">
        <f t="shared" si="6"/>
        <v>215114</v>
      </c>
      <c r="E74" s="590">
        <f t="shared" si="7"/>
        <v>69528</v>
      </c>
    </row>
    <row r="75" spans="1:5" s="421" customFormat="1" x14ac:dyDescent="0.25">
      <c r="A75" s="588">
        <v>7</v>
      </c>
      <c r="B75" s="587" t="s">
        <v>787</v>
      </c>
      <c r="C75" s="590">
        <f t="shared" si="6"/>
        <v>1941594</v>
      </c>
      <c r="D75" s="590">
        <f t="shared" si="6"/>
        <v>4784675</v>
      </c>
      <c r="E75" s="590">
        <f t="shared" si="7"/>
        <v>2843081</v>
      </c>
    </row>
    <row r="76" spans="1:5" s="421" customFormat="1" x14ac:dyDescent="0.25">
      <c r="A76" s="588"/>
      <c r="B76" s="592" t="s">
        <v>793</v>
      </c>
      <c r="C76" s="593">
        <f>SUM(C70+C71+C74)</f>
        <v>147992113</v>
      </c>
      <c r="D76" s="593">
        <f>SUM(D70+D71+D74)</f>
        <v>150790319</v>
      </c>
      <c r="E76" s="593">
        <f t="shared" si="7"/>
        <v>2798206</v>
      </c>
    </row>
    <row r="77" spans="1:5" s="421" customFormat="1" x14ac:dyDescent="0.25">
      <c r="A77" s="588"/>
      <c r="B77" s="592" t="s">
        <v>726</v>
      </c>
      <c r="C77" s="593">
        <f>SUM(C69+C76)</f>
        <v>352755547</v>
      </c>
      <c r="D77" s="593">
        <f>SUM(D69+D76)</f>
        <v>365912372</v>
      </c>
      <c r="E77" s="593">
        <f t="shared" si="7"/>
        <v>13156825</v>
      </c>
    </row>
    <row r="78" spans="1:5" s="421" customFormat="1" x14ac:dyDescent="0.25">
      <c r="A78" s="582"/>
      <c r="B78" s="586"/>
      <c r="C78" s="570"/>
      <c r="D78" s="570"/>
      <c r="E78" s="587"/>
    </row>
    <row r="79" spans="1:5" s="421" customFormat="1" ht="15.75" customHeight="1" x14ac:dyDescent="0.3">
      <c r="A79" s="578" t="s">
        <v>44</v>
      </c>
      <c r="B79" s="579" t="s">
        <v>794</v>
      </c>
      <c r="C79" s="425"/>
      <c r="D79" s="425"/>
      <c r="E79" s="587"/>
    </row>
    <row r="80" spans="1:5" s="421" customFormat="1" x14ac:dyDescent="0.25">
      <c r="A80" s="582"/>
      <c r="B80" s="586"/>
      <c r="C80" s="425"/>
      <c r="D80" s="425"/>
      <c r="E80" s="587"/>
    </row>
    <row r="81" spans="1:5" s="421" customFormat="1" x14ac:dyDescent="0.25">
      <c r="A81" s="584" t="s">
        <v>14</v>
      </c>
      <c r="B81" s="598" t="s">
        <v>795</v>
      </c>
      <c r="C81" s="586"/>
      <c r="D81" s="586"/>
      <c r="E81" s="587"/>
    </row>
    <row r="82" spans="1:5" s="421" customFormat="1" x14ac:dyDescent="0.25">
      <c r="A82" s="588"/>
      <c r="B82" s="587"/>
      <c r="C82" s="590"/>
      <c r="D82" s="590"/>
      <c r="E82" s="587"/>
    </row>
    <row r="83" spans="1:5" s="421" customFormat="1" x14ac:dyDescent="0.25">
      <c r="A83" s="588">
        <v>1</v>
      </c>
      <c r="B83" s="587" t="s">
        <v>656</v>
      </c>
      <c r="C83" s="599">
        <f t="shared" ref="C83:D89" si="8">IF(C$44=0,0,C14/C$44)</f>
        <v>0.14017625753516896</v>
      </c>
      <c r="D83" s="599">
        <f t="shared" si="8"/>
        <v>0.13445526165053745</v>
      </c>
      <c r="E83" s="599">
        <f t="shared" ref="E83:E91" si="9">D83-C83</f>
        <v>-5.7209958846315134E-3</v>
      </c>
    </row>
    <row r="84" spans="1:5" s="421" customFormat="1" x14ac:dyDescent="0.25">
      <c r="A84" s="588">
        <v>2</v>
      </c>
      <c r="B84" s="587" t="s">
        <v>635</v>
      </c>
      <c r="C84" s="599">
        <f t="shared" si="8"/>
        <v>0.26437010919647519</v>
      </c>
      <c r="D84" s="599">
        <f t="shared" si="8"/>
        <v>0.24060841200715133</v>
      </c>
      <c r="E84" s="599">
        <f t="shared" si="9"/>
        <v>-2.376169718932386E-2</v>
      </c>
    </row>
    <row r="85" spans="1:5" s="421" customFormat="1" x14ac:dyDescent="0.25">
      <c r="A85" s="588">
        <v>3</v>
      </c>
      <c r="B85" s="587" t="s">
        <v>777</v>
      </c>
      <c r="C85" s="599">
        <f t="shared" si="8"/>
        <v>8.164026621145333E-2</v>
      </c>
      <c r="D85" s="599">
        <f t="shared" si="8"/>
        <v>8.4811445926469886E-2</v>
      </c>
      <c r="E85" s="599">
        <f t="shared" si="9"/>
        <v>3.171179715016556E-3</v>
      </c>
    </row>
    <row r="86" spans="1:5" s="421" customFormat="1" x14ac:dyDescent="0.25">
      <c r="A86" s="588">
        <v>4</v>
      </c>
      <c r="B86" s="587" t="s">
        <v>115</v>
      </c>
      <c r="C86" s="599">
        <f t="shared" si="8"/>
        <v>8.0321064820926227E-2</v>
      </c>
      <c r="D86" s="599">
        <f t="shared" si="8"/>
        <v>8.3601569538164125E-2</v>
      </c>
      <c r="E86" s="599">
        <f t="shared" si="9"/>
        <v>3.2805047172378976E-3</v>
      </c>
    </row>
    <row r="87" spans="1:5" s="421" customFormat="1" x14ac:dyDescent="0.25">
      <c r="A87" s="588">
        <v>5</v>
      </c>
      <c r="B87" s="587" t="s">
        <v>743</v>
      </c>
      <c r="C87" s="599">
        <f t="shared" si="8"/>
        <v>1.3192013905271101E-3</v>
      </c>
      <c r="D87" s="599">
        <f t="shared" si="8"/>
        <v>1.2098763883057677E-3</v>
      </c>
      <c r="E87" s="599">
        <f t="shared" si="9"/>
        <v>-1.0932500222134243E-4</v>
      </c>
    </row>
    <row r="88" spans="1:5" s="421" customFormat="1" x14ac:dyDescent="0.25">
      <c r="A88" s="588">
        <v>6</v>
      </c>
      <c r="B88" s="587" t="s">
        <v>424</v>
      </c>
      <c r="C88" s="599">
        <f t="shared" si="8"/>
        <v>2.7584492674403153E-4</v>
      </c>
      <c r="D88" s="599">
        <f t="shared" si="8"/>
        <v>3.6255962666248962E-4</v>
      </c>
      <c r="E88" s="599">
        <f t="shared" si="9"/>
        <v>8.6714699918458095E-5</v>
      </c>
    </row>
    <row r="89" spans="1:5" s="421" customFormat="1" x14ac:dyDescent="0.25">
      <c r="A89" s="588">
        <v>7</v>
      </c>
      <c r="B89" s="587" t="s">
        <v>758</v>
      </c>
      <c r="C89" s="599">
        <f t="shared" si="8"/>
        <v>6.1725312584561777E-3</v>
      </c>
      <c r="D89" s="599">
        <f t="shared" si="8"/>
        <v>5.5975672074860495E-3</v>
      </c>
      <c r="E89" s="599">
        <f t="shared" si="9"/>
        <v>-5.7496405097012815E-4</v>
      </c>
    </row>
    <row r="90" spans="1:5" s="421" customFormat="1" x14ac:dyDescent="0.25">
      <c r="A90" s="588"/>
      <c r="B90" s="592" t="s">
        <v>796</v>
      </c>
      <c r="C90" s="600">
        <f>SUM(C84+C85+C88)</f>
        <v>0.34628622033467255</v>
      </c>
      <c r="D90" s="600">
        <f>SUM(D84+D85+D88)</f>
        <v>0.3257824175602837</v>
      </c>
      <c r="E90" s="601">
        <f t="shared" si="9"/>
        <v>-2.0503802774388846E-2</v>
      </c>
    </row>
    <row r="91" spans="1:5" s="421" customFormat="1" x14ac:dyDescent="0.25">
      <c r="A91" s="588"/>
      <c r="B91" s="592" t="s">
        <v>797</v>
      </c>
      <c r="C91" s="600">
        <f>SUM(C83+C90)</f>
        <v>0.48646247786984154</v>
      </c>
      <c r="D91" s="600">
        <f>SUM(D83+D90)</f>
        <v>0.46023767921082115</v>
      </c>
      <c r="E91" s="601">
        <f t="shared" si="9"/>
        <v>-2.6224798659020387E-2</v>
      </c>
    </row>
    <row r="92" spans="1:5" s="421" customFormat="1" x14ac:dyDescent="0.25">
      <c r="A92" s="588"/>
      <c r="B92" s="577"/>
      <c r="C92" s="602"/>
      <c r="D92" s="602"/>
      <c r="E92" s="592"/>
    </row>
    <row r="93" spans="1:5" s="421" customFormat="1" x14ac:dyDescent="0.25">
      <c r="A93" s="584" t="s">
        <v>26</v>
      </c>
      <c r="B93" s="598" t="s">
        <v>798</v>
      </c>
      <c r="C93" s="602"/>
      <c r="D93" s="602"/>
      <c r="E93" s="592"/>
    </row>
    <row r="94" spans="1:5" s="421" customFormat="1" x14ac:dyDescent="0.25">
      <c r="A94" s="588"/>
      <c r="B94" s="587"/>
      <c r="C94" s="602"/>
      <c r="D94" s="602"/>
      <c r="E94" s="592"/>
    </row>
    <row r="95" spans="1:5" s="421" customFormat="1" x14ac:dyDescent="0.25">
      <c r="A95" s="588">
        <v>1</v>
      </c>
      <c r="B95" s="587" t="s">
        <v>656</v>
      </c>
      <c r="C95" s="599">
        <f t="shared" ref="C95:D101" si="10">IF(C$44=0,0,C25/C$44)</f>
        <v>0.26189973255733268</v>
      </c>
      <c r="D95" s="599">
        <f t="shared" si="10"/>
        <v>0.27141676799418096</v>
      </c>
      <c r="E95" s="599">
        <f t="shared" ref="E95:E103" si="11">D95-C95</f>
        <v>9.5170354368482868E-3</v>
      </c>
    </row>
    <row r="96" spans="1:5" s="421" customFormat="1" x14ac:dyDescent="0.25">
      <c r="A96" s="588">
        <v>2</v>
      </c>
      <c r="B96" s="587" t="s">
        <v>635</v>
      </c>
      <c r="C96" s="599">
        <f t="shared" si="10"/>
        <v>0.16144636555045835</v>
      </c>
      <c r="D96" s="599">
        <f t="shared" si="10"/>
        <v>0.17690173403940526</v>
      </c>
      <c r="E96" s="599">
        <f t="shared" si="11"/>
        <v>1.5455368488946908E-2</v>
      </c>
    </row>
    <row r="97" spans="1:5" s="421" customFormat="1" x14ac:dyDescent="0.25">
      <c r="A97" s="588">
        <v>3</v>
      </c>
      <c r="B97" s="587" t="s">
        <v>777</v>
      </c>
      <c r="C97" s="599">
        <f t="shared" si="10"/>
        <v>8.9791195351650893E-2</v>
      </c>
      <c r="D97" s="599">
        <f t="shared" si="10"/>
        <v>9.0927389912878118E-2</v>
      </c>
      <c r="E97" s="599">
        <f t="shared" si="11"/>
        <v>1.1361945612272245E-3</v>
      </c>
    </row>
    <row r="98" spans="1:5" s="421" customFormat="1" x14ac:dyDescent="0.25">
      <c r="A98" s="588">
        <v>4</v>
      </c>
      <c r="B98" s="587" t="s">
        <v>115</v>
      </c>
      <c r="C98" s="599">
        <f t="shared" si="10"/>
        <v>8.894512644019556E-2</v>
      </c>
      <c r="D98" s="599">
        <f t="shared" si="10"/>
        <v>9.001950574202304E-2</v>
      </c>
      <c r="E98" s="599">
        <f t="shared" si="11"/>
        <v>1.07437930182748E-3</v>
      </c>
    </row>
    <row r="99" spans="1:5" s="421" customFormat="1" x14ac:dyDescent="0.25">
      <c r="A99" s="588">
        <v>5</v>
      </c>
      <c r="B99" s="587" t="s">
        <v>743</v>
      </c>
      <c r="C99" s="599">
        <f t="shared" si="10"/>
        <v>8.4606891145533292E-4</v>
      </c>
      <c r="D99" s="599">
        <f t="shared" si="10"/>
        <v>9.0788417085507778E-4</v>
      </c>
      <c r="E99" s="599">
        <f t="shared" si="11"/>
        <v>6.1815259399744852E-5</v>
      </c>
    </row>
    <row r="100" spans="1:5" s="421" customFormat="1" x14ac:dyDescent="0.25">
      <c r="A100" s="588">
        <v>6</v>
      </c>
      <c r="B100" s="587" t="s">
        <v>424</v>
      </c>
      <c r="C100" s="599">
        <f t="shared" si="10"/>
        <v>4.0022867071656478E-4</v>
      </c>
      <c r="D100" s="599">
        <f t="shared" si="10"/>
        <v>5.1642884271445874E-4</v>
      </c>
      <c r="E100" s="599">
        <f t="shared" si="11"/>
        <v>1.1620017199789396E-4</v>
      </c>
    </row>
    <row r="101" spans="1:5" s="421" customFormat="1" x14ac:dyDescent="0.25">
      <c r="A101" s="588">
        <v>7</v>
      </c>
      <c r="B101" s="587" t="s">
        <v>758</v>
      </c>
      <c r="C101" s="599">
        <f t="shared" si="10"/>
        <v>2.9467362960412975E-2</v>
      </c>
      <c r="D101" s="599">
        <f t="shared" si="10"/>
        <v>3.075872403143742E-2</v>
      </c>
      <c r="E101" s="599">
        <f t="shared" si="11"/>
        <v>1.2913610710244446E-3</v>
      </c>
    </row>
    <row r="102" spans="1:5" s="421" customFormat="1" x14ac:dyDescent="0.25">
      <c r="A102" s="588"/>
      <c r="B102" s="592" t="s">
        <v>799</v>
      </c>
      <c r="C102" s="600">
        <f>SUM(C96+C97+C100)</f>
        <v>0.25163778957282579</v>
      </c>
      <c r="D102" s="600">
        <f>SUM(D96+D97+D100)</f>
        <v>0.26834555279499783</v>
      </c>
      <c r="E102" s="601">
        <f t="shared" si="11"/>
        <v>1.6707763222172045E-2</v>
      </c>
    </row>
    <row r="103" spans="1:5" s="421" customFormat="1" x14ac:dyDescent="0.25">
      <c r="A103" s="588"/>
      <c r="B103" s="592" t="s">
        <v>800</v>
      </c>
      <c r="C103" s="600">
        <f>SUM(C95+C102)</f>
        <v>0.51353752213015846</v>
      </c>
      <c r="D103" s="600">
        <f>SUM(D95+D102)</f>
        <v>0.53976232078917885</v>
      </c>
      <c r="E103" s="601">
        <f t="shared" si="11"/>
        <v>2.6224798659020387E-2</v>
      </c>
    </row>
    <row r="104" spans="1:5" s="421" customFormat="1" x14ac:dyDescent="0.25">
      <c r="A104" s="582"/>
      <c r="B104" s="603"/>
      <c r="C104" s="601"/>
      <c r="D104" s="599"/>
      <c r="E104" s="600"/>
    </row>
    <row r="105" spans="1:5" s="421" customFormat="1" x14ac:dyDescent="0.25">
      <c r="A105" s="582"/>
      <c r="B105" s="603" t="s">
        <v>801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5">
      <c r="A106" s="584"/>
      <c r="B106" s="586"/>
      <c r="C106" s="604"/>
      <c r="D106" s="604"/>
      <c r="E106" s="600"/>
    </row>
    <row r="107" spans="1:5" s="421" customFormat="1" x14ac:dyDescent="0.25">
      <c r="A107" s="584" t="s">
        <v>36</v>
      </c>
      <c r="B107" s="598" t="s">
        <v>802</v>
      </c>
      <c r="C107" s="604"/>
      <c r="D107" s="604"/>
      <c r="E107" s="600"/>
    </row>
    <row r="108" spans="1:5" s="421" customFormat="1" x14ac:dyDescent="0.25">
      <c r="A108" s="584"/>
      <c r="B108" s="586"/>
      <c r="C108" s="604"/>
      <c r="D108" s="604"/>
      <c r="E108" s="600"/>
    </row>
    <row r="109" spans="1:5" s="421" customFormat="1" x14ac:dyDescent="0.25">
      <c r="A109" s="588">
        <v>1</v>
      </c>
      <c r="B109" s="587" t="s">
        <v>656</v>
      </c>
      <c r="C109" s="599">
        <f t="shared" ref="C109:D115" si="12">IF(C$77=0,0,C47/C$77)</f>
        <v>0.21142934713369652</v>
      </c>
      <c r="D109" s="599">
        <f t="shared" si="12"/>
        <v>0.19178938284163838</v>
      </c>
      <c r="E109" s="599">
        <f t="shared" ref="E109:E117" si="13">D109-C109</f>
        <v>-1.9639964292058137E-2</v>
      </c>
    </row>
    <row r="110" spans="1:5" s="421" customFormat="1" x14ac:dyDescent="0.25">
      <c r="A110" s="588">
        <v>2</v>
      </c>
      <c r="B110" s="587" t="s">
        <v>635</v>
      </c>
      <c r="C110" s="599">
        <f t="shared" si="12"/>
        <v>0.22216890043687959</v>
      </c>
      <c r="D110" s="599">
        <f t="shared" si="12"/>
        <v>0.19033987732997451</v>
      </c>
      <c r="E110" s="599">
        <f t="shared" si="13"/>
        <v>-3.182902310690508E-2</v>
      </c>
    </row>
    <row r="111" spans="1:5" s="421" customFormat="1" x14ac:dyDescent="0.25">
      <c r="A111" s="588">
        <v>3</v>
      </c>
      <c r="B111" s="587" t="s">
        <v>777</v>
      </c>
      <c r="C111" s="599">
        <f t="shared" si="12"/>
        <v>5.3894239684344356E-2</v>
      </c>
      <c r="D111" s="599">
        <f t="shared" si="12"/>
        <v>5.5353643522061617E-2</v>
      </c>
      <c r="E111" s="599">
        <f t="shared" si="13"/>
        <v>1.4594038377172616E-3</v>
      </c>
    </row>
    <row r="112" spans="1:5" s="421" customFormat="1" x14ac:dyDescent="0.25">
      <c r="A112" s="588">
        <v>4</v>
      </c>
      <c r="B112" s="587" t="s">
        <v>115</v>
      </c>
      <c r="C112" s="599">
        <f t="shared" si="12"/>
        <v>5.3323890042188335E-2</v>
      </c>
      <c r="D112" s="599">
        <f t="shared" si="12"/>
        <v>5.4686352611220262E-2</v>
      </c>
      <c r="E112" s="599">
        <f t="shared" si="13"/>
        <v>1.3624625690319275E-3</v>
      </c>
    </row>
    <row r="113" spans="1:5" s="421" customFormat="1" x14ac:dyDescent="0.25">
      <c r="A113" s="588">
        <v>5</v>
      </c>
      <c r="B113" s="587" t="s">
        <v>743</v>
      </c>
      <c r="C113" s="599">
        <f t="shared" si="12"/>
        <v>5.7034964215601689E-4</v>
      </c>
      <c r="D113" s="599">
        <f t="shared" si="12"/>
        <v>6.6729091084135304E-4</v>
      </c>
      <c r="E113" s="599">
        <f t="shared" si="13"/>
        <v>9.6941268685336152E-5</v>
      </c>
    </row>
    <row r="114" spans="1:5" s="421" customFormat="1" x14ac:dyDescent="0.25">
      <c r="A114" s="588">
        <v>6</v>
      </c>
      <c r="B114" s="587" t="s">
        <v>424</v>
      </c>
      <c r="C114" s="599">
        <f t="shared" si="12"/>
        <v>2.8226345651199638E-4</v>
      </c>
      <c r="D114" s="599">
        <f t="shared" si="12"/>
        <v>3.4677974758393792E-4</v>
      </c>
      <c r="E114" s="599">
        <f t="shared" si="13"/>
        <v>6.4516291071941537E-5</v>
      </c>
    </row>
    <row r="115" spans="1:5" s="421" customFormat="1" x14ac:dyDescent="0.25">
      <c r="A115" s="588">
        <v>7</v>
      </c>
      <c r="B115" s="587" t="s">
        <v>758</v>
      </c>
      <c r="C115" s="599">
        <f t="shared" si="12"/>
        <v>7.1382293529178719E-4</v>
      </c>
      <c r="D115" s="599">
        <f t="shared" si="12"/>
        <v>2.6238959747444668E-3</v>
      </c>
      <c r="E115" s="599">
        <f t="shared" si="13"/>
        <v>1.9100730394526796E-3</v>
      </c>
    </row>
    <row r="116" spans="1:5" s="421" customFormat="1" x14ac:dyDescent="0.25">
      <c r="A116" s="588"/>
      <c r="B116" s="592" t="s">
        <v>796</v>
      </c>
      <c r="C116" s="600">
        <f>SUM(C110+C111+C114)</f>
        <v>0.27634540357773596</v>
      </c>
      <c r="D116" s="600">
        <f>SUM(D110+D111+D114)</f>
        <v>0.24604030059962007</v>
      </c>
      <c r="E116" s="601">
        <f t="shared" si="13"/>
        <v>-3.0305102978115894E-2</v>
      </c>
    </row>
    <row r="117" spans="1:5" s="421" customFormat="1" x14ac:dyDescent="0.25">
      <c r="A117" s="588"/>
      <c r="B117" s="592" t="s">
        <v>797</v>
      </c>
      <c r="C117" s="600">
        <f>SUM(C109+C116)</f>
        <v>0.4877747507114325</v>
      </c>
      <c r="D117" s="600">
        <f>SUM(D109+D116)</f>
        <v>0.43782968344125844</v>
      </c>
      <c r="E117" s="601">
        <f t="shared" si="13"/>
        <v>-4.9945067270174059E-2</v>
      </c>
    </row>
    <row r="118" spans="1:5" s="421" customFormat="1" x14ac:dyDescent="0.25">
      <c r="A118" s="584"/>
      <c r="B118" s="586"/>
      <c r="C118" s="602"/>
      <c r="D118" s="602"/>
      <c r="E118" s="600"/>
    </row>
    <row r="119" spans="1:5" s="421" customFormat="1" x14ac:dyDescent="0.25">
      <c r="A119" s="584" t="s">
        <v>170</v>
      </c>
      <c r="B119" s="598" t="s">
        <v>803</v>
      </c>
      <c r="C119" s="602"/>
      <c r="D119" s="602"/>
      <c r="E119" s="600"/>
    </row>
    <row r="120" spans="1:5" s="421" customFormat="1" x14ac:dyDescent="0.25">
      <c r="A120" s="584"/>
      <c r="B120" s="586"/>
      <c r="C120" s="602"/>
      <c r="D120" s="602"/>
      <c r="E120" s="600"/>
    </row>
    <row r="121" spans="1:5" s="421" customFormat="1" x14ac:dyDescent="0.25">
      <c r="A121" s="588">
        <v>1</v>
      </c>
      <c r="B121" s="587" t="s">
        <v>656</v>
      </c>
      <c r="C121" s="599">
        <f t="shared" ref="C121:D127" si="14">IF(C$77=0,0,C58/C$77)</f>
        <v>0.36903901329721683</v>
      </c>
      <c r="D121" s="599">
        <f t="shared" si="14"/>
        <v>0.39611654617679887</v>
      </c>
      <c r="E121" s="599">
        <f t="shared" ref="E121:E129" si="15">D121-C121</f>
        <v>2.7077532879582034E-2</v>
      </c>
    </row>
    <row r="122" spans="1:5" s="421" customFormat="1" x14ac:dyDescent="0.25">
      <c r="A122" s="588">
        <v>2</v>
      </c>
      <c r="B122" s="587" t="s">
        <v>635</v>
      </c>
      <c r="C122" s="599">
        <f t="shared" si="14"/>
        <v>8.1533728511432882E-2</v>
      </c>
      <c r="D122" s="599">
        <f t="shared" si="14"/>
        <v>0.10545312198407984</v>
      </c>
      <c r="E122" s="599">
        <f t="shared" si="15"/>
        <v>2.391939347264696E-2</v>
      </c>
    </row>
    <row r="123" spans="1:5" s="421" customFormat="1" x14ac:dyDescent="0.25">
      <c r="A123" s="588">
        <v>3</v>
      </c>
      <c r="B123" s="587" t="s">
        <v>777</v>
      </c>
      <c r="C123" s="599">
        <f t="shared" si="14"/>
        <v>6.1522060204484891E-2</v>
      </c>
      <c r="D123" s="599">
        <f t="shared" si="14"/>
        <v>6.0359544224429774E-2</v>
      </c>
      <c r="E123" s="599">
        <f t="shared" si="15"/>
        <v>-1.1625159800551163E-3</v>
      </c>
    </row>
    <row r="124" spans="1:5" s="421" customFormat="1" x14ac:dyDescent="0.25">
      <c r="A124" s="588">
        <v>4</v>
      </c>
      <c r="B124" s="587" t="s">
        <v>115</v>
      </c>
      <c r="C124" s="599">
        <f t="shared" si="14"/>
        <v>6.1234390738014392E-2</v>
      </c>
      <c r="D124" s="599">
        <f t="shared" si="14"/>
        <v>5.9701859438630843E-2</v>
      </c>
      <c r="E124" s="599">
        <f t="shared" si="15"/>
        <v>-1.5325312993835494E-3</v>
      </c>
    </row>
    <row r="125" spans="1:5" s="421" customFormat="1" x14ac:dyDescent="0.25">
      <c r="A125" s="588">
        <v>5</v>
      </c>
      <c r="B125" s="587" t="s">
        <v>743</v>
      </c>
      <c r="C125" s="599">
        <f t="shared" si="14"/>
        <v>2.8766946647050177E-4</v>
      </c>
      <c r="D125" s="599">
        <f t="shared" si="14"/>
        <v>6.5768478579893434E-4</v>
      </c>
      <c r="E125" s="599">
        <f t="shared" si="15"/>
        <v>3.7001531932843258E-4</v>
      </c>
    </row>
    <row r="126" spans="1:5" s="421" customFormat="1" x14ac:dyDescent="0.25">
      <c r="A126" s="588">
        <v>6</v>
      </c>
      <c r="B126" s="587" t="s">
        <v>424</v>
      </c>
      <c r="C126" s="599">
        <f t="shared" si="14"/>
        <v>1.3044727543292181E-4</v>
      </c>
      <c r="D126" s="599">
        <f t="shared" si="14"/>
        <v>2.4110417343308632E-4</v>
      </c>
      <c r="E126" s="599">
        <f t="shared" si="15"/>
        <v>1.1065689800016451E-4</v>
      </c>
    </row>
    <row r="127" spans="1:5" s="421" customFormat="1" x14ac:dyDescent="0.25">
      <c r="A127" s="588">
        <v>7</v>
      </c>
      <c r="B127" s="587" t="s">
        <v>758</v>
      </c>
      <c r="C127" s="599">
        <f t="shared" si="14"/>
        <v>4.7902549353816401E-3</v>
      </c>
      <c r="D127" s="599">
        <f t="shared" si="14"/>
        <v>1.0452117207996454E-2</v>
      </c>
      <c r="E127" s="599">
        <f t="shared" si="15"/>
        <v>5.6618622726148137E-3</v>
      </c>
    </row>
    <row r="128" spans="1:5" s="421" customFormat="1" x14ac:dyDescent="0.25">
      <c r="A128" s="588"/>
      <c r="B128" s="592" t="s">
        <v>799</v>
      </c>
      <c r="C128" s="600">
        <f>SUM(C122+C123+C126)</f>
        <v>0.14318623599135072</v>
      </c>
      <c r="D128" s="600">
        <f>SUM(D122+D123+D126)</f>
        <v>0.16605377038194272</v>
      </c>
      <c r="E128" s="601">
        <f t="shared" si="15"/>
        <v>2.2867534390591998E-2</v>
      </c>
    </row>
    <row r="129" spans="1:5" s="421" customFormat="1" x14ac:dyDescent="0.25">
      <c r="A129" s="588"/>
      <c r="B129" s="592" t="s">
        <v>800</v>
      </c>
      <c r="C129" s="600">
        <f>SUM(C121+C128)</f>
        <v>0.5122252492885675</v>
      </c>
      <c r="D129" s="600">
        <f>SUM(D121+D128)</f>
        <v>0.56217031655874161</v>
      </c>
      <c r="E129" s="601">
        <f t="shared" si="15"/>
        <v>4.9945067270174115E-2</v>
      </c>
    </row>
    <row r="130" spans="1:5" s="421" customFormat="1" x14ac:dyDescent="0.25">
      <c r="A130" s="588"/>
      <c r="B130" s="592"/>
      <c r="C130" s="601"/>
      <c r="D130" s="599"/>
      <c r="E130" s="600"/>
    </row>
    <row r="131" spans="1:5" s="421" customFormat="1" x14ac:dyDescent="0.25">
      <c r="A131" s="588"/>
      <c r="B131" s="603" t="s">
        <v>804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5">
      <c r="A132" s="588"/>
      <c r="B132" s="587"/>
      <c r="C132" s="590"/>
      <c r="D132" s="590"/>
      <c r="E132" s="587"/>
    </row>
    <row r="133" spans="1:5" s="421" customFormat="1" ht="15.75" customHeight="1" x14ac:dyDescent="0.3">
      <c r="A133" s="605" t="s">
        <v>135</v>
      </c>
      <c r="B133" s="579" t="s">
        <v>805</v>
      </c>
      <c r="C133" s="570"/>
      <c r="D133" s="570"/>
      <c r="E133" s="592"/>
    </row>
    <row r="134" spans="1:5" s="421" customFormat="1" x14ac:dyDescent="0.25">
      <c r="A134" s="588"/>
      <c r="B134" s="587"/>
      <c r="C134" s="425"/>
      <c r="D134" s="425"/>
      <c r="E134" s="587"/>
    </row>
    <row r="135" spans="1:5" s="421" customFormat="1" x14ac:dyDescent="0.25">
      <c r="A135" s="584" t="s">
        <v>14</v>
      </c>
      <c r="B135" s="585" t="s">
        <v>806</v>
      </c>
      <c r="C135" s="425"/>
      <c r="D135" s="425"/>
      <c r="E135" s="587"/>
    </row>
    <row r="136" spans="1:5" s="421" customFormat="1" x14ac:dyDescent="0.25">
      <c r="A136" s="588"/>
      <c r="B136" s="587"/>
      <c r="C136" s="587"/>
      <c r="D136" s="587"/>
      <c r="E136" s="587"/>
    </row>
    <row r="137" spans="1:5" s="421" customFormat="1" x14ac:dyDescent="0.25">
      <c r="A137" s="588">
        <v>1</v>
      </c>
      <c r="B137" s="587" t="s">
        <v>656</v>
      </c>
      <c r="C137" s="606">
        <v>4515</v>
      </c>
      <c r="D137" s="606">
        <v>4433</v>
      </c>
      <c r="E137" s="607">
        <f t="shared" ref="E137:E145" si="16">D137-C137</f>
        <v>-82</v>
      </c>
    </row>
    <row r="138" spans="1:5" s="421" customFormat="1" x14ac:dyDescent="0.25">
      <c r="A138" s="588">
        <v>2</v>
      </c>
      <c r="B138" s="587" t="s">
        <v>635</v>
      </c>
      <c r="C138" s="606">
        <v>5676</v>
      </c>
      <c r="D138" s="606">
        <v>5492</v>
      </c>
      <c r="E138" s="607">
        <f t="shared" si="16"/>
        <v>-184</v>
      </c>
    </row>
    <row r="139" spans="1:5" s="421" customFormat="1" x14ac:dyDescent="0.25">
      <c r="A139" s="588">
        <v>3</v>
      </c>
      <c r="B139" s="587" t="s">
        <v>777</v>
      </c>
      <c r="C139" s="606">
        <f>C140+C141</f>
        <v>2671</v>
      </c>
      <c r="D139" s="606">
        <f>D140+D141</f>
        <v>2713</v>
      </c>
      <c r="E139" s="607">
        <f t="shared" si="16"/>
        <v>42</v>
      </c>
    </row>
    <row r="140" spans="1:5" s="421" customFormat="1" x14ac:dyDescent="0.25">
      <c r="A140" s="588">
        <v>4</v>
      </c>
      <c r="B140" s="587" t="s">
        <v>115</v>
      </c>
      <c r="C140" s="606">
        <v>2638</v>
      </c>
      <c r="D140" s="606">
        <v>2678</v>
      </c>
      <c r="E140" s="607">
        <f t="shared" si="16"/>
        <v>40</v>
      </c>
    </row>
    <row r="141" spans="1:5" s="421" customFormat="1" x14ac:dyDescent="0.25">
      <c r="A141" s="588">
        <v>5</v>
      </c>
      <c r="B141" s="587" t="s">
        <v>743</v>
      </c>
      <c r="C141" s="606">
        <v>33</v>
      </c>
      <c r="D141" s="606">
        <v>35</v>
      </c>
      <c r="E141" s="607">
        <f t="shared" si="16"/>
        <v>2</v>
      </c>
    </row>
    <row r="142" spans="1:5" s="421" customFormat="1" x14ac:dyDescent="0.25">
      <c r="A142" s="588">
        <v>6</v>
      </c>
      <c r="B142" s="587" t="s">
        <v>424</v>
      </c>
      <c r="C142" s="606">
        <v>15</v>
      </c>
      <c r="D142" s="606">
        <v>9</v>
      </c>
      <c r="E142" s="607">
        <f t="shared" si="16"/>
        <v>-6</v>
      </c>
    </row>
    <row r="143" spans="1:5" s="421" customFormat="1" x14ac:dyDescent="0.25">
      <c r="A143" s="588">
        <v>7</v>
      </c>
      <c r="B143" s="587" t="s">
        <v>758</v>
      </c>
      <c r="C143" s="606">
        <v>203</v>
      </c>
      <c r="D143" s="606">
        <v>187</v>
      </c>
      <c r="E143" s="607">
        <f t="shared" si="16"/>
        <v>-16</v>
      </c>
    </row>
    <row r="144" spans="1:5" s="421" customFormat="1" x14ac:dyDescent="0.25">
      <c r="A144" s="588"/>
      <c r="B144" s="592" t="s">
        <v>807</v>
      </c>
      <c r="C144" s="608">
        <f>SUM(C138+C139+C142)</f>
        <v>8362</v>
      </c>
      <c r="D144" s="608">
        <f>SUM(D138+D139+D142)</f>
        <v>8214</v>
      </c>
      <c r="E144" s="609">
        <f t="shared" si="16"/>
        <v>-148</v>
      </c>
    </row>
    <row r="145" spans="1:5" s="421" customFormat="1" x14ac:dyDescent="0.25">
      <c r="A145" s="588"/>
      <c r="B145" s="592" t="s">
        <v>138</v>
      </c>
      <c r="C145" s="608">
        <f>SUM(C137+C144)</f>
        <v>12877</v>
      </c>
      <c r="D145" s="608">
        <f>SUM(D137+D144)</f>
        <v>12647</v>
      </c>
      <c r="E145" s="609">
        <f t="shared" si="16"/>
        <v>-230</v>
      </c>
    </row>
    <row r="146" spans="1:5" s="421" customFormat="1" x14ac:dyDescent="0.25">
      <c r="A146" s="588"/>
      <c r="B146" s="587"/>
      <c r="C146" s="610"/>
      <c r="D146" s="610"/>
      <c r="E146" s="587"/>
    </row>
    <row r="147" spans="1:5" s="421" customFormat="1" x14ac:dyDescent="0.25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5">
      <c r="A148" s="588"/>
      <c r="B148" s="587"/>
      <c r="C148" s="610"/>
      <c r="D148" s="610"/>
      <c r="E148" s="587"/>
    </row>
    <row r="149" spans="1:5" s="421" customFormat="1" x14ac:dyDescent="0.25">
      <c r="A149" s="588">
        <v>1</v>
      </c>
      <c r="B149" s="587" t="s">
        <v>656</v>
      </c>
      <c r="C149" s="610">
        <v>16025</v>
      </c>
      <c r="D149" s="610">
        <v>15399</v>
      </c>
      <c r="E149" s="607">
        <f t="shared" ref="E149:E157" si="17">D149-C149</f>
        <v>-626</v>
      </c>
    </row>
    <row r="150" spans="1:5" s="421" customFormat="1" x14ac:dyDescent="0.25">
      <c r="A150" s="588">
        <v>2</v>
      </c>
      <c r="B150" s="587" t="s">
        <v>635</v>
      </c>
      <c r="C150" s="610">
        <v>31093</v>
      </c>
      <c r="D150" s="610">
        <v>27104</v>
      </c>
      <c r="E150" s="607">
        <f t="shared" si="17"/>
        <v>-3989</v>
      </c>
    </row>
    <row r="151" spans="1:5" s="421" customFormat="1" x14ac:dyDescent="0.25">
      <c r="A151" s="588">
        <v>3</v>
      </c>
      <c r="B151" s="587" t="s">
        <v>777</v>
      </c>
      <c r="C151" s="610">
        <f>C152+C153</f>
        <v>10855</v>
      </c>
      <c r="D151" s="610">
        <f>D152+D153</f>
        <v>11520</v>
      </c>
      <c r="E151" s="607">
        <f t="shared" si="17"/>
        <v>665</v>
      </c>
    </row>
    <row r="152" spans="1:5" s="421" customFormat="1" x14ac:dyDescent="0.25">
      <c r="A152" s="588">
        <v>4</v>
      </c>
      <c r="B152" s="587" t="s">
        <v>115</v>
      </c>
      <c r="C152" s="610">
        <v>10687</v>
      </c>
      <c r="D152" s="610">
        <v>11333</v>
      </c>
      <c r="E152" s="607">
        <f t="shared" si="17"/>
        <v>646</v>
      </c>
    </row>
    <row r="153" spans="1:5" s="421" customFormat="1" x14ac:dyDescent="0.25">
      <c r="A153" s="588">
        <v>5</v>
      </c>
      <c r="B153" s="587" t="s">
        <v>743</v>
      </c>
      <c r="C153" s="611">
        <v>168</v>
      </c>
      <c r="D153" s="610">
        <v>187</v>
      </c>
      <c r="E153" s="607">
        <f t="shared" si="17"/>
        <v>19</v>
      </c>
    </row>
    <row r="154" spans="1:5" s="421" customFormat="1" x14ac:dyDescent="0.25">
      <c r="A154" s="588">
        <v>6</v>
      </c>
      <c r="B154" s="587" t="s">
        <v>424</v>
      </c>
      <c r="C154" s="610">
        <v>38</v>
      </c>
      <c r="D154" s="610">
        <v>27</v>
      </c>
      <c r="E154" s="607">
        <f t="shared" si="17"/>
        <v>-11</v>
      </c>
    </row>
    <row r="155" spans="1:5" s="421" customFormat="1" x14ac:dyDescent="0.25">
      <c r="A155" s="588">
        <v>7</v>
      </c>
      <c r="B155" s="587" t="s">
        <v>758</v>
      </c>
      <c r="C155" s="610">
        <v>784</v>
      </c>
      <c r="D155" s="610">
        <v>649</v>
      </c>
      <c r="E155" s="607">
        <f t="shared" si="17"/>
        <v>-135</v>
      </c>
    </row>
    <row r="156" spans="1:5" s="421" customFormat="1" x14ac:dyDescent="0.25">
      <c r="A156" s="588"/>
      <c r="B156" s="592" t="s">
        <v>808</v>
      </c>
      <c r="C156" s="608">
        <f>SUM(C150+C151+C154)</f>
        <v>41986</v>
      </c>
      <c r="D156" s="608">
        <f>SUM(D150+D151+D154)</f>
        <v>38651</v>
      </c>
      <c r="E156" s="609">
        <f t="shared" si="17"/>
        <v>-3335</v>
      </c>
    </row>
    <row r="157" spans="1:5" s="421" customFormat="1" x14ac:dyDescent="0.25">
      <c r="A157" s="588"/>
      <c r="B157" s="592" t="s">
        <v>140</v>
      </c>
      <c r="C157" s="608">
        <f>SUM(C149+C156)</f>
        <v>58011</v>
      </c>
      <c r="D157" s="608">
        <f>SUM(D149+D156)</f>
        <v>54050</v>
      </c>
      <c r="E157" s="609">
        <f t="shared" si="17"/>
        <v>-3961</v>
      </c>
    </row>
    <row r="158" spans="1:5" s="421" customFormat="1" x14ac:dyDescent="0.25">
      <c r="A158" s="588"/>
      <c r="B158" s="587"/>
      <c r="C158" s="610"/>
      <c r="D158" s="610"/>
      <c r="E158" s="587"/>
    </row>
    <row r="159" spans="1:5" s="421" customFormat="1" x14ac:dyDescent="0.25">
      <c r="A159" s="584" t="s">
        <v>36</v>
      </c>
      <c r="B159" s="585" t="s">
        <v>809</v>
      </c>
      <c r="C159" s="610"/>
      <c r="D159" s="610"/>
      <c r="E159" s="587"/>
    </row>
    <row r="160" spans="1:5" s="421" customFormat="1" x14ac:dyDescent="0.25">
      <c r="A160" s="588"/>
      <c r="B160" s="587"/>
      <c r="C160" s="610"/>
      <c r="D160" s="610"/>
      <c r="E160" s="587"/>
    </row>
    <row r="161" spans="1:5" s="421" customFormat="1" x14ac:dyDescent="0.25">
      <c r="A161" s="588">
        <v>1</v>
      </c>
      <c r="B161" s="587" t="s">
        <v>656</v>
      </c>
      <c r="C161" s="612">
        <f t="shared" ref="C161:D169" si="18">IF(C137=0,0,C149/C137)</f>
        <v>3.5492801771871538</v>
      </c>
      <c r="D161" s="612">
        <f t="shared" si="18"/>
        <v>3.4737198285585382</v>
      </c>
      <c r="E161" s="613">
        <f t="shared" ref="E161:E169" si="19">D161-C161</f>
        <v>-7.5560348628615603E-2</v>
      </c>
    </row>
    <row r="162" spans="1:5" s="421" customFormat="1" x14ac:dyDescent="0.25">
      <c r="A162" s="588">
        <v>2</v>
      </c>
      <c r="B162" s="587" t="s">
        <v>635</v>
      </c>
      <c r="C162" s="612">
        <f t="shared" si="18"/>
        <v>5.4779774489076818</v>
      </c>
      <c r="D162" s="612">
        <f t="shared" si="18"/>
        <v>4.9351784413692643</v>
      </c>
      <c r="E162" s="613">
        <f t="shared" si="19"/>
        <v>-0.54279900753841748</v>
      </c>
    </row>
    <row r="163" spans="1:5" s="421" customFormat="1" x14ac:dyDescent="0.25">
      <c r="A163" s="588">
        <v>3</v>
      </c>
      <c r="B163" s="587" t="s">
        <v>777</v>
      </c>
      <c r="C163" s="612">
        <f t="shared" si="18"/>
        <v>4.0640209659303634</v>
      </c>
      <c r="D163" s="612">
        <f t="shared" si="18"/>
        <v>4.2462218945816437</v>
      </c>
      <c r="E163" s="613">
        <f t="shared" si="19"/>
        <v>0.18220092865128024</v>
      </c>
    </row>
    <row r="164" spans="1:5" s="421" customFormat="1" x14ac:dyDescent="0.25">
      <c r="A164" s="588">
        <v>4</v>
      </c>
      <c r="B164" s="587" t="s">
        <v>115</v>
      </c>
      <c r="C164" s="612">
        <f t="shared" si="18"/>
        <v>4.0511751326762697</v>
      </c>
      <c r="D164" s="612">
        <f t="shared" si="18"/>
        <v>4.2318894697535478</v>
      </c>
      <c r="E164" s="613">
        <f t="shared" si="19"/>
        <v>0.18071433707727813</v>
      </c>
    </row>
    <row r="165" spans="1:5" s="421" customFormat="1" x14ac:dyDescent="0.25">
      <c r="A165" s="588">
        <v>5</v>
      </c>
      <c r="B165" s="587" t="s">
        <v>743</v>
      </c>
      <c r="C165" s="612">
        <f t="shared" si="18"/>
        <v>5.0909090909090908</v>
      </c>
      <c r="D165" s="612">
        <f t="shared" si="18"/>
        <v>5.3428571428571425</v>
      </c>
      <c r="E165" s="613">
        <f t="shared" si="19"/>
        <v>0.2519480519480517</v>
      </c>
    </row>
    <row r="166" spans="1:5" s="421" customFormat="1" x14ac:dyDescent="0.25">
      <c r="A166" s="588">
        <v>6</v>
      </c>
      <c r="B166" s="587" t="s">
        <v>424</v>
      </c>
      <c r="C166" s="612">
        <f t="shared" si="18"/>
        <v>2.5333333333333332</v>
      </c>
      <c r="D166" s="612">
        <f t="shared" si="18"/>
        <v>3</v>
      </c>
      <c r="E166" s="613">
        <f t="shared" si="19"/>
        <v>0.46666666666666679</v>
      </c>
    </row>
    <row r="167" spans="1:5" s="421" customFormat="1" x14ac:dyDescent="0.25">
      <c r="A167" s="588">
        <v>7</v>
      </c>
      <c r="B167" s="587" t="s">
        <v>758</v>
      </c>
      <c r="C167" s="612">
        <f t="shared" si="18"/>
        <v>3.8620689655172415</v>
      </c>
      <c r="D167" s="612">
        <f t="shared" si="18"/>
        <v>3.4705882352941178</v>
      </c>
      <c r="E167" s="613">
        <f t="shared" si="19"/>
        <v>-0.3914807302231238</v>
      </c>
    </row>
    <row r="168" spans="1:5" s="421" customFormat="1" x14ac:dyDescent="0.25">
      <c r="A168" s="588"/>
      <c r="B168" s="592" t="s">
        <v>810</v>
      </c>
      <c r="C168" s="614">
        <f t="shared" si="18"/>
        <v>5.0210475962688355</v>
      </c>
      <c r="D168" s="614">
        <f t="shared" si="18"/>
        <v>4.7055028000973946</v>
      </c>
      <c r="E168" s="615">
        <f t="shared" si="19"/>
        <v>-0.31554479617144082</v>
      </c>
    </row>
    <row r="169" spans="1:5" s="421" customFormat="1" x14ac:dyDescent="0.25">
      <c r="A169" s="588"/>
      <c r="B169" s="592" t="s">
        <v>744</v>
      </c>
      <c r="C169" s="614">
        <f t="shared" si="18"/>
        <v>4.5050089306515488</v>
      </c>
      <c r="D169" s="614">
        <f t="shared" si="18"/>
        <v>4.2737408080967816</v>
      </c>
      <c r="E169" s="615">
        <f t="shared" si="19"/>
        <v>-0.23126812255476725</v>
      </c>
    </row>
    <row r="170" spans="1:5" s="421" customFormat="1" x14ac:dyDescent="0.25">
      <c r="A170" s="588"/>
      <c r="B170" s="587"/>
      <c r="C170" s="610"/>
      <c r="D170" s="610"/>
      <c r="E170" s="616"/>
    </row>
    <row r="171" spans="1:5" s="421" customFormat="1" x14ac:dyDescent="0.25">
      <c r="A171" s="584" t="s">
        <v>170</v>
      </c>
      <c r="B171" s="585" t="s">
        <v>811</v>
      </c>
      <c r="C171" s="587"/>
      <c r="D171" s="587"/>
      <c r="E171" s="616"/>
    </row>
    <row r="172" spans="1:5" s="421" customFormat="1" x14ac:dyDescent="0.25">
      <c r="A172" s="588"/>
      <c r="B172" s="587"/>
      <c r="C172" s="587"/>
      <c r="D172" s="587"/>
      <c r="E172" s="616"/>
    </row>
    <row r="173" spans="1:5" s="421" customFormat="1" x14ac:dyDescent="0.25">
      <c r="A173" s="588">
        <v>1</v>
      </c>
      <c r="B173" s="587" t="s">
        <v>656</v>
      </c>
      <c r="C173" s="617">
        <f t="shared" ref="C173:D181" si="20">IF(C137=0,0,C203/C137)</f>
        <v>1.0504100000000001</v>
      </c>
      <c r="D173" s="617">
        <f t="shared" si="20"/>
        <v>1.1152</v>
      </c>
      <c r="E173" s="618">
        <f t="shared" ref="E173:E181" si="21">D173-C173</f>
        <v>6.4789999999999903E-2</v>
      </c>
    </row>
    <row r="174" spans="1:5" s="421" customFormat="1" x14ac:dyDescent="0.25">
      <c r="A174" s="588">
        <v>2</v>
      </c>
      <c r="B174" s="587" t="s">
        <v>635</v>
      </c>
      <c r="C174" s="617">
        <f t="shared" si="20"/>
        <v>1.41479</v>
      </c>
      <c r="D174" s="617">
        <f t="shared" si="20"/>
        <v>1.4616</v>
      </c>
      <c r="E174" s="618">
        <f t="shared" si="21"/>
        <v>4.6810000000000018E-2</v>
      </c>
    </row>
    <row r="175" spans="1:5" s="421" customFormat="1" x14ac:dyDescent="0.25">
      <c r="A175" s="588">
        <v>3</v>
      </c>
      <c r="B175" s="587" t="s">
        <v>777</v>
      </c>
      <c r="C175" s="617">
        <f t="shared" si="20"/>
        <v>0.93491506551853243</v>
      </c>
      <c r="D175" s="617">
        <f t="shared" si="20"/>
        <v>1.0447438997419829</v>
      </c>
      <c r="E175" s="618">
        <f t="shared" si="21"/>
        <v>0.10982883422345047</v>
      </c>
    </row>
    <row r="176" spans="1:5" s="421" customFormat="1" x14ac:dyDescent="0.25">
      <c r="A176" s="588">
        <v>4</v>
      </c>
      <c r="B176" s="587" t="s">
        <v>115</v>
      </c>
      <c r="C176" s="617">
        <f t="shared" si="20"/>
        <v>0.93061999999999989</v>
      </c>
      <c r="D176" s="617">
        <f t="shared" si="20"/>
        <v>1.0448999999999999</v>
      </c>
      <c r="E176" s="618">
        <f t="shared" si="21"/>
        <v>0.11428000000000005</v>
      </c>
    </row>
    <row r="177" spans="1:5" s="421" customFormat="1" x14ac:dyDescent="0.25">
      <c r="A177" s="588">
        <v>5</v>
      </c>
      <c r="B177" s="587" t="s">
        <v>743</v>
      </c>
      <c r="C177" s="617">
        <f t="shared" si="20"/>
        <v>1.27826</v>
      </c>
      <c r="D177" s="617">
        <f t="shared" si="20"/>
        <v>1.0327999999999999</v>
      </c>
      <c r="E177" s="618">
        <f t="shared" si="21"/>
        <v>-0.24546000000000001</v>
      </c>
    </row>
    <row r="178" spans="1:5" s="421" customFormat="1" x14ac:dyDescent="0.25">
      <c r="A178" s="588">
        <v>6</v>
      </c>
      <c r="B178" s="587" t="s">
        <v>424</v>
      </c>
      <c r="C178" s="617">
        <f t="shared" si="20"/>
        <v>0.68359999999999999</v>
      </c>
      <c r="D178" s="617">
        <f t="shared" si="20"/>
        <v>2.1718000000000002</v>
      </c>
      <c r="E178" s="618">
        <f t="shared" si="21"/>
        <v>1.4882000000000002</v>
      </c>
    </row>
    <row r="179" spans="1:5" s="421" customFormat="1" x14ac:dyDescent="0.25">
      <c r="A179" s="588">
        <v>7</v>
      </c>
      <c r="B179" s="587" t="s">
        <v>758</v>
      </c>
      <c r="C179" s="617">
        <f t="shared" si="20"/>
        <v>1.0284199999999999</v>
      </c>
      <c r="D179" s="617">
        <f t="shared" si="20"/>
        <v>1.0905</v>
      </c>
      <c r="E179" s="618">
        <f t="shared" si="21"/>
        <v>6.2080000000000135E-2</v>
      </c>
    </row>
    <row r="180" spans="1:5" s="421" customFormat="1" x14ac:dyDescent="0.25">
      <c r="A180" s="588"/>
      <c r="B180" s="592" t="s">
        <v>812</v>
      </c>
      <c r="C180" s="619">
        <f t="shared" si="20"/>
        <v>1.2601961468548195</v>
      </c>
      <c r="D180" s="619">
        <f t="shared" si="20"/>
        <v>1.3246948624299977</v>
      </c>
      <c r="E180" s="620">
        <f t="shared" si="21"/>
        <v>6.4498715575178167E-2</v>
      </c>
    </row>
    <row r="181" spans="1:5" s="421" customFormat="1" x14ac:dyDescent="0.25">
      <c r="A181" s="588"/>
      <c r="B181" s="592" t="s">
        <v>723</v>
      </c>
      <c r="C181" s="619">
        <f t="shared" si="20"/>
        <v>1.1866398485672129</v>
      </c>
      <c r="D181" s="619">
        <f t="shared" si="20"/>
        <v>1.2512631612240057</v>
      </c>
      <c r="E181" s="620">
        <f t="shared" si="21"/>
        <v>6.4623312656792775E-2</v>
      </c>
    </row>
    <row r="182" spans="1:5" s="421" customFormat="1" x14ac:dyDescent="0.25">
      <c r="A182" s="584"/>
      <c r="B182" s="587"/>
      <c r="C182" s="621"/>
      <c r="D182" s="621"/>
      <c r="E182" s="587"/>
    </row>
    <row r="183" spans="1:5" s="421" customFormat="1" x14ac:dyDescent="0.25">
      <c r="A183" s="584" t="s">
        <v>175</v>
      </c>
      <c r="B183" s="585" t="s">
        <v>813</v>
      </c>
      <c r="C183" s="425"/>
      <c r="D183" s="425"/>
      <c r="E183" s="587"/>
    </row>
    <row r="184" spans="1:5" s="421" customFormat="1" x14ac:dyDescent="0.25">
      <c r="A184" s="582"/>
      <c r="B184" s="587"/>
      <c r="C184" s="621"/>
      <c r="D184" s="621"/>
      <c r="E184" s="587"/>
    </row>
    <row r="185" spans="1:5" s="421" customFormat="1" x14ac:dyDescent="0.25">
      <c r="A185" s="588">
        <v>1</v>
      </c>
      <c r="B185" s="587" t="s">
        <v>814</v>
      </c>
      <c r="C185" s="589">
        <v>346306745</v>
      </c>
      <c r="D185" s="589">
        <v>374839328</v>
      </c>
      <c r="E185" s="590">
        <f>D185-C185</f>
        <v>28532583</v>
      </c>
    </row>
    <row r="186" spans="1:5" s="421" customFormat="1" ht="26.4" x14ac:dyDescent="0.25">
      <c r="A186" s="588">
        <v>2</v>
      </c>
      <c r="B186" s="587" t="s">
        <v>815</v>
      </c>
      <c r="C186" s="589">
        <v>202821840</v>
      </c>
      <c r="D186" s="589">
        <v>210337378</v>
      </c>
      <c r="E186" s="590">
        <f>D186-C186</f>
        <v>7515538</v>
      </c>
    </row>
    <row r="187" spans="1:5" s="421" customFormat="1" x14ac:dyDescent="0.25">
      <c r="A187" s="588"/>
      <c r="B187" s="587" t="s">
        <v>668</v>
      </c>
      <c r="C187" s="586"/>
      <c r="D187" s="586"/>
      <c r="E187" s="587"/>
    </row>
    <row r="188" spans="1:5" s="421" customFormat="1" x14ac:dyDescent="0.25">
      <c r="A188" s="588">
        <v>3</v>
      </c>
      <c r="B188" s="587" t="s">
        <v>747</v>
      </c>
      <c r="C188" s="622">
        <f>+C185-C186</f>
        <v>143484905</v>
      </c>
      <c r="D188" s="622">
        <f>+D185-D186</f>
        <v>164501950</v>
      </c>
      <c r="E188" s="590">
        <f t="shared" ref="E188:E197" si="22">D188-C188</f>
        <v>21017045</v>
      </c>
    </row>
    <row r="189" spans="1:5" s="421" customFormat="1" x14ac:dyDescent="0.25">
      <c r="A189" s="588">
        <v>4</v>
      </c>
      <c r="B189" s="587" t="s">
        <v>670</v>
      </c>
      <c r="C189" s="623">
        <f>IF(C185=0,0,+C188/C185)</f>
        <v>0.41432893546442473</v>
      </c>
      <c r="D189" s="623">
        <f>IF(D185=0,0,+D188/D185)</f>
        <v>0.43885989999427166</v>
      </c>
      <c r="E189" s="599">
        <f t="shared" si="22"/>
        <v>2.4530964529846933E-2</v>
      </c>
    </row>
    <row r="190" spans="1:5" s="421" customFormat="1" x14ac:dyDescent="0.25">
      <c r="A190" s="588">
        <v>5</v>
      </c>
      <c r="B190" s="587" t="s">
        <v>762</v>
      </c>
      <c r="C190" s="589">
        <v>18479767</v>
      </c>
      <c r="D190" s="589">
        <v>17006632</v>
      </c>
      <c r="E190" s="622">
        <f t="shared" si="22"/>
        <v>-1473135</v>
      </c>
    </row>
    <row r="191" spans="1:5" s="421" customFormat="1" x14ac:dyDescent="0.25">
      <c r="A191" s="588">
        <v>6</v>
      </c>
      <c r="B191" s="587" t="s">
        <v>748</v>
      </c>
      <c r="C191" s="589">
        <v>12193961</v>
      </c>
      <c r="D191" s="589">
        <v>10783544</v>
      </c>
      <c r="E191" s="622">
        <f t="shared" si="22"/>
        <v>-1410417</v>
      </c>
    </row>
    <row r="192" spans="1:5" ht="27.6" x14ac:dyDescent="0.25">
      <c r="A192" s="588">
        <v>7</v>
      </c>
      <c r="B192" s="624" t="s">
        <v>816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5">
      <c r="A193" s="588">
        <v>8</v>
      </c>
      <c r="B193" s="587" t="s">
        <v>817</v>
      </c>
      <c r="C193" s="589">
        <v>15719561</v>
      </c>
      <c r="D193" s="589">
        <v>18588723</v>
      </c>
      <c r="E193" s="622">
        <f t="shared" si="22"/>
        <v>2869162</v>
      </c>
    </row>
    <row r="194" spans="1:5" s="421" customFormat="1" x14ac:dyDescent="0.25">
      <c r="A194" s="588">
        <v>9</v>
      </c>
      <c r="B194" s="587" t="s">
        <v>818</v>
      </c>
      <c r="C194" s="589">
        <v>13113368</v>
      </c>
      <c r="D194" s="589">
        <v>12856802</v>
      </c>
      <c r="E194" s="622">
        <f t="shared" si="22"/>
        <v>-256566</v>
      </c>
    </row>
    <row r="195" spans="1:5" s="421" customFormat="1" x14ac:dyDescent="0.25">
      <c r="A195" s="588">
        <v>10</v>
      </c>
      <c r="B195" s="587" t="s">
        <v>819</v>
      </c>
      <c r="C195" s="589">
        <f>+C193+C194</f>
        <v>28832929</v>
      </c>
      <c r="D195" s="589">
        <f>+D193+D194</f>
        <v>31445525</v>
      </c>
      <c r="E195" s="625">
        <f t="shared" si="22"/>
        <v>2612596</v>
      </c>
    </row>
    <row r="196" spans="1:5" s="421" customFormat="1" x14ac:dyDescent="0.25">
      <c r="A196" s="588">
        <v>11</v>
      </c>
      <c r="B196" s="587" t="s">
        <v>820</v>
      </c>
      <c r="C196" s="589">
        <v>14524481</v>
      </c>
      <c r="D196" s="589">
        <v>12937127</v>
      </c>
      <c r="E196" s="622">
        <f t="shared" si="22"/>
        <v>-1587354</v>
      </c>
    </row>
    <row r="197" spans="1:5" s="421" customFormat="1" x14ac:dyDescent="0.25">
      <c r="A197" s="588">
        <v>12</v>
      </c>
      <c r="B197" s="587" t="s">
        <v>710</v>
      </c>
      <c r="C197" s="589">
        <v>354816000</v>
      </c>
      <c r="D197" s="589">
        <v>382146747</v>
      </c>
      <c r="E197" s="622">
        <f t="shared" si="22"/>
        <v>27330747</v>
      </c>
    </row>
    <row r="198" spans="1:5" s="421" customFormat="1" x14ac:dyDescent="0.25">
      <c r="A198" s="588"/>
      <c r="B198" s="587"/>
      <c r="C198" s="589"/>
      <c r="D198" s="589"/>
      <c r="E198" s="586"/>
    </row>
    <row r="199" spans="1:5" s="421" customFormat="1" ht="15.75" customHeight="1" x14ac:dyDescent="0.3">
      <c r="A199" s="605" t="s">
        <v>143</v>
      </c>
      <c r="B199" s="626" t="s">
        <v>821</v>
      </c>
      <c r="C199" s="586"/>
      <c r="D199" s="586"/>
      <c r="E199" s="586"/>
    </row>
    <row r="200" spans="1:5" s="421" customFormat="1" x14ac:dyDescent="0.25">
      <c r="A200" s="584"/>
      <c r="B200" s="627"/>
      <c r="C200" s="586"/>
      <c r="D200" s="586"/>
      <c r="E200" s="586"/>
    </row>
    <row r="201" spans="1:5" s="421" customFormat="1" x14ac:dyDescent="0.25">
      <c r="A201" s="584" t="s">
        <v>14</v>
      </c>
      <c r="B201" s="585" t="s">
        <v>822</v>
      </c>
      <c r="C201" s="586"/>
      <c r="D201" s="586"/>
      <c r="E201" s="586"/>
    </row>
    <row r="202" spans="1:5" s="421" customFormat="1" x14ac:dyDescent="0.25">
      <c r="B202" s="628"/>
      <c r="C202" s="586"/>
      <c r="D202" s="586"/>
      <c r="E202" s="586"/>
    </row>
    <row r="203" spans="1:5" s="421" customFormat="1" x14ac:dyDescent="0.25">
      <c r="A203" s="588">
        <v>1</v>
      </c>
      <c r="B203" s="587" t="s">
        <v>656</v>
      </c>
      <c r="C203" s="629">
        <v>4742.6011500000004</v>
      </c>
      <c r="D203" s="629">
        <v>4943.6815999999999</v>
      </c>
      <c r="E203" s="630">
        <f t="shared" ref="E203:E211" si="23">D203-C203</f>
        <v>201.08044999999947</v>
      </c>
    </row>
    <row r="204" spans="1:5" s="421" customFormat="1" x14ac:dyDescent="0.25">
      <c r="A204" s="588">
        <v>2</v>
      </c>
      <c r="B204" s="587" t="s">
        <v>635</v>
      </c>
      <c r="C204" s="629">
        <v>8030.3480399999999</v>
      </c>
      <c r="D204" s="629">
        <v>8027.1072000000004</v>
      </c>
      <c r="E204" s="630">
        <f t="shared" si="23"/>
        <v>-3.2408399999994799</v>
      </c>
    </row>
    <row r="205" spans="1:5" s="421" customFormat="1" x14ac:dyDescent="0.25">
      <c r="A205" s="588">
        <v>3</v>
      </c>
      <c r="B205" s="587" t="s">
        <v>777</v>
      </c>
      <c r="C205" s="629">
        <f>C206+C207</f>
        <v>2497.15814</v>
      </c>
      <c r="D205" s="629">
        <f>D206+D207</f>
        <v>2834.3901999999998</v>
      </c>
      <c r="E205" s="630">
        <f t="shared" si="23"/>
        <v>337.23205999999982</v>
      </c>
    </row>
    <row r="206" spans="1:5" s="421" customFormat="1" x14ac:dyDescent="0.25">
      <c r="A206" s="588">
        <v>4</v>
      </c>
      <c r="B206" s="587" t="s">
        <v>115</v>
      </c>
      <c r="C206" s="629">
        <v>2454.9755599999999</v>
      </c>
      <c r="D206" s="629">
        <v>2798.2421999999997</v>
      </c>
      <c r="E206" s="630">
        <f t="shared" si="23"/>
        <v>343.26663999999982</v>
      </c>
    </row>
    <row r="207" spans="1:5" s="421" customFormat="1" x14ac:dyDescent="0.25">
      <c r="A207" s="588">
        <v>5</v>
      </c>
      <c r="B207" s="587" t="s">
        <v>743</v>
      </c>
      <c r="C207" s="629">
        <v>42.182580000000002</v>
      </c>
      <c r="D207" s="629">
        <v>36.147999999999996</v>
      </c>
      <c r="E207" s="630">
        <f t="shared" si="23"/>
        <v>-6.0345800000000054</v>
      </c>
    </row>
    <row r="208" spans="1:5" s="421" customFormat="1" x14ac:dyDescent="0.25">
      <c r="A208" s="588">
        <v>6</v>
      </c>
      <c r="B208" s="587" t="s">
        <v>424</v>
      </c>
      <c r="C208" s="629">
        <v>10.254</v>
      </c>
      <c r="D208" s="629">
        <v>19.546200000000002</v>
      </c>
      <c r="E208" s="630">
        <f t="shared" si="23"/>
        <v>9.2922000000000029</v>
      </c>
    </row>
    <row r="209" spans="1:5" s="421" customFormat="1" x14ac:dyDescent="0.25">
      <c r="A209" s="588">
        <v>7</v>
      </c>
      <c r="B209" s="587" t="s">
        <v>758</v>
      </c>
      <c r="C209" s="629">
        <v>208.76925999999997</v>
      </c>
      <c r="D209" s="629">
        <v>203.92350000000002</v>
      </c>
      <c r="E209" s="630">
        <f t="shared" si="23"/>
        <v>-4.8457599999999559</v>
      </c>
    </row>
    <row r="210" spans="1:5" s="421" customFormat="1" x14ac:dyDescent="0.25">
      <c r="A210" s="588"/>
      <c r="B210" s="592" t="s">
        <v>823</v>
      </c>
      <c r="C210" s="631">
        <f>C204+C205+C208</f>
        <v>10537.760180000001</v>
      </c>
      <c r="D210" s="631">
        <f>D204+D205+D208</f>
        <v>10881.043600000001</v>
      </c>
      <c r="E210" s="632">
        <f t="shared" si="23"/>
        <v>343.28341999999975</v>
      </c>
    </row>
    <row r="211" spans="1:5" s="421" customFormat="1" x14ac:dyDescent="0.25">
      <c r="A211" s="588"/>
      <c r="B211" s="592" t="s">
        <v>724</v>
      </c>
      <c r="C211" s="631">
        <f>C210+C203</f>
        <v>15280.361330000002</v>
      </c>
      <c r="D211" s="631">
        <f>D210+D203</f>
        <v>15824.725200000001</v>
      </c>
      <c r="E211" s="632">
        <f t="shared" si="23"/>
        <v>544.36386999999922</v>
      </c>
    </row>
    <row r="212" spans="1:5" s="421" customFormat="1" x14ac:dyDescent="0.25">
      <c r="A212" s="588"/>
      <c r="B212" s="627"/>
      <c r="C212" s="586"/>
      <c r="D212" s="586"/>
      <c r="E212" s="631"/>
    </row>
    <row r="213" spans="1:5" s="421" customFormat="1" x14ac:dyDescent="0.25">
      <c r="A213" s="584" t="s">
        <v>26</v>
      </c>
      <c r="B213" s="585" t="s">
        <v>824</v>
      </c>
      <c r="C213" s="586"/>
      <c r="D213" s="586"/>
      <c r="E213" s="631"/>
    </row>
    <row r="214" spans="1:5" s="421" customFormat="1" x14ac:dyDescent="0.25">
      <c r="A214" s="582"/>
      <c r="B214" s="627"/>
      <c r="C214" s="586"/>
      <c r="D214" s="586"/>
      <c r="E214" s="586"/>
    </row>
    <row r="215" spans="1:5" s="421" customFormat="1" x14ac:dyDescent="0.25">
      <c r="A215" s="588">
        <v>1</v>
      </c>
      <c r="B215" s="587" t="s">
        <v>656</v>
      </c>
      <c r="C215" s="633">
        <f>IF(C14*C137=0,0,C25/C14*C137)</f>
        <v>8435.6460451206149</v>
      </c>
      <c r="D215" s="633">
        <f>IF(D14*D137=0,0,D25/D14*D137)</f>
        <v>8948.6310743674403</v>
      </c>
      <c r="E215" s="633">
        <f t="shared" ref="E215:E223" si="24">D215-C215</f>
        <v>512.98502924682543</v>
      </c>
    </row>
    <row r="216" spans="1:5" s="421" customFormat="1" x14ac:dyDescent="0.25">
      <c r="A216" s="588">
        <v>2</v>
      </c>
      <c r="B216" s="587" t="s">
        <v>635</v>
      </c>
      <c r="C216" s="633">
        <f>IF(C15*C138=0,0,C26/C15*C138)</f>
        <v>3466.2374413265156</v>
      </c>
      <c r="D216" s="633">
        <f>IF(D15*D138=0,0,D26/D15*D138)</f>
        <v>4037.8651570816132</v>
      </c>
      <c r="E216" s="633">
        <f t="shared" si="24"/>
        <v>571.6277157550976</v>
      </c>
    </row>
    <row r="217" spans="1:5" s="421" customFormat="1" x14ac:dyDescent="0.25">
      <c r="A217" s="588">
        <v>3</v>
      </c>
      <c r="B217" s="587" t="s">
        <v>777</v>
      </c>
      <c r="C217" s="633">
        <f>C218+C219</f>
        <v>2942.4062225713715</v>
      </c>
      <c r="D217" s="633">
        <f>D218+D219</f>
        <v>2909.8488490407458</v>
      </c>
      <c r="E217" s="633">
        <f t="shared" si="24"/>
        <v>-32.557373530625682</v>
      </c>
    </row>
    <row r="218" spans="1:5" s="421" customFormat="1" x14ac:dyDescent="0.25">
      <c r="A218" s="588">
        <v>4</v>
      </c>
      <c r="B218" s="587" t="s">
        <v>115</v>
      </c>
      <c r="C218" s="633">
        <f t="shared" ref="C218:D221" si="25">IF(C17*C140=0,0,C28/C17*C140)</f>
        <v>2921.2416950939787</v>
      </c>
      <c r="D218" s="633">
        <f t="shared" si="25"/>
        <v>2883.5850535926629</v>
      </c>
      <c r="E218" s="633">
        <f t="shared" si="24"/>
        <v>-37.656641501315789</v>
      </c>
    </row>
    <row r="219" spans="1:5" s="421" customFormat="1" x14ac:dyDescent="0.25">
      <c r="A219" s="588">
        <v>5</v>
      </c>
      <c r="B219" s="587" t="s">
        <v>743</v>
      </c>
      <c r="C219" s="633">
        <f t="shared" si="25"/>
        <v>21.16452747739293</v>
      </c>
      <c r="D219" s="633">
        <f t="shared" si="25"/>
        <v>26.263795448082675</v>
      </c>
      <c r="E219" s="633">
        <f t="shared" si="24"/>
        <v>5.0992679706897448</v>
      </c>
    </row>
    <row r="220" spans="1:5" s="421" customFormat="1" x14ac:dyDescent="0.25">
      <c r="A220" s="588">
        <v>6</v>
      </c>
      <c r="B220" s="587" t="s">
        <v>424</v>
      </c>
      <c r="C220" s="633">
        <f t="shared" si="25"/>
        <v>21.763786383931997</v>
      </c>
      <c r="D220" s="633">
        <f t="shared" si="25"/>
        <v>12.819572954704268</v>
      </c>
      <c r="E220" s="633">
        <f t="shared" si="24"/>
        <v>-8.9442134292277284</v>
      </c>
    </row>
    <row r="221" spans="1:5" s="421" customFormat="1" x14ac:dyDescent="0.25">
      <c r="A221" s="588">
        <v>7</v>
      </c>
      <c r="B221" s="587" t="s">
        <v>758</v>
      </c>
      <c r="C221" s="633">
        <f t="shared" si="25"/>
        <v>969.1120920236491</v>
      </c>
      <c r="D221" s="633">
        <f t="shared" si="25"/>
        <v>1027.5680810382003</v>
      </c>
      <c r="E221" s="633">
        <f t="shared" si="24"/>
        <v>58.455989014551164</v>
      </c>
    </row>
    <row r="222" spans="1:5" s="421" customFormat="1" x14ac:dyDescent="0.25">
      <c r="A222" s="588"/>
      <c r="B222" s="592" t="s">
        <v>825</v>
      </c>
      <c r="C222" s="634">
        <f>C216+C218+C219+C220</f>
        <v>6430.4074502818185</v>
      </c>
      <c r="D222" s="634">
        <f>D216+D218+D219+D220</f>
        <v>6960.5335790770632</v>
      </c>
      <c r="E222" s="634">
        <f t="shared" si="24"/>
        <v>530.12612879524477</v>
      </c>
    </row>
    <row r="223" spans="1:5" s="421" customFormat="1" x14ac:dyDescent="0.25">
      <c r="A223" s="588"/>
      <c r="B223" s="592" t="s">
        <v>826</v>
      </c>
      <c r="C223" s="634">
        <f>C215+C222</f>
        <v>14866.053495402433</v>
      </c>
      <c r="D223" s="634">
        <f>D215+D222</f>
        <v>15909.164653444503</v>
      </c>
      <c r="E223" s="634">
        <f t="shared" si="24"/>
        <v>1043.1111580420693</v>
      </c>
    </row>
    <row r="224" spans="1:5" s="421" customFormat="1" x14ac:dyDescent="0.25">
      <c r="A224" s="582"/>
      <c r="B224" s="627"/>
      <c r="C224" s="586"/>
      <c r="D224" s="586"/>
      <c r="E224" s="635"/>
    </row>
    <row r="225" spans="1:5" s="421" customFormat="1" x14ac:dyDescent="0.25">
      <c r="A225" s="584" t="s">
        <v>36</v>
      </c>
      <c r="B225" s="585" t="s">
        <v>827</v>
      </c>
      <c r="C225" s="586"/>
      <c r="D225" s="586"/>
      <c r="E225" s="635"/>
    </row>
    <row r="226" spans="1:5" s="421" customFormat="1" x14ac:dyDescent="0.25">
      <c r="A226" s="582"/>
      <c r="B226" s="627"/>
      <c r="C226" s="586"/>
      <c r="D226" s="586"/>
      <c r="E226" s="635"/>
    </row>
    <row r="227" spans="1:5" s="421" customFormat="1" x14ac:dyDescent="0.25">
      <c r="A227" s="588">
        <v>1</v>
      </c>
      <c r="B227" s="587" t="s">
        <v>656</v>
      </c>
      <c r="C227" s="636">
        <f t="shared" ref="C227:D235" si="26">IF(C203=0,0,C47/C203)</f>
        <v>15726.153779556182</v>
      </c>
      <c r="D227" s="636">
        <f t="shared" si="26"/>
        <v>14195.515342250197</v>
      </c>
      <c r="E227" s="636">
        <f t="shared" ref="E227:E235" si="27">D227-C227</f>
        <v>-1530.6384373059846</v>
      </c>
    </row>
    <row r="228" spans="1:5" s="421" customFormat="1" x14ac:dyDescent="0.25">
      <c r="A228" s="588">
        <v>2</v>
      </c>
      <c r="B228" s="587" t="s">
        <v>635</v>
      </c>
      <c r="C228" s="636">
        <f t="shared" si="26"/>
        <v>9759.3916987936682</v>
      </c>
      <c r="D228" s="636">
        <f t="shared" si="26"/>
        <v>8676.5648277376931</v>
      </c>
      <c r="E228" s="636">
        <f t="shared" si="27"/>
        <v>-1082.8268710559751</v>
      </c>
    </row>
    <row r="229" spans="1:5" s="421" customFormat="1" x14ac:dyDescent="0.25">
      <c r="A229" s="588">
        <v>3</v>
      </c>
      <c r="B229" s="587" t="s">
        <v>777</v>
      </c>
      <c r="C229" s="636">
        <f t="shared" si="26"/>
        <v>7613.2511175283435</v>
      </c>
      <c r="D229" s="636">
        <f t="shared" si="26"/>
        <v>7146.0108068395102</v>
      </c>
      <c r="E229" s="636">
        <f t="shared" si="27"/>
        <v>-467.24031068883323</v>
      </c>
    </row>
    <row r="230" spans="1:5" s="421" customFormat="1" x14ac:dyDescent="0.25">
      <c r="A230" s="588">
        <v>4</v>
      </c>
      <c r="B230" s="587" t="s">
        <v>115</v>
      </c>
      <c r="C230" s="636">
        <f t="shared" si="26"/>
        <v>7662.1121230225208</v>
      </c>
      <c r="D230" s="636">
        <f t="shared" si="26"/>
        <v>7151.0654081337216</v>
      </c>
      <c r="E230" s="636">
        <f t="shared" si="27"/>
        <v>-511.04671488879922</v>
      </c>
    </row>
    <row r="231" spans="1:5" s="421" customFormat="1" x14ac:dyDescent="0.25">
      <c r="A231" s="588">
        <v>5</v>
      </c>
      <c r="B231" s="587" t="s">
        <v>743</v>
      </c>
      <c r="C231" s="636">
        <f t="shared" si="26"/>
        <v>4769.5992042212683</v>
      </c>
      <c r="D231" s="636">
        <f t="shared" si="26"/>
        <v>6754.7305521743947</v>
      </c>
      <c r="E231" s="636">
        <f t="shared" si="27"/>
        <v>1985.1313479531264</v>
      </c>
    </row>
    <row r="232" spans="1:5" s="421" customFormat="1" x14ac:dyDescent="0.25">
      <c r="A232" s="588">
        <v>6</v>
      </c>
      <c r="B232" s="587" t="s">
        <v>424</v>
      </c>
      <c r="C232" s="636">
        <f t="shared" si="26"/>
        <v>9710.3569338794623</v>
      </c>
      <c r="D232" s="636">
        <f t="shared" si="26"/>
        <v>6491.8500782760839</v>
      </c>
      <c r="E232" s="636">
        <f t="shared" si="27"/>
        <v>-3218.5068556033784</v>
      </c>
    </row>
    <row r="233" spans="1:5" s="421" customFormat="1" x14ac:dyDescent="0.25">
      <c r="A233" s="588">
        <v>7</v>
      </c>
      <c r="B233" s="587" t="s">
        <v>758</v>
      </c>
      <c r="C233" s="636">
        <f t="shared" si="26"/>
        <v>1206.140214320825</v>
      </c>
      <c r="D233" s="636">
        <f t="shared" si="26"/>
        <v>4708.2165616027578</v>
      </c>
      <c r="E233" s="636">
        <f t="shared" si="27"/>
        <v>3502.0763472819326</v>
      </c>
    </row>
    <row r="234" spans="1:5" x14ac:dyDescent="0.25">
      <c r="A234" s="588"/>
      <c r="B234" s="592" t="s">
        <v>828</v>
      </c>
      <c r="C234" s="637">
        <f t="shared" si="26"/>
        <v>9250.7679369108573</v>
      </c>
      <c r="D234" s="637">
        <f t="shared" si="26"/>
        <v>8273.9480981401448</v>
      </c>
      <c r="E234" s="637">
        <f t="shared" si="27"/>
        <v>-976.81983877071252</v>
      </c>
    </row>
    <row r="235" spans="1:5" s="421" customFormat="1" x14ac:dyDescent="0.25">
      <c r="A235" s="588"/>
      <c r="B235" s="592" t="s">
        <v>829</v>
      </c>
      <c r="C235" s="637">
        <f t="shared" si="26"/>
        <v>11260.548444111955</v>
      </c>
      <c r="D235" s="637">
        <f t="shared" si="26"/>
        <v>10123.859717955796</v>
      </c>
      <c r="E235" s="637">
        <f t="shared" si="27"/>
        <v>-1136.6887261561587</v>
      </c>
    </row>
    <row r="236" spans="1:5" s="421" customFormat="1" x14ac:dyDescent="0.25">
      <c r="A236" s="582"/>
      <c r="B236" s="627"/>
      <c r="C236" s="586"/>
      <c r="D236" s="586"/>
      <c r="E236" s="637"/>
    </row>
    <row r="237" spans="1:5" s="421" customFormat="1" x14ac:dyDescent="0.25">
      <c r="A237" s="584" t="s">
        <v>170</v>
      </c>
      <c r="B237" s="585" t="s">
        <v>830</v>
      </c>
      <c r="C237" s="425"/>
      <c r="D237" s="425"/>
      <c r="E237" s="637"/>
    </row>
    <row r="238" spans="1:5" s="421" customFormat="1" x14ac:dyDescent="0.25">
      <c r="A238" s="582"/>
      <c r="B238" s="595"/>
      <c r="C238" s="596"/>
      <c r="D238" s="596"/>
      <c r="E238" s="596"/>
    </row>
    <row r="239" spans="1:5" s="421" customFormat="1" x14ac:dyDescent="0.25">
      <c r="A239" s="588">
        <v>1</v>
      </c>
      <c r="B239" s="587" t="s">
        <v>656</v>
      </c>
      <c r="C239" s="636">
        <f t="shared" ref="C239:D247" si="28">IF(C215=0,0,C58/C215)</f>
        <v>15432.197878347401</v>
      </c>
      <c r="D239" s="636">
        <f t="shared" si="28"/>
        <v>16197.331613678774</v>
      </c>
      <c r="E239" s="638">
        <f t="shared" ref="E239:E247" si="29">D239-C239</f>
        <v>765.13373533137383</v>
      </c>
    </row>
    <row r="240" spans="1:5" s="421" customFormat="1" x14ac:dyDescent="0.25">
      <c r="A240" s="588">
        <v>2</v>
      </c>
      <c r="B240" s="587" t="s">
        <v>635</v>
      </c>
      <c r="C240" s="636">
        <f t="shared" si="28"/>
        <v>8297.6066951123503</v>
      </c>
      <c r="D240" s="636">
        <f t="shared" si="28"/>
        <v>9556.1888520043231</v>
      </c>
      <c r="E240" s="638">
        <f t="shared" si="29"/>
        <v>1258.5821568919728</v>
      </c>
    </row>
    <row r="241" spans="1:5" x14ac:dyDescent="0.25">
      <c r="A241" s="588">
        <v>3</v>
      </c>
      <c r="B241" s="587" t="s">
        <v>777</v>
      </c>
      <c r="C241" s="636">
        <f t="shared" si="28"/>
        <v>7375.6804324028335</v>
      </c>
      <c r="D241" s="636">
        <f t="shared" si="28"/>
        <v>7590.189437943116</v>
      </c>
      <c r="E241" s="638">
        <f t="shared" si="29"/>
        <v>214.50900554028249</v>
      </c>
    </row>
    <row r="242" spans="1:5" x14ac:dyDescent="0.25">
      <c r="A242" s="588">
        <v>4</v>
      </c>
      <c r="B242" s="587" t="s">
        <v>115</v>
      </c>
      <c r="C242" s="636">
        <f t="shared" si="28"/>
        <v>7394.379943390848</v>
      </c>
      <c r="D242" s="636">
        <f t="shared" si="28"/>
        <v>7575.8642779697011</v>
      </c>
      <c r="E242" s="638">
        <f t="shared" si="29"/>
        <v>181.48433457885312</v>
      </c>
    </row>
    <row r="243" spans="1:5" x14ac:dyDescent="0.25">
      <c r="A243" s="588">
        <v>5</v>
      </c>
      <c r="B243" s="587" t="s">
        <v>743</v>
      </c>
      <c r="C243" s="636">
        <f t="shared" si="28"/>
        <v>4794.6735455536873</v>
      </c>
      <c r="D243" s="636">
        <f t="shared" si="28"/>
        <v>9162.9939958875384</v>
      </c>
      <c r="E243" s="638">
        <f t="shared" si="29"/>
        <v>4368.3204503338511</v>
      </c>
    </row>
    <row r="244" spans="1:5" x14ac:dyDescent="0.25">
      <c r="A244" s="588">
        <v>6</v>
      </c>
      <c r="B244" s="587" t="s">
        <v>424</v>
      </c>
      <c r="C244" s="636">
        <f t="shared" si="28"/>
        <v>2114.337973560207</v>
      </c>
      <c r="D244" s="636">
        <f t="shared" si="28"/>
        <v>6881.8985087662923</v>
      </c>
      <c r="E244" s="638">
        <f t="shared" si="29"/>
        <v>4767.5605352060848</v>
      </c>
    </row>
    <row r="245" spans="1:5" x14ac:dyDescent="0.25">
      <c r="A245" s="588">
        <v>7</v>
      </c>
      <c r="B245" s="587" t="s">
        <v>758</v>
      </c>
      <c r="C245" s="636">
        <f t="shared" si="28"/>
        <v>1743.6465955877934</v>
      </c>
      <c r="D245" s="636">
        <f t="shared" si="28"/>
        <v>3721.951927638574</v>
      </c>
      <c r="E245" s="638">
        <f t="shared" si="29"/>
        <v>1978.3053320507806</v>
      </c>
    </row>
    <row r="246" spans="1:5" ht="26.4" x14ac:dyDescent="0.25">
      <c r="A246" s="588"/>
      <c r="B246" s="592" t="s">
        <v>831</v>
      </c>
      <c r="C246" s="637">
        <f t="shared" si="28"/>
        <v>7854.827145951127</v>
      </c>
      <c r="D246" s="637">
        <f t="shared" si="28"/>
        <v>8729.3780440402188</v>
      </c>
      <c r="E246" s="639">
        <f t="shared" si="29"/>
        <v>874.55089808909179</v>
      </c>
    </row>
    <row r="247" spans="1:5" x14ac:dyDescent="0.25">
      <c r="A247" s="588"/>
      <c r="B247" s="592" t="s">
        <v>832</v>
      </c>
      <c r="C247" s="637">
        <f t="shared" si="28"/>
        <v>12154.557230396176</v>
      </c>
      <c r="D247" s="637">
        <f t="shared" si="28"/>
        <v>12929.973287784325</v>
      </c>
      <c r="E247" s="639">
        <f t="shared" si="29"/>
        <v>775.41605738814906</v>
      </c>
    </row>
    <row r="248" spans="1:5" x14ac:dyDescent="0.25">
      <c r="A248" s="582"/>
      <c r="B248" s="595"/>
      <c r="C248" s="636"/>
      <c r="D248" s="636"/>
      <c r="E248" s="639"/>
    </row>
    <row r="249" spans="1:5" s="421" customFormat="1" ht="15.75" customHeight="1" x14ac:dyDescent="0.3">
      <c r="A249" s="605" t="s">
        <v>760</v>
      </c>
      <c r="B249" s="626" t="s">
        <v>757</v>
      </c>
      <c r="C249" s="596"/>
      <c r="D249" s="596"/>
      <c r="E249" s="637"/>
    </row>
    <row r="250" spans="1:5" x14ac:dyDescent="0.25">
      <c r="A250" s="582"/>
      <c r="B250" s="595"/>
      <c r="C250" s="636"/>
      <c r="D250" s="636"/>
      <c r="E250" s="637"/>
    </row>
    <row r="251" spans="1:5" x14ac:dyDescent="0.25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2638543.6472531497</v>
      </c>
      <c r="D251" s="622">
        <f>((IF((IF(D15=0,0,D26/D15)*D138)=0,0,D59/(IF(D15=0,0,D26/D15)*D138)))-(IF((IF(D17=0,0,D28/D17)*D140)=0,0,D61/(IF(D17=0,0,D28/D17)*D140))))*(IF(D17=0,0,D28/D17)*D140)</f>
        <v>5710434.3429484926</v>
      </c>
      <c r="E251" s="622">
        <f>D251-C251</f>
        <v>3071890.695695343</v>
      </c>
    </row>
    <row r="252" spans="1:5" x14ac:dyDescent="0.25">
      <c r="A252" s="588">
        <v>2</v>
      </c>
      <c r="B252" s="587" t="s">
        <v>743</v>
      </c>
      <c r="C252" s="622">
        <f>IF(C231=0,0,(C228-C231)*C207)+IF(C243=0,0,(C240-C243)*C219)</f>
        <v>284620.24598100473</v>
      </c>
      <c r="D252" s="622">
        <f>IF(D231=0,0,(D228-D231)*D207)+IF(D243=0,0,(D240-D243)*D219)</f>
        <v>79797.254665351633</v>
      </c>
      <c r="E252" s="622">
        <f>D252-C252</f>
        <v>-204822.99131565308</v>
      </c>
    </row>
    <row r="253" spans="1:5" x14ac:dyDescent="0.25">
      <c r="A253" s="588">
        <v>3</v>
      </c>
      <c r="B253" s="587" t="s">
        <v>758</v>
      </c>
      <c r="C253" s="622">
        <f>IF(C233=0,0,(C228-C233)*C209+IF(C221=0,0,(C240-C245)*C221))</f>
        <v>8137177.9660970634</v>
      </c>
      <c r="D253" s="622">
        <f>IF(D233=0,0,(D228-D233)*D209+IF(D221=0,0,(D240-D245)*D221))</f>
        <v>6804315.1083418913</v>
      </c>
      <c r="E253" s="622">
        <f>D253-C253</f>
        <v>-1332862.8577551721</v>
      </c>
    </row>
    <row r="254" spans="1:5" ht="15" customHeight="1" x14ac:dyDescent="0.25">
      <c r="A254" s="588"/>
      <c r="B254" s="592" t="s">
        <v>759</v>
      </c>
      <c r="C254" s="640">
        <f>+C251+C252+C253</f>
        <v>11060341.859331217</v>
      </c>
      <c r="D254" s="640">
        <f>+D251+D252+D253</f>
        <v>12594546.705955736</v>
      </c>
      <c r="E254" s="640">
        <f>D254-C254</f>
        <v>1534204.8466245197</v>
      </c>
    </row>
    <row r="255" spans="1:5" x14ac:dyDescent="0.25">
      <c r="A255" s="580"/>
      <c r="B255" s="595"/>
      <c r="C255" s="596"/>
      <c r="D255" s="596"/>
      <c r="E255" s="640"/>
    </row>
    <row r="256" spans="1:5" ht="15.75" customHeight="1" x14ac:dyDescent="0.3">
      <c r="A256" s="605" t="s">
        <v>833</v>
      </c>
      <c r="B256" s="626" t="s">
        <v>834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5">
      <c r="A258" s="588">
        <v>1</v>
      </c>
      <c r="B258" s="587" t="s">
        <v>725</v>
      </c>
      <c r="C258" s="622">
        <f>+C44</f>
        <v>945067227</v>
      </c>
      <c r="D258" s="625">
        <f>+D44</f>
        <v>1014406936</v>
      </c>
      <c r="E258" s="622">
        <f t="shared" ref="E258:E271" si="30">D258-C258</f>
        <v>69339709</v>
      </c>
    </row>
    <row r="259" spans="1:5" x14ac:dyDescent="0.25">
      <c r="A259" s="588">
        <v>2</v>
      </c>
      <c r="B259" s="587" t="s">
        <v>742</v>
      </c>
      <c r="C259" s="622">
        <f>+(C43-C76)</f>
        <v>417086273</v>
      </c>
      <c r="D259" s="625">
        <f>+(D43-D76)</f>
        <v>451897215</v>
      </c>
      <c r="E259" s="622">
        <f t="shared" si="30"/>
        <v>34810942</v>
      </c>
    </row>
    <row r="260" spans="1:5" x14ac:dyDescent="0.25">
      <c r="A260" s="588">
        <v>3</v>
      </c>
      <c r="B260" s="587" t="s">
        <v>746</v>
      </c>
      <c r="C260" s="622">
        <f>C195</f>
        <v>28832929</v>
      </c>
      <c r="D260" s="622">
        <f>D195</f>
        <v>31445525</v>
      </c>
      <c r="E260" s="622">
        <f t="shared" si="30"/>
        <v>2612596</v>
      </c>
    </row>
    <row r="261" spans="1:5" x14ac:dyDescent="0.25">
      <c r="A261" s="588">
        <v>4</v>
      </c>
      <c r="B261" s="587" t="s">
        <v>747</v>
      </c>
      <c r="C261" s="622">
        <f>C188</f>
        <v>143484905</v>
      </c>
      <c r="D261" s="622">
        <f>D188</f>
        <v>164501950</v>
      </c>
      <c r="E261" s="622">
        <f t="shared" si="30"/>
        <v>21017045</v>
      </c>
    </row>
    <row r="262" spans="1:5" x14ac:dyDescent="0.25">
      <c r="A262" s="588">
        <v>5</v>
      </c>
      <c r="B262" s="587" t="s">
        <v>748</v>
      </c>
      <c r="C262" s="622">
        <f>C191</f>
        <v>12193961</v>
      </c>
      <c r="D262" s="622">
        <f>D191</f>
        <v>10783544</v>
      </c>
      <c r="E262" s="622">
        <f t="shared" si="30"/>
        <v>-1410417</v>
      </c>
    </row>
    <row r="263" spans="1:5" x14ac:dyDescent="0.25">
      <c r="A263" s="588">
        <v>6</v>
      </c>
      <c r="B263" s="587" t="s">
        <v>749</v>
      </c>
      <c r="C263" s="622">
        <f>+C259+C260+C261+C262</f>
        <v>601598068</v>
      </c>
      <c r="D263" s="622">
        <f>+D259+D260+D261+D262</f>
        <v>658628234</v>
      </c>
      <c r="E263" s="622">
        <f t="shared" si="30"/>
        <v>57030166</v>
      </c>
    </row>
    <row r="264" spans="1:5" x14ac:dyDescent="0.25">
      <c r="A264" s="588">
        <v>7</v>
      </c>
      <c r="B264" s="587" t="s">
        <v>654</v>
      </c>
      <c r="C264" s="622">
        <f>+C258-C263</f>
        <v>343469159</v>
      </c>
      <c r="D264" s="622">
        <f>+D258-D263</f>
        <v>355778702</v>
      </c>
      <c r="E264" s="622">
        <f t="shared" si="30"/>
        <v>12309543</v>
      </c>
    </row>
    <row r="265" spans="1:5" x14ac:dyDescent="0.25">
      <c r="A265" s="588">
        <v>8</v>
      </c>
      <c r="B265" s="587" t="s">
        <v>835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5">
      <c r="A266" s="588">
        <v>9</v>
      </c>
      <c r="B266" s="587" t="s">
        <v>836</v>
      </c>
      <c r="C266" s="622">
        <f>+C264+C265</f>
        <v>343469159</v>
      </c>
      <c r="D266" s="622">
        <f>+D264+D265</f>
        <v>355778702</v>
      </c>
      <c r="E266" s="641">
        <f t="shared" si="30"/>
        <v>12309543</v>
      </c>
    </row>
    <row r="267" spans="1:5" x14ac:dyDescent="0.25">
      <c r="A267" s="588">
        <v>10</v>
      </c>
      <c r="B267" s="587" t="s">
        <v>837</v>
      </c>
      <c r="C267" s="642">
        <f>IF(C258=0,0,C266/C258)</f>
        <v>0.36343357296422257</v>
      </c>
      <c r="D267" s="642">
        <f>IF(D258=0,0,D266/D258)</f>
        <v>0.35072581759239863</v>
      </c>
      <c r="E267" s="643">
        <f t="shared" si="30"/>
        <v>-1.2707755371823948E-2</v>
      </c>
    </row>
    <row r="268" spans="1:5" x14ac:dyDescent="0.25">
      <c r="A268" s="588">
        <v>11</v>
      </c>
      <c r="B268" s="587" t="s">
        <v>716</v>
      </c>
      <c r="C268" s="622">
        <f>+C260*C267</f>
        <v>10478854.405493749</v>
      </c>
      <c r="D268" s="644">
        <f>+D260*D267</f>
        <v>11028757.46524721</v>
      </c>
      <c r="E268" s="622">
        <f t="shared" si="30"/>
        <v>549903.05975346081</v>
      </c>
    </row>
    <row r="269" spans="1:5" x14ac:dyDescent="0.25">
      <c r="A269" s="588">
        <v>12</v>
      </c>
      <c r="B269" s="587" t="s">
        <v>838</v>
      </c>
      <c r="C269" s="622">
        <f>((C17+C18+C28+C29)*C267)-(C50+C51+C61+C62)</f>
        <v>18167679.929220237</v>
      </c>
      <c r="D269" s="644">
        <f>((D17+D18+D28+D29)*D267)-(D50+D51+D61+D62)</f>
        <v>20183247.905914314</v>
      </c>
      <c r="E269" s="622">
        <f t="shared" si="30"/>
        <v>2015567.9766940773</v>
      </c>
    </row>
    <row r="270" spans="1:5" s="648" customFormat="1" x14ac:dyDescent="0.25">
      <c r="A270" s="645">
        <v>13</v>
      </c>
      <c r="B270" s="646" t="s">
        <v>839</v>
      </c>
      <c r="C270" s="647">
        <v>0</v>
      </c>
      <c r="D270" s="647">
        <v>0</v>
      </c>
      <c r="E270" s="622">
        <f t="shared" si="30"/>
        <v>0</v>
      </c>
    </row>
    <row r="271" spans="1:5" x14ac:dyDescent="0.25">
      <c r="A271" s="588">
        <v>14</v>
      </c>
      <c r="B271" s="587" t="s">
        <v>840</v>
      </c>
      <c r="C271" s="622">
        <f>+C268+C269+C270</f>
        <v>28646534.334713988</v>
      </c>
      <c r="D271" s="622">
        <f>+D268+D269+D270</f>
        <v>31212005.371161524</v>
      </c>
      <c r="E271" s="625">
        <f t="shared" si="30"/>
        <v>2565471.0364475362</v>
      </c>
    </row>
    <row r="272" spans="1:5" x14ac:dyDescent="0.25">
      <c r="A272" s="588"/>
      <c r="B272" s="587"/>
      <c r="C272" s="622"/>
      <c r="D272" s="622"/>
      <c r="E272" s="640"/>
    </row>
    <row r="273" spans="1:5" ht="15.75" customHeight="1" x14ac:dyDescent="0.25">
      <c r="A273" s="578" t="s">
        <v>841</v>
      </c>
      <c r="B273" s="626" t="s">
        <v>842</v>
      </c>
      <c r="C273" s="622"/>
      <c r="D273" s="622"/>
      <c r="E273" s="640"/>
    </row>
    <row r="274" spans="1:5" ht="15.75" customHeight="1" x14ac:dyDescent="0.25">
      <c r="A274" s="584"/>
      <c r="B274" s="649"/>
      <c r="C274" s="622"/>
      <c r="D274" s="622"/>
      <c r="E274" s="640"/>
    </row>
    <row r="275" spans="1:5" x14ac:dyDescent="0.25">
      <c r="A275" s="425" t="s">
        <v>14</v>
      </c>
      <c r="B275" s="585" t="s">
        <v>843</v>
      </c>
      <c r="C275" s="425"/>
      <c r="D275" s="425"/>
      <c r="E275" s="596"/>
    </row>
    <row r="276" spans="1:5" x14ac:dyDescent="0.25">
      <c r="A276" s="588">
        <v>1</v>
      </c>
      <c r="B276" s="587" t="s">
        <v>656</v>
      </c>
      <c r="C276" s="623">
        <f t="shared" ref="C276:D284" si="31">IF(C14=0,0,+C47/C14)</f>
        <v>0.56299165372513893</v>
      </c>
      <c r="D276" s="623">
        <f t="shared" si="31"/>
        <v>0.51453111556476594</v>
      </c>
      <c r="E276" s="650">
        <f t="shared" ref="E276:E284" si="32">D276-C276</f>
        <v>-4.846053816037299E-2</v>
      </c>
    </row>
    <row r="277" spans="1:5" x14ac:dyDescent="0.25">
      <c r="A277" s="588">
        <v>2</v>
      </c>
      <c r="B277" s="587" t="s">
        <v>635</v>
      </c>
      <c r="C277" s="623">
        <f t="shared" si="31"/>
        <v>0.3136765580780656</v>
      </c>
      <c r="D277" s="623">
        <f t="shared" si="31"/>
        <v>0.28535393254500191</v>
      </c>
      <c r="E277" s="650">
        <f t="shared" si="32"/>
        <v>-2.8322625533063694E-2</v>
      </c>
    </row>
    <row r="278" spans="1:5" x14ac:dyDescent="0.25">
      <c r="A278" s="588">
        <v>3</v>
      </c>
      <c r="B278" s="587" t="s">
        <v>777</v>
      </c>
      <c r="C278" s="623">
        <f t="shared" si="31"/>
        <v>0.24640475589957636</v>
      </c>
      <c r="D278" s="623">
        <f t="shared" si="31"/>
        <v>0.23542719536369391</v>
      </c>
      <c r="E278" s="650">
        <f t="shared" si="32"/>
        <v>-1.0977560535882447E-2</v>
      </c>
    </row>
    <row r="279" spans="1:5" x14ac:dyDescent="0.25">
      <c r="A279" s="588">
        <v>4</v>
      </c>
      <c r="B279" s="587" t="s">
        <v>115</v>
      </c>
      <c r="C279" s="623">
        <f t="shared" si="31"/>
        <v>0.24780126300497995</v>
      </c>
      <c r="D279" s="623">
        <f t="shared" si="31"/>
        <v>0.23595512308726416</v>
      </c>
      <c r="E279" s="650">
        <f t="shared" si="32"/>
        <v>-1.1846139917715798E-2</v>
      </c>
    </row>
    <row r="280" spans="1:5" x14ac:dyDescent="0.25">
      <c r="A280" s="588">
        <v>5</v>
      </c>
      <c r="B280" s="587" t="s">
        <v>743</v>
      </c>
      <c r="C280" s="623">
        <f t="shared" si="31"/>
        <v>0.16137684542171787</v>
      </c>
      <c r="D280" s="623">
        <f t="shared" si="31"/>
        <v>0.19894777753243484</v>
      </c>
      <c r="E280" s="650">
        <f t="shared" si="32"/>
        <v>3.7570932110716965E-2</v>
      </c>
    </row>
    <row r="281" spans="1:5" x14ac:dyDescent="0.25">
      <c r="A281" s="588">
        <v>6</v>
      </c>
      <c r="B281" s="587" t="s">
        <v>424</v>
      </c>
      <c r="C281" s="623">
        <f t="shared" si="31"/>
        <v>0.38194497721449067</v>
      </c>
      <c r="D281" s="623">
        <f t="shared" si="31"/>
        <v>0.34501594690347298</v>
      </c>
      <c r="E281" s="650">
        <f t="shared" si="32"/>
        <v>-3.6929030311017685E-2</v>
      </c>
    </row>
    <row r="282" spans="1:5" x14ac:dyDescent="0.25">
      <c r="A282" s="588">
        <v>7</v>
      </c>
      <c r="B282" s="587" t="s">
        <v>758</v>
      </c>
      <c r="C282" s="623">
        <f t="shared" si="31"/>
        <v>4.3165656316657516E-2</v>
      </c>
      <c r="D282" s="623">
        <f t="shared" si="31"/>
        <v>0.16908776373403525</v>
      </c>
      <c r="E282" s="650">
        <f t="shared" si="32"/>
        <v>0.12592210741737775</v>
      </c>
    </row>
    <row r="283" spans="1:5" ht="29.25" customHeight="1" x14ac:dyDescent="0.25">
      <c r="A283" s="588"/>
      <c r="B283" s="592" t="s">
        <v>844</v>
      </c>
      <c r="C283" s="651">
        <f t="shared" si="31"/>
        <v>0.29787097292942533</v>
      </c>
      <c r="D283" s="651">
        <f t="shared" si="31"/>
        <v>0.27242282421621589</v>
      </c>
      <c r="E283" s="652">
        <f t="shared" si="32"/>
        <v>-2.544814871320944E-2</v>
      </c>
    </row>
    <row r="284" spans="1:5" x14ac:dyDescent="0.25">
      <c r="A284" s="588"/>
      <c r="B284" s="592" t="s">
        <v>845</v>
      </c>
      <c r="C284" s="651">
        <f t="shared" si="31"/>
        <v>0.3742666386174639</v>
      </c>
      <c r="D284" s="651">
        <f t="shared" si="31"/>
        <v>0.34315309062302696</v>
      </c>
      <c r="E284" s="652">
        <f t="shared" si="32"/>
        <v>-3.1113547994436941E-2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5">
      <c r="A286" s="425" t="s">
        <v>26</v>
      </c>
      <c r="B286" s="585" t="s">
        <v>846</v>
      </c>
      <c r="C286" s="596"/>
      <c r="D286" s="596"/>
      <c r="E286" s="596"/>
    </row>
    <row r="287" spans="1:5" x14ac:dyDescent="0.25">
      <c r="A287" s="588">
        <v>1</v>
      </c>
      <c r="B287" s="587" t="s">
        <v>656</v>
      </c>
      <c r="C287" s="623">
        <f t="shared" ref="C287:D295" si="33">IF(C25=0,0,+C58/C25)</f>
        <v>0.5259547409202433</v>
      </c>
      <c r="D287" s="623">
        <f t="shared" si="33"/>
        <v>0.52644280301232438</v>
      </c>
      <c r="E287" s="650">
        <f t="shared" ref="E287:E295" si="34">D287-C287</f>
        <v>4.8806209208107632E-4</v>
      </c>
    </row>
    <row r="288" spans="1:5" x14ac:dyDescent="0.25">
      <c r="A288" s="588">
        <v>2</v>
      </c>
      <c r="B288" s="587" t="s">
        <v>635</v>
      </c>
      <c r="C288" s="623">
        <f t="shared" si="33"/>
        <v>0.18850383013781657</v>
      </c>
      <c r="D288" s="623">
        <f t="shared" si="33"/>
        <v>0.21502662357641819</v>
      </c>
      <c r="E288" s="650">
        <f t="shared" si="34"/>
        <v>2.6522793438601616E-2</v>
      </c>
    </row>
    <row r="289" spans="1:5" x14ac:dyDescent="0.25">
      <c r="A289" s="588">
        <v>3</v>
      </c>
      <c r="B289" s="587" t="s">
        <v>777</v>
      </c>
      <c r="C289" s="623">
        <f t="shared" si="33"/>
        <v>0.25574565610914973</v>
      </c>
      <c r="D289" s="623">
        <f t="shared" si="33"/>
        <v>0.23945069989253273</v>
      </c>
      <c r="E289" s="650">
        <f t="shared" si="34"/>
        <v>-1.6294956216617001E-2</v>
      </c>
    </row>
    <row r="290" spans="1:5" x14ac:dyDescent="0.25">
      <c r="A290" s="588">
        <v>4</v>
      </c>
      <c r="B290" s="587" t="s">
        <v>115</v>
      </c>
      <c r="C290" s="623">
        <f t="shared" si="33"/>
        <v>0.25697116472448606</v>
      </c>
      <c r="D290" s="623">
        <f t="shared" si="33"/>
        <v>0.23923026278376183</v>
      </c>
      <c r="E290" s="650">
        <f t="shared" si="34"/>
        <v>-1.7740901940724224E-2</v>
      </c>
    </row>
    <row r="291" spans="1:5" x14ac:dyDescent="0.25">
      <c r="A291" s="588">
        <v>5</v>
      </c>
      <c r="B291" s="587" t="s">
        <v>743</v>
      </c>
      <c r="C291" s="623">
        <f t="shared" si="33"/>
        <v>0.12691097459704448</v>
      </c>
      <c r="D291" s="623">
        <f t="shared" si="33"/>
        <v>0.26130771669685243</v>
      </c>
      <c r="E291" s="650">
        <f t="shared" si="34"/>
        <v>0.13439674209980795</v>
      </c>
    </row>
    <row r="292" spans="1:5" x14ac:dyDescent="0.25">
      <c r="A292" s="588">
        <v>6</v>
      </c>
      <c r="B292" s="587" t="s">
        <v>424</v>
      </c>
      <c r="C292" s="623">
        <f t="shared" si="33"/>
        <v>0.12165724150876553</v>
      </c>
      <c r="D292" s="623">
        <f t="shared" si="33"/>
        <v>0.16840660546816094</v>
      </c>
      <c r="E292" s="650">
        <f t="shared" si="34"/>
        <v>4.6749363959395412E-2</v>
      </c>
    </row>
    <row r="293" spans="1:5" x14ac:dyDescent="0.25">
      <c r="A293" s="588">
        <v>7</v>
      </c>
      <c r="B293" s="587" t="s">
        <v>758</v>
      </c>
      <c r="C293" s="623">
        <f t="shared" si="33"/>
        <v>6.067761516101379E-2</v>
      </c>
      <c r="D293" s="623">
        <f t="shared" si="33"/>
        <v>0.12257470010684939</v>
      </c>
      <c r="E293" s="650">
        <f t="shared" si="34"/>
        <v>6.1897084945835595E-2</v>
      </c>
    </row>
    <row r="294" spans="1:5" ht="29.25" customHeight="1" x14ac:dyDescent="0.25">
      <c r="A294" s="588"/>
      <c r="B294" s="592" t="s">
        <v>847</v>
      </c>
      <c r="C294" s="651">
        <f t="shared" si="33"/>
        <v>0.21239122010610717</v>
      </c>
      <c r="D294" s="651">
        <f t="shared" si="33"/>
        <v>0.22321286540371041</v>
      </c>
      <c r="E294" s="652">
        <f t="shared" si="34"/>
        <v>1.0821645297603238E-2</v>
      </c>
    </row>
    <row r="295" spans="1:5" x14ac:dyDescent="0.25">
      <c r="A295" s="588"/>
      <c r="B295" s="592" t="s">
        <v>848</v>
      </c>
      <c r="C295" s="651">
        <f t="shared" si="33"/>
        <v>0.37230592682571395</v>
      </c>
      <c r="D295" s="651">
        <f t="shared" si="33"/>
        <v>0.37569051427789457</v>
      </c>
      <c r="E295" s="652">
        <f t="shared" si="34"/>
        <v>3.3845874521806207E-3</v>
      </c>
    </row>
    <row r="296" spans="1:5" x14ac:dyDescent="0.25">
      <c r="A296" s="580"/>
      <c r="B296" s="595"/>
      <c r="C296" s="595"/>
      <c r="D296" s="596"/>
      <c r="E296" s="652"/>
    </row>
    <row r="297" spans="1:5" ht="15.75" customHeight="1" x14ac:dyDescent="0.3">
      <c r="A297" s="578" t="s">
        <v>849</v>
      </c>
      <c r="B297" s="579" t="s">
        <v>850</v>
      </c>
      <c r="C297" s="425"/>
      <c r="E297" s="652"/>
    </row>
    <row r="298" spans="1:5" ht="15.75" customHeight="1" x14ac:dyDescent="0.3">
      <c r="A298" s="425"/>
      <c r="B298" s="653"/>
      <c r="C298" s="577"/>
      <c r="E298" s="652"/>
    </row>
    <row r="299" spans="1:5" x14ac:dyDescent="0.25">
      <c r="A299" s="584" t="s">
        <v>14</v>
      </c>
      <c r="B299" s="585" t="s">
        <v>851</v>
      </c>
      <c r="C299" s="586"/>
      <c r="D299" s="586"/>
      <c r="E299" s="652"/>
    </row>
    <row r="300" spans="1:5" x14ac:dyDescent="0.25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654</v>
      </c>
      <c r="C301" s="590">
        <f>+C48+C47+C50+C51+C52+C59+C58+C61+C62+C63</f>
        <v>352755547</v>
      </c>
      <c r="D301" s="590">
        <f>+D48+D47+D50+D51+D52+D59+D58+D61+D62+D63</f>
        <v>365912372</v>
      </c>
      <c r="E301" s="590">
        <f>D301-C301</f>
        <v>13156825</v>
      </c>
    </row>
    <row r="302" spans="1:5" ht="26.4" x14ac:dyDescent="0.25">
      <c r="A302" s="588">
        <v>2</v>
      </c>
      <c r="B302" s="587" t="s">
        <v>852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853</v>
      </c>
      <c r="C303" s="593">
        <f>+C301+C302</f>
        <v>352755547</v>
      </c>
      <c r="D303" s="593">
        <f>+D301+D302</f>
        <v>365912372</v>
      </c>
      <c r="E303" s="593">
        <f>D303-C303</f>
        <v>13156825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854</v>
      </c>
      <c r="C305" s="589">
        <v>2755453</v>
      </c>
      <c r="D305" s="654">
        <v>6311354</v>
      </c>
      <c r="E305" s="655">
        <f>D305-C305</f>
        <v>3555901</v>
      </c>
    </row>
    <row r="306" spans="1:5" x14ac:dyDescent="0.2">
      <c r="A306" s="588">
        <v>4</v>
      </c>
      <c r="B306" s="592" t="s">
        <v>855</v>
      </c>
      <c r="C306" s="593">
        <f>+C303+C305+C194+C190-C191</f>
        <v>374910174</v>
      </c>
      <c r="D306" s="593">
        <f>+D303+D305</f>
        <v>372223726</v>
      </c>
      <c r="E306" s="656">
        <f>D306-C306</f>
        <v>-2686448</v>
      </c>
    </row>
    <row r="307" spans="1:5" x14ac:dyDescent="0.25">
      <c r="A307" s="588"/>
      <c r="B307" s="586"/>
      <c r="C307" s="586"/>
      <c r="D307" s="586"/>
      <c r="E307" s="590"/>
    </row>
    <row r="308" spans="1:5" ht="26.4" x14ac:dyDescent="0.2">
      <c r="A308" s="588">
        <v>5</v>
      </c>
      <c r="B308" s="587" t="s">
        <v>856</v>
      </c>
      <c r="C308" s="589">
        <v>355511000</v>
      </c>
      <c r="D308" s="589">
        <v>372223726</v>
      </c>
      <c r="E308" s="590">
        <f>D308-C308</f>
        <v>16712726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857</v>
      </c>
      <c r="C310" s="657">
        <f>C306-C308</f>
        <v>19399174</v>
      </c>
      <c r="D310" s="658">
        <f>D306-D308</f>
        <v>0</v>
      </c>
      <c r="E310" s="656">
        <f>D310-C310</f>
        <v>-19399174</v>
      </c>
    </row>
    <row r="311" spans="1:5" x14ac:dyDescent="0.2">
      <c r="A311" s="588"/>
      <c r="B311" s="587"/>
      <c r="C311" s="587"/>
      <c r="D311" s="587"/>
      <c r="E311" s="590"/>
    </row>
    <row r="312" spans="1:5" x14ac:dyDescent="0.25">
      <c r="A312" s="425" t="s">
        <v>26</v>
      </c>
      <c r="B312" s="585" t="s">
        <v>858</v>
      </c>
      <c r="C312" s="586"/>
      <c r="D312" s="586"/>
      <c r="E312" s="590"/>
    </row>
    <row r="313" spans="1:5" x14ac:dyDescent="0.25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859</v>
      </c>
      <c r="C314" s="590">
        <f>+C14+C15+C16+C19+C25+C26+C27+C30</f>
        <v>945067227</v>
      </c>
      <c r="D314" s="590">
        <f>+D14+D15+D16+D19+D25+D26+D27+D30</f>
        <v>1014406936</v>
      </c>
      <c r="E314" s="590">
        <f>D314-C314</f>
        <v>69339709</v>
      </c>
    </row>
    <row r="315" spans="1:5" x14ac:dyDescent="0.25">
      <c r="A315" s="588">
        <v>2</v>
      </c>
      <c r="B315" s="659" t="s">
        <v>860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861</v>
      </c>
      <c r="C316" s="657">
        <f>C314+C315</f>
        <v>945067227</v>
      </c>
      <c r="D316" s="657">
        <f>D314+D315</f>
        <v>1014406936</v>
      </c>
      <c r="E316" s="593">
        <f>D316-C316</f>
        <v>69339709</v>
      </c>
    </row>
    <row r="317" spans="1:5" x14ac:dyDescent="0.25">
      <c r="A317" s="588"/>
      <c r="B317" s="586"/>
      <c r="C317" s="589"/>
      <c r="D317" s="589"/>
      <c r="E317" s="590"/>
    </row>
    <row r="318" spans="1:5" ht="26.4" x14ac:dyDescent="0.2">
      <c r="A318" s="588">
        <v>3</v>
      </c>
      <c r="B318" s="587" t="s">
        <v>862</v>
      </c>
      <c r="C318" s="589">
        <v>945067226</v>
      </c>
      <c r="D318" s="589">
        <v>1014407266</v>
      </c>
      <c r="E318" s="590">
        <f>D318-C318</f>
        <v>69340040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857</v>
      </c>
      <c r="C320" s="657">
        <f>C316-C318</f>
        <v>1</v>
      </c>
      <c r="D320" s="657">
        <f>D316-D318</f>
        <v>-330</v>
      </c>
      <c r="E320" s="593">
        <f>D320-C320</f>
        <v>-331</v>
      </c>
    </row>
    <row r="321" spans="1:5" x14ac:dyDescent="0.25">
      <c r="A321" s="587"/>
      <c r="B321" s="586"/>
      <c r="C321" s="586"/>
      <c r="D321" s="586"/>
      <c r="E321" s="590"/>
    </row>
    <row r="322" spans="1:5" x14ac:dyDescent="0.25">
      <c r="A322" s="584" t="s">
        <v>36</v>
      </c>
      <c r="B322" s="585" t="s">
        <v>863</v>
      </c>
      <c r="C322" s="586"/>
      <c r="D322" s="586"/>
      <c r="E322" s="590"/>
    </row>
    <row r="323" spans="1:5" x14ac:dyDescent="0.25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864</v>
      </c>
      <c r="C324" s="589">
        <f>+C193+C194</f>
        <v>28832929</v>
      </c>
      <c r="D324" s="589">
        <f>+D193+D194</f>
        <v>31445525</v>
      </c>
      <c r="E324" s="590">
        <f>D324-C324</f>
        <v>2612596</v>
      </c>
    </row>
    <row r="325" spans="1:5" x14ac:dyDescent="0.2">
      <c r="A325" s="588">
        <v>2</v>
      </c>
      <c r="B325" s="587" t="s">
        <v>865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866</v>
      </c>
      <c r="C326" s="657">
        <f>C324+C325</f>
        <v>28832929</v>
      </c>
      <c r="D326" s="657">
        <f>D324+D325</f>
        <v>31445525</v>
      </c>
      <c r="E326" s="593">
        <f>D326-C326</f>
        <v>2612596</v>
      </c>
    </row>
    <row r="327" spans="1:5" x14ac:dyDescent="0.25">
      <c r="A327" s="588"/>
      <c r="B327" s="586"/>
      <c r="C327" s="589"/>
      <c r="D327" s="589"/>
      <c r="E327" s="590"/>
    </row>
    <row r="328" spans="1:5" ht="26.4" x14ac:dyDescent="0.2">
      <c r="A328" s="588">
        <v>3</v>
      </c>
      <c r="B328" s="587" t="s">
        <v>867</v>
      </c>
      <c r="C328" s="589">
        <v>28832929</v>
      </c>
      <c r="D328" s="589">
        <v>31445525</v>
      </c>
      <c r="E328" s="590">
        <f>D328-C328</f>
        <v>2612596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868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5" bottom="0.5" header="0.25" footer="0.25"/>
  <pageSetup scale="74" fitToHeight="0" orientation="portrait" horizontalDpi="300" verticalDpi="300" r:id="rId1"/>
  <headerFooter>
    <oddHeader>&amp;LOFFICE OF HEALTH CARE ACCESS&amp;CTWELVE MONTHS ACTUAL FILING&amp;RNORWALK HOSPITAL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>
      <selection activeCell="B30" sqref="B30"/>
    </sheetView>
  </sheetViews>
  <sheetFormatPr defaultColWidth="9.109375" defaultRowHeight="15" x14ac:dyDescent="0.25"/>
  <cols>
    <col min="1" max="1" width="6.6640625" style="675" customWidth="1"/>
    <col min="2" max="2" width="104.6640625" style="676" customWidth="1"/>
    <col min="3" max="3" width="16.6640625" style="675" customWidth="1"/>
    <col min="4" max="4" width="12.6640625" style="674" bestFit="1" customWidth="1"/>
    <col min="5" max="43" width="9.109375" style="675"/>
    <col min="44" max="44" width="9.109375" style="676"/>
    <col min="45" max="16384" width="9.109375" style="675"/>
  </cols>
  <sheetData>
    <row r="2" spans="1:58" s="662" customFormat="1" ht="15.75" customHeight="1" x14ac:dyDescent="0.3">
      <c r="A2" s="823" t="s">
        <v>0</v>
      </c>
      <c r="B2" s="824"/>
      <c r="C2" s="825"/>
      <c r="D2" s="661"/>
    </row>
    <row r="3" spans="1:58" s="662" customFormat="1" ht="15.75" customHeight="1" x14ac:dyDescent="0.3">
      <c r="A3" s="823" t="s">
        <v>629</v>
      </c>
      <c r="B3" s="824"/>
      <c r="C3" s="825"/>
      <c r="D3" s="661"/>
    </row>
    <row r="4" spans="1:58" s="662" customFormat="1" ht="15.75" customHeight="1" x14ac:dyDescent="0.3">
      <c r="A4" s="823" t="s">
        <v>2</v>
      </c>
      <c r="B4" s="824"/>
      <c r="C4" s="825"/>
      <c r="D4" s="661"/>
    </row>
    <row r="5" spans="1:58" s="662" customFormat="1" ht="15.75" customHeight="1" x14ac:dyDescent="0.3">
      <c r="A5" s="823" t="s">
        <v>869</v>
      </c>
      <c r="B5" s="824"/>
      <c r="C5" s="825"/>
      <c r="D5" s="661"/>
    </row>
    <row r="6" spans="1:58" s="662" customFormat="1" ht="15.75" customHeight="1" x14ac:dyDescent="0.3">
      <c r="A6" s="823" t="s">
        <v>870</v>
      </c>
      <c r="B6" s="824"/>
      <c r="C6" s="825"/>
      <c r="D6" s="661"/>
    </row>
    <row r="7" spans="1:58" s="662" customFormat="1" ht="15.75" customHeight="1" x14ac:dyDescent="0.3">
      <c r="A7" s="823"/>
      <c r="B7" s="824"/>
      <c r="C7" s="825"/>
      <c r="D7" s="661"/>
    </row>
    <row r="8" spans="1:58" s="662" customFormat="1" ht="15.75" customHeight="1" x14ac:dyDescent="0.3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3">
      <c r="A9" s="665" t="s">
        <v>8</v>
      </c>
      <c r="B9" s="572" t="s">
        <v>9</v>
      </c>
      <c r="C9" s="573" t="s">
        <v>871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3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3">
      <c r="A11" s="578" t="s">
        <v>12</v>
      </c>
      <c r="B11" s="579" t="s">
        <v>872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3.2" x14ac:dyDescent="0.25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3.2" x14ac:dyDescent="0.25">
      <c r="A13" s="584" t="s">
        <v>14</v>
      </c>
      <c r="B13" s="585" t="s">
        <v>776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3.2" x14ac:dyDescent="0.25">
      <c r="A14" s="588">
        <v>1</v>
      </c>
      <c r="B14" s="669" t="s">
        <v>656</v>
      </c>
      <c r="C14" s="589">
        <v>136392350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3.2" x14ac:dyDescent="0.25">
      <c r="A15" s="588">
        <v>2</v>
      </c>
      <c r="B15" s="669" t="s">
        <v>635</v>
      </c>
      <c r="C15" s="591">
        <v>244074842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3.2" x14ac:dyDescent="0.25">
      <c r="A16" s="588">
        <v>3</v>
      </c>
      <c r="B16" s="669" t="s">
        <v>777</v>
      </c>
      <c r="C16" s="591">
        <v>86033319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3.2" x14ac:dyDescent="0.25">
      <c r="A17" s="588">
        <v>4</v>
      </c>
      <c r="B17" s="669" t="s">
        <v>115</v>
      </c>
      <c r="C17" s="591">
        <v>84806012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3.2" x14ac:dyDescent="0.25">
      <c r="A18" s="588">
        <v>5</v>
      </c>
      <c r="B18" s="669" t="s">
        <v>743</v>
      </c>
      <c r="C18" s="591">
        <v>1227307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3.2" x14ac:dyDescent="0.25">
      <c r="A19" s="588">
        <v>6</v>
      </c>
      <c r="B19" s="669" t="s">
        <v>424</v>
      </c>
      <c r="C19" s="591">
        <v>367783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3.2" x14ac:dyDescent="0.25">
      <c r="A20" s="588">
        <v>7</v>
      </c>
      <c r="B20" s="669" t="s">
        <v>758</v>
      </c>
      <c r="C20" s="591">
        <v>5678211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3.2" x14ac:dyDescent="0.25">
      <c r="A21" s="588"/>
      <c r="B21" s="671" t="s">
        <v>778</v>
      </c>
      <c r="C21" s="593">
        <f>SUM(C15+C16+C19)</f>
        <v>330475944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3.2" x14ac:dyDescent="0.25">
      <c r="A22" s="588"/>
      <c r="B22" s="671" t="s">
        <v>465</v>
      </c>
      <c r="C22" s="593">
        <f>SUM(C14+C21)</f>
        <v>466868294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3.2" x14ac:dyDescent="0.25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3.2" x14ac:dyDescent="0.25">
      <c r="A24" s="584" t="s">
        <v>26</v>
      </c>
      <c r="B24" s="585" t="s">
        <v>779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3.2" x14ac:dyDescent="0.25">
      <c r="A25" s="588">
        <v>1</v>
      </c>
      <c r="B25" s="669" t="s">
        <v>656</v>
      </c>
      <c r="C25" s="589">
        <v>275327052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3.2" x14ac:dyDescent="0.25">
      <c r="A26" s="588">
        <v>2</v>
      </c>
      <c r="B26" s="669" t="s">
        <v>635</v>
      </c>
      <c r="C26" s="591">
        <v>179450346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3.2" x14ac:dyDescent="0.25">
      <c r="A27" s="588">
        <v>3</v>
      </c>
      <c r="B27" s="669" t="s">
        <v>777</v>
      </c>
      <c r="C27" s="591">
        <v>92237375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3.2" x14ac:dyDescent="0.25">
      <c r="A28" s="588">
        <v>4</v>
      </c>
      <c r="B28" s="669" t="s">
        <v>115</v>
      </c>
      <c r="C28" s="591">
        <v>91316411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3.2" x14ac:dyDescent="0.25">
      <c r="A29" s="588">
        <v>5</v>
      </c>
      <c r="B29" s="669" t="s">
        <v>743</v>
      </c>
      <c r="C29" s="591">
        <v>920964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3.2" x14ac:dyDescent="0.25">
      <c r="A30" s="588">
        <v>6</v>
      </c>
      <c r="B30" s="669" t="s">
        <v>424</v>
      </c>
      <c r="C30" s="591">
        <v>523869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3.2" x14ac:dyDescent="0.25">
      <c r="A31" s="588">
        <v>7</v>
      </c>
      <c r="B31" s="669" t="s">
        <v>758</v>
      </c>
      <c r="C31" s="594">
        <v>31201863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3.2" x14ac:dyDescent="0.25">
      <c r="A32" s="588"/>
      <c r="B32" s="671" t="s">
        <v>780</v>
      </c>
      <c r="C32" s="593">
        <f>SUM(C26+C27+C30)</f>
        <v>272211590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3.2" x14ac:dyDescent="0.25">
      <c r="A33" s="588"/>
      <c r="B33" s="671" t="s">
        <v>467</v>
      </c>
      <c r="C33" s="593">
        <f>SUM(C25+C32)</f>
        <v>547538642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3.2" x14ac:dyDescent="0.25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3.2" x14ac:dyDescent="0.25">
      <c r="A35" s="584" t="s">
        <v>36</v>
      </c>
      <c r="B35" s="585" t="s">
        <v>653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3.2" x14ac:dyDescent="0.25">
      <c r="A36" s="588">
        <v>1</v>
      </c>
      <c r="B36" s="669" t="s">
        <v>873</v>
      </c>
      <c r="C36" s="590">
        <f>SUM(C14+C25)</f>
        <v>411719402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3.2" x14ac:dyDescent="0.25">
      <c r="A37" s="588">
        <v>2</v>
      </c>
      <c r="B37" s="669" t="s">
        <v>874</v>
      </c>
      <c r="C37" s="594">
        <f>SUM(C21+C32)</f>
        <v>602687534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3.2" x14ac:dyDescent="0.25">
      <c r="A38" s="588"/>
      <c r="B38" s="671" t="s">
        <v>653</v>
      </c>
      <c r="C38" s="593">
        <f>SUM(+C36+C37)</f>
        <v>1014406936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3.2" x14ac:dyDescent="0.25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3.2" x14ac:dyDescent="0.25">
      <c r="A40" s="584" t="s">
        <v>170</v>
      </c>
      <c r="B40" s="585" t="s">
        <v>789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5">
      <c r="A41" s="588">
        <v>1</v>
      </c>
      <c r="B41" s="669" t="s">
        <v>656</v>
      </c>
      <c r="C41" s="589">
        <v>70178108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3.2" x14ac:dyDescent="0.25">
      <c r="A42" s="588">
        <v>2</v>
      </c>
      <c r="B42" s="669" t="s">
        <v>635</v>
      </c>
      <c r="C42" s="591">
        <v>69647716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3.2" x14ac:dyDescent="0.25">
      <c r="A43" s="588">
        <v>3</v>
      </c>
      <c r="B43" s="669" t="s">
        <v>777</v>
      </c>
      <c r="C43" s="591">
        <v>20254583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3.2" x14ac:dyDescent="0.25">
      <c r="A44" s="588">
        <v>4</v>
      </c>
      <c r="B44" s="669" t="s">
        <v>115</v>
      </c>
      <c r="C44" s="591">
        <v>20010413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3.2" x14ac:dyDescent="0.25">
      <c r="A45" s="588">
        <v>5</v>
      </c>
      <c r="B45" s="669" t="s">
        <v>743</v>
      </c>
      <c r="C45" s="591">
        <v>244170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3.2" x14ac:dyDescent="0.25">
      <c r="A46" s="588">
        <v>6</v>
      </c>
      <c r="B46" s="669" t="s">
        <v>424</v>
      </c>
      <c r="C46" s="591">
        <v>126891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3.2" x14ac:dyDescent="0.25">
      <c r="A47" s="588">
        <v>7</v>
      </c>
      <c r="B47" s="669" t="s">
        <v>758</v>
      </c>
      <c r="C47" s="591">
        <v>960116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3.2" x14ac:dyDescent="0.25">
      <c r="A48" s="588"/>
      <c r="B48" s="671" t="s">
        <v>790</v>
      </c>
      <c r="C48" s="593">
        <f>SUM(C42+C43+C46)</f>
        <v>90029190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3.2" x14ac:dyDescent="0.25">
      <c r="A49" s="588"/>
      <c r="B49" s="671" t="s">
        <v>466</v>
      </c>
      <c r="C49" s="593">
        <f>SUM(C41+C48)</f>
        <v>160207298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3.2" x14ac:dyDescent="0.25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3.2" x14ac:dyDescent="0.25">
      <c r="A51" s="584" t="s">
        <v>175</v>
      </c>
      <c r="B51" s="585" t="s">
        <v>791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3.2" x14ac:dyDescent="0.25">
      <c r="A52" s="588">
        <v>1</v>
      </c>
      <c r="B52" s="669" t="s">
        <v>656</v>
      </c>
      <c r="C52" s="589">
        <v>144943945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3.2" x14ac:dyDescent="0.25">
      <c r="A53" s="588">
        <v>2</v>
      </c>
      <c r="B53" s="669" t="s">
        <v>635</v>
      </c>
      <c r="C53" s="591">
        <v>38586602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3.2" x14ac:dyDescent="0.25">
      <c r="A54" s="588">
        <v>3</v>
      </c>
      <c r="B54" s="669" t="s">
        <v>777</v>
      </c>
      <c r="C54" s="591">
        <v>22086304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3.2" x14ac:dyDescent="0.25">
      <c r="A55" s="588">
        <v>4</v>
      </c>
      <c r="B55" s="669" t="s">
        <v>115</v>
      </c>
      <c r="C55" s="591">
        <v>21845649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3.2" x14ac:dyDescent="0.25">
      <c r="A56" s="588">
        <v>5</v>
      </c>
      <c r="B56" s="669" t="s">
        <v>743</v>
      </c>
      <c r="C56" s="591">
        <v>240655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3.2" x14ac:dyDescent="0.25">
      <c r="A57" s="588">
        <v>6</v>
      </c>
      <c r="B57" s="669" t="s">
        <v>424</v>
      </c>
      <c r="C57" s="591">
        <v>88223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3.2" x14ac:dyDescent="0.25">
      <c r="A58" s="588">
        <v>7</v>
      </c>
      <c r="B58" s="669" t="s">
        <v>758</v>
      </c>
      <c r="C58" s="591">
        <v>3824559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3.2" x14ac:dyDescent="0.25">
      <c r="A59" s="588"/>
      <c r="B59" s="671" t="s">
        <v>792</v>
      </c>
      <c r="C59" s="593">
        <f>SUM(C53+C54+C57)</f>
        <v>60761129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3.2" x14ac:dyDescent="0.25">
      <c r="A60" s="588"/>
      <c r="B60" s="671" t="s">
        <v>468</v>
      </c>
      <c r="C60" s="593">
        <f>SUM(C52+C59)</f>
        <v>205705074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5">
      <c r="A61" s="672"/>
      <c r="B61" s="673"/>
      <c r="C61" s="672"/>
    </row>
    <row r="62" spans="1:58" s="421" customFormat="1" ht="13.2" x14ac:dyDescent="0.25">
      <c r="A62" s="584" t="s">
        <v>181</v>
      </c>
      <c r="B62" s="597" t="s">
        <v>654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3.2" x14ac:dyDescent="0.25">
      <c r="A63" s="588">
        <v>1</v>
      </c>
      <c r="B63" s="669" t="s">
        <v>875</v>
      </c>
      <c r="C63" s="590">
        <f>SUM(C41+C52)</f>
        <v>215122053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3.2" x14ac:dyDescent="0.25">
      <c r="A64" s="588">
        <v>2</v>
      </c>
      <c r="B64" s="669" t="s">
        <v>876</v>
      </c>
      <c r="C64" s="594">
        <f>SUM(C48+C59)</f>
        <v>150790319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3.2" x14ac:dyDescent="0.25">
      <c r="A65" s="588"/>
      <c r="B65" s="671" t="s">
        <v>654</v>
      </c>
      <c r="C65" s="593">
        <f>SUM(+C63+C64)</f>
        <v>365912372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3.2" x14ac:dyDescent="0.25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3">
      <c r="A67" s="423" t="s">
        <v>44</v>
      </c>
      <c r="B67" s="579" t="s">
        <v>877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3.2" x14ac:dyDescent="0.25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3.2" x14ac:dyDescent="0.25">
      <c r="A69" s="584" t="s">
        <v>14</v>
      </c>
      <c r="B69" s="585" t="s">
        <v>878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3.2" x14ac:dyDescent="0.25">
      <c r="A70" s="588">
        <v>1</v>
      </c>
      <c r="B70" s="669" t="s">
        <v>656</v>
      </c>
      <c r="C70" s="606">
        <v>4433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3.2" x14ac:dyDescent="0.25">
      <c r="A71" s="588">
        <v>2</v>
      </c>
      <c r="B71" s="669" t="s">
        <v>635</v>
      </c>
      <c r="C71" s="606">
        <v>5492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3.2" x14ac:dyDescent="0.25">
      <c r="A72" s="588">
        <v>3</v>
      </c>
      <c r="B72" s="669" t="s">
        <v>777</v>
      </c>
      <c r="C72" s="606">
        <v>2713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3.2" x14ac:dyDescent="0.25">
      <c r="A73" s="588">
        <v>4</v>
      </c>
      <c r="B73" s="669" t="s">
        <v>115</v>
      </c>
      <c r="C73" s="606">
        <v>2678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3.2" x14ac:dyDescent="0.25">
      <c r="A74" s="588">
        <v>5</v>
      </c>
      <c r="B74" s="669" t="s">
        <v>743</v>
      </c>
      <c r="C74" s="606">
        <v>35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3.2" x14ac:dyDescent="0.25">
      <c r="A75" s="588">
        <v>6</v>
      </c>
      <c r="B75" s="669" t="s">
        <v>424</v>
      </c>
      <c r="C75" s="621">
        <v>9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3.2" x14ac:dyDescent="0.25">
      <c r="A76" s="588">
        <v>7</v>
      </c>
      <c r="B76" s="669" t="s">
        <v>758</v>
      </c>
      <c r="C76" s="621">
        <v>187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3.2" x14ac:dyDescent="0.25">
      <c r="A77" s="588"/>
      <c r="B77" s="671" t="s">
        <v>807</v>
      </c>
      <c r="C77" s="608">
        <f>SUM(C71+C72+C75)</f>
        <v>8214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3.2" x14ac:dyDescent="0.25">
      <c r="A78" s="588"/>
      <c r="B78" s="671" t="s">
        <v>138</v>
      </c>
      <c r="C78" s="680">
        <f>SUM(C70+C77)</f>
        <v>12647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3.2" x14ac:dyDescent="0.25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3.2" x14ac:dyDescent="0.25">
      <c r="A80" s="584" t="s">
        <v>26</v>
      </c>
      <c r="B80" s="585" t="s">
        <v>811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3.2" x14ac:dyDescent="0.25">
      <c r="A81" s="588">
        <v>1</v>
      </c>
      <c r="B81" s="669" t="s">
        <v>656</v>
      </c>
      <c r="C81" s="617">
        <v>1.1152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3.2" x14ac:dyDescent="0.25">
      <c r="A82" s="588">
        <v>2</v>
      </c>
      <c r="B82" s="669" t="s">
        <v>635</v>
      </c>
      <c r="C82" s="617">
        <v>1.4616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3.2" x14ac:dyDescent="0.25">
      <c r="A83" s="588">
        <v>3</v>
      </c>
      <c r="B83" s="669" t="s">
        <v>777</v>
      </c>
      <c r="C83" s="617">
        <f>((C73*C84)+(C74*C85))/(C73+C74)</f>
        <v>1.0447438997419829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3.2" x14ac:dyDescent="0.25">
      <c r="A84" s="588">
        <v>4</v>
      </c>
      <c r="B84" s="669" t="s">
        <v>115</v>
      </c>
      <c r="C84" s="617">
        <v>1.0448999999999999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3.2" x14ac:dyDescent="0.25">
      <c r="A85" s="588">
        <v>5</v>
      </c>
      <c r="B85" s="669" t="s">
        <v>743</v>
      </c>
      <c r="C85" s="617">
        <v>1.0327999999999999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3.2" x14ac:dyDescent="0.25">
      <c r="A86" s="588">
        <v>6</v>
      </c>
      <c r="B86" s="669" t="s">
        <v>424</v>
      </c>
      <c r="C86" s="617">
        <v>2.1718000000000002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3.2" x14ac:dyDescent="0.25">
      <c r="A87" s="588">
        <v>7</v>
      </c>
      <c r="B87" s="669" t="s">
        <v>758</v>
      </c>
      <c r="C87" s="617">
        <v>1.0905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3.2" x14ac:dyDescent="0.25">
      <c r="A88" s="588"/>
      <c r="B88" s="671" t="s">
        <v>812</v>
      </c>
      <c r="C88" s="619">
        <f>((C71*C82)+(C73*C84)+(C74*C85)+(C75*C86))/(C71+C73+C74+C75)</f>
        <v>1.3246948624299975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3.2" x14ac:dyDescent="0.25">
      <c r="A89" s="588"/>
      <c r="B89" s="671" t="s">
        <v>723</v>
      </c>
      <c r="C89" s="619">
        <f>((C70*C81)+(C71*C82)+(C73*C84)+(C74*C85)+(C75*C86))/(C70+C71+C73+C74+C75)</f>
        <v>1.2512631612240057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3.2" x14ac:dyDescent="0.25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3.2" x14ac:dyDescent="0.25">
      <c r="A91" s="584" t="s">
        <v>36</v>
      </c>
      <c r="B91" s="585" t="s">
        <v>813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3.2" x14ac:dyDescent="0.25">
      <c r="A92" s="588">
        <v>1</v>
      </c>
      <c r="B92" s="669" t="s">
        <v>814</v>
      </c>
      <c r="C92" s="589">
        <v>374839328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3.2" x14ac:dyDescent="0.25">
      <c r="A93" s="588">
        <v>2</v>
      </c>
      <c r="B93" s="669" t="s">
        <v>815</v>
      </c>
      <c r="C93" s="622">
        <v>210337378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3.2" x14ac:dyDescent="0.25">
      <c r="A94" s="588"/>
      <c r="B94" s="669" t="s">
        <v>668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3.2" x14ac:dyDescent="0.25">
      <c r="A95" s="588">
        <v>3</v>
      </c>
      <c r="B95" s="669" t="s">
        <v>747</v>
      </c>
      <c r="C95" s="589">
        <f>+C92-C93</f>
        <v>164501950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3.2" x14ac:dyDescent="0.25">
      <c r="A96" s="588">
        <v>4</v>
      </c>
      <c r="B96" s="669" t="s">
        <v>670</v>
      </c>
      <c r="C96" s="681">
        <f>(+C92-C93)/C92</f>
        <v>0.43885989999427166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3.2" x14ac:dyDescent="0.25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3.2" x14ac:dyDescent="0.25">
      <c r="A98" s="588">
        <v>5</v>
      </c>
      <c r="B98" s="669" t="s">
        <v>762</v>
      </c>
      <c r="C98" s="589">
        <v>17006632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3.2" x14ac:dyDescent="0.25">
      <c r="A99" s="588">
        <v>6</v>
      </c>
      <c r="B99" s="669" t="s">
        <v>748</v>
      </c>
      <c r="C99" s="589">
        <v>10783544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3.2" x14ac:dyDescent="0.25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5">
      <c r="A101" s="588">
        <v>7</v>
      </c>
      <c r="B101" s="683" t="s">
        <v>879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3.2" x14ac:dyDescent="0.25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3.2" x14ac:dyDescent="0.25">
      <c r="A103" s="588">
        <v>8</v>
      </c>
      <c r="B103" s="669" t="s">
        <v>817</v>
      </c>
      <c r="C103" s="589">
        <v>18588723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3.2" x14ac:dyDescent="0.25">
      <c r="A104" s="588">
        <v>9</v>
      </c>
      <c r="B104" s="669" t="s">
        <v>818</v>
      </c>
      <c r="C104" s="589">
        <v>12856802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3.2" x14ac:dyDescent="0.25">
      <c r="A105" s="645">
        <v>10</v>
      </c>
      <c r="B105" s="646" t="s">
        <v>819</v>
      </c>
      <c r="C105" s="654">
        <f>+C103+C104</f>
        <v>31445525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5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3.2" x14ac:dyDescent="0.25">
      <c r="A107" s="588">
        <v>11</v>
      </c>
      <c r="B107" s="669" t="s">
        <v>820</v>
      </c>
      <c r="C107" s="589">
        <v>12937127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3.2" x14ac:dyDescent="0.25">
      <c r="A108" s="588">
        <v>12</v>
      </c>
      <c r="B108" s="669" t="s">
        <v>710</v>
      </c>
      <c r="C108" s="589">
        <v>382146747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3.2" x14ac:dyDescent="0.25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3">
      <c r="A110" s="578" t="s">
        <v>135</v>
      </c>
      <c r="B110" s="579" t="s">
        <v>850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3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3.2" x14ac:dyDescent="0.25">
      <c r="A112" s="584" t="s">
        <v>14</v>
      </c>
      <c r="B112" s="585" t="s">
        <v>851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3.2" x14ac:dyDescent="0.25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3.2" x14ac:dyDescent="0.25">
      <c r="A114" s="588">
        <v>1</v>
      </c>
      <c r="B114" s="669" t="s">
        <v>654</v>
      </c>
      <c r="C114" s="590">
        <f>+C65</f>
        <v>365912372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3.2" x14ac:dyDescent="0.25">
      <c r="A115" s="588">
        <v>2</v>
      </c>
      <c r="B115" s="669" t="s">
        <v>852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3.2" x14ac:dyDescent="0.25">
      <c r="A116" s="588"/>
      <c r="B116" s="671" t="s">
        <v>853</v>
      </c>
      <c r="C116" s="593">
        <f>+C114+C115</f>
        <v>365912372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3.2" x14ac:dyDescent="0.25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3.2" x14ac:dyDescent="0.25">
      <c r="A118" s="588">
        <v>3</v>
      </c>
      <c r="B118" s="669" t="s">
        <v>854</v>
      </c>
      <c r="C118" s="654">
        <v>6311354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3.2" x14ac:dyDescent="0.25">
      <c r="A119" s="588"/>
      <c r="B119" s="671" t="s">
        <v>855</v>
      </c>
      <c r="C119" s="656">
        <f>+C116+C118</f>
        <v>372223726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3.2" x14ac:dyDescent="0.25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3.2" x14ac:dyDescent="0.25">
      <c r="A121" s="588">
        <v>4</v>
      </c>
      <c r="B121" s="669" t="s">
        <v>856</v>
      </c>
      <c r="C121" s="589">
        <v>372223726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3.2" x14ac:dyDescent="0.25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3.2" x14ac:dyDescent="0.25">
      <c r="A123" s="588"/>
      <c r="B123" s="671" t="s">
        <v>857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3.2" x14ac:dyDescent="0.25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3.2" x14ac:dyDescent="0.25">
      <c r="A125" s="425" t="s">
        <v>26</v>
      </c>
      <c r="B125" s="585" t="s">
        <v>858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3.2" x14ac:dyDescent="0.25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3.2" x14ac:dyDescent="0.25">
      <c r="A127" s="588">
        <v>1</v>
      </c>
      <c r="B127" s="669" t="s">
        <v>859</v>
      </c>
      <c r="C127" s="590">
        <f>C38</f>
        <v>1014406936</v>
      </c>
      <c r="D127" s="664"/>
      <c r="AR127" s="485"/>
    </row>
    <row r="128" spans="1:58" s="421" customFormat="1" ht="13.2" x14ac:dyDescent="0.25">
      <c r="A128" s="588">
        <v>2</v>
      </c>
      <c r="B128" s="659" t="s">
        <v>860</v>
      </c>
      <c r="C128" s="589">
        <v>0</v>
      </c>
      <c r="D128" s="664"/>
      <c r="AR128" s="485"/>
    </row>
    <row r="129" spans="1:44" s="421" customFormat="1" ht="13.2" x14ac:dyDescent="0.25">
      <c r="A129" s="588"/>
      <c r="B129" s="671" t="s">
        <v>861</v>
      </c>
      <c r="C129" s="657">
        <f>C127+C128</f>
        <v>1014406936</v>
      </c>
      <c r="D129" s="664"/>
      <c r="AR129" s="485"/>
    </row>
    <row r="130" spans="1:44" s="421" customFormat="1" ht="13.2" x14ac:dyDescent="0.25">
      <c r="A130" s="588"/>
      <c r="B130" s="586"/>
      <c r="C130" s="589"/>
      <c r="D130" s="664"/>
      <c r="AR130" s="485"/>
    </row>
    <row r="131" spans="1:44" s="421" customFormat="1" ht="13.2" x14ac:dyDescent="0.25">
      <c r="A131" s="588">
        <v>3</v>
      </c>
      <c r="B131" s="669" t="s">
        <v>862</v>
      </c>
      <c r="C131" s="589">
        <v>1014407266</v>
      </c>
      <c r="D131" s="664"/>
      <c r="AR131" s="485"/>
    </row>
    <row r="132" spans="1:44" s="421" customFormat="1" ht="13.2" x14ac:dyDescent="0.25">
      <c r="A132" s="588"/>
      <c r="B132" s="669"/>
      <c r="C132" s="589"/>
      <c r="D132" s="664"/>
      <c r="AR132" s="485"/>
    </row>
    <row r="133" spans="1:44" s="421" customFormat="1" ht="13.2" x14ac:dyDescent="0.25">
      <c r="A133" s="588"/>
      <c r="B133" s="671" t="s">
        <v>857</v>
      </c>
      <c r="C133" s="657">
        <f>C129-C131</f>
        <v>-330</v>
      </c>
      <c r="D133" s="664"/>
      <c r="AR133" s="485"/>
    </row>
    <row r="134" spans="1:44" s="421" customFormat="1" ht="13.2" x14ac:dyDescent="0.25">
      <c r="A134" s="669"/>
      <c r="B134" s="586"/>
      <c r="C134" s="586"/>
      <c r="D134" s="664"/>
      <c r="AR134" s="485"/>
    </row>
    <row r="135" spans="1:44" s="421" customFormat="1" ht="13.2" x14ac:dyDescent="0.25">
      <c r="A135" s="584" t="s">
        <v>36</v>
      </c>
      <c r="B135" s="585" t="s">
        <v>863</v>
      </c>
      <c r="C135" s="586"/>
      <c r="D135" s="664"/>
      <c r="AR135" s="485"/>
    </row>
    <row r="136" spans="1:44" s="421" customFormat="1" ht="13.2" x14ac:dyDescent="0.25">
      <c r="A136" s="586"/>
      <c r="B136" s="627"/>
      <c r="C136" s="586"/>
      <c r="D136" s="664"/>
      <c r="AR136" s="485"/>
    </row>
    <row r="137" spans="1:44" s="421" customFormat="1" ht="13.2" x14ac:dyDescent="0.25">
      <c r="A137" s="588">
        <v>1</v>
      </c>
      <c r="B137" s="669" t="s">
        <v>864</v>
      </c>
      <c r="C137" s="589">
        <f>C105</f>
        <v>31445525</v>
      </c>
      <c r="D137" s="664"/>
      <c r="AR137" s="485"/>
    </row>
    <row r="138" spans="1:44" s="421" customFormat="1" ht="13.2" x14ac:dyDescent="0.25">
      <c r="A138" s="588">
        <v>2</v>
      </c>
      <c r="B138" s="669" t="s">
        <v>880</v>
      </c>
      <c r="C138" s="589">
        <v>0</v>
      </c>
      <c r="D138" s="664"/>
      <c r="AR138" s="485"/>
    </row>
    <row r="139" spans="1:44" s="421" customFormat="1" ht="13.2" x14ac:dyDescent="0.25">
      <c r="A139" s="588"/>
      <c r="B139" s="671" t="s">
        <v>866</v>
      </c>
      <c r="C139" s="657">
        <f>C137+C138</f>
        <v>31445525</v>
      </c>
      <c r="D139" s="664"/>
      <c r="AR139" s="485"/>
    </row>
    <row r="140" spans="1:44" s="421" customFormat="1" ht="13.2" x14ac:dyDescent="0.25">
      <c r="A140" s="588"/>
      <c r="B140" s="586"/>
      <c r="C140" s="589"/>
      <c r="D140" s="664"/>
      <c r="AR140" s="485"/>
    </row>
    <row r="141" spans="1:44" s="421" customFormat="1" ht="13.2" x14ac:dyDescent="0.25">
      <c r="A141" s="588">
        <v>3</v>
      </c>
      <c r="B141" s="669" t="s">
        <v>881</v>
      </c>
      <c r="C141" s="589">
        <v>31445525</v>
      </c>
      <c r="D141" s="664"/>
      <c r="AR141" s="485"/>
    </row>
    <row r="142" spans="1:44" s="421" customFormat="1" ht="13.2" x14ac:dyDescent="0.25">
      <c r="A142" s="588"/>
      <c r="B142" s="669"/>
      <c r="C142" s="589"/>
      <c r="D142" s="664"/>
      <c r="AR142" s="485"/>
    </row>
    <row r="143" spans="1:44" s="421" customFormat="1" ht="13.2" x14ac:dyDescent="0.25">
      <c r="A143" s="588"/>
      <c r="B143" s="671" t="s">
        <v>868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5" bottom="0.5" header="0.25" footer="0.25"/>
  <pageSetup scale="67" fitToHeight="2" orientation="portrait" horizontalDpi="300" verticalDpi="300" r:id="rId1"/>
  <headerFooter>
    <oddHeader>&amp;LOFFICE OF HEALTH CARE ACCESS&amp;CTWELVE MONTHS ACTUAL FILING&amp;RNORWALK HOSPITAL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30" sqref="B30"/>
    </sheetView>
  </sheetViews>
  <sheetFormatPr defaultColWidth="9.109375" defaultRowHeight="13.2" x14ac:dyDescent="0.25"/>
  <cols>
    <col min="1" max="1" width="5.88671875" style="365" customWidth="1"/>
    <col min="2" max="2" width="60.33203125" style="365" customWidth="1"/>
    <col min="3" max="4" width="18.6640625" style="365" customWidth="1"/>
    <col min="5" max="6" width="15.6640625" style="365" customWidth="1"/>
    <col min="7" max="7" width="35.109375" style="365" customWidth="1"/>
    <col min="8" max="8" width="12.6640625" style="365" customWidth="1"/>
    <col min="9" max="9" width="10.109375" style="365" bestFit="1" customWidth="1"/>
    <col min="10" max="10" width="12.109375" style="365" bestFit="1" customWidth="1"/>
    <col min="11" max="11" width="12" style="365" bestFit="1" customWidth="1"/>
    <col min="12" max="12" width="12.88671875" style="365" bestFit="1" customWidth="1"/>
    <col min="13" max="13" width="12" style="365" bestFit="1" customWidth="1"/>
    <col min="14" max="14" width="9.88671875" style="365" customWidth="1"/>
    <col min="15" max="16384" width="9.109375" style="365"/>
  </cols>
  <sheetData>
    <row r="1" spans="1:14" ht="15.75" customHeight="1" x14ac:dyDescent="0.25">
      <c r="A1" s="826"/>
      <c r="B1" s="827"/>
      <c r="C1" s="827"/>
      <c r="D1" s="827"/>
      <c r="E1" s="827"/>
      <c r="F1" s="828"/>
    </row>
    <row r="2" spans="1:14" ht="15.75" customHeight="1" x14ac:dyDescent="0.3">
      <c r="A2" s="829" t="s">
        <v>0</v>
      </c>
      <c r="B2" s="830"/>
      <c r="C2" s="830"/>
      <c r="D2" s="830"/>
      <c r="E2" s="830"/>
      <c r="F2" s="831"/>
    </row>
    <row r="3" spans="1:14" ht="15.75" customHeight="1" x14ac:dyDescent="0.3">
      <c r="A3" s="829" t="s">
        <v>629</v>
      </c>
      <c r="B3" s="830"/>
      <c r="C3" s="830"/>
      <c r="D3" s="830"/>
      <c r="E3" s="830"/>
      <c r="F3" s="831"/>
    </row>
    <row r="4" spans="1:14" ht="15.75" customHeight="1" x14ac:dyDescent="0.3">
      <c r="A4" s="829" t="s">
        <v>2</v>
      </c>
      <c r="B4" s="830"/>
      <c r="C4" s="830"/>
      <c r="D4" s="830"/>
      <c r="E4" s="830"/>
      <c r="F4" s="831"/>
    </row>
    <row r="5" spans="1:14" ht="15.75" customHeight="1" x14ac:dyDescent="0.3">
      <c r="A5" s="829" t="s">
        <v>882</v>
      </c>
      <c r="B5" s="830"/>
      <c r="C5" s="830"/>
      <c r="D5" s="830"/>
      <c r="E5" s="830"/>
      <c r="F5" s="831"/>
    </row>
    <row r="6" spans="1:14" ht="15.75" customHeight="1" x14ac:dyDescent="0.3">
      <c r="A6" s="688"/>
      <c r="B6" s="688"/>
      <c r="C6" s="177"/>
      <c r="D6" s="177"/>
      <c r="E6" s="688"/>
      <c r="F6" s="688"/>
      <c r="M6" s="689"/>
    </row>
    <row r="7" spans="1:14" ht="15.75" customHeight="1" x14ac:dyDescent="0.3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3">
      <c r="A8" s="688"/>
      <c r="B8" s="393"/>
      <c r="C8" s="177" t="s">
        <v>632</v>
      </c>
      <c r="D8" s="177" t="s">
        <v>632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3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3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3">
      <c r="A11" s="71" t="s">
        <v>14</v>
      </c>
      <c r="B11" s="694" t="s">
        <v>883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5">
      <c r="A12" s="74">
        <v>1</v>
      </c>
      <c r="B12" s="698" t="s">
        <v>884</v>
      </c>
      <c r="C12" s="185">
        <v>4332</v>
      </c>
      <c r="D12" s="185">
        <v>4516</v>
      </c>
      <c r="E12" s="185">
        <f>+D12-C12</f>
        <v>184</v>
      </c>
      <c r="F12" s="77">
        <f>IF(C12=0,0,+E12/C12)</f>
        <v>4.2474607571560477E-2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5">
      <c r="A13" s="85">
        <v>2</v>
      </c>
      <c r="B13" s="698" t="s">
        <v>885</v>
      </c>
      <c r="C13" s="185">
        <v>3701</v>
      </c>
      <c r="D13" s="185">
        <v>3818</v>
      </c>
      <c r="E13" s="185">
        <f>+D13-C13</f>
        <v>117</v>
      </c>
      <c r="F13" s="77">
        <f>IF(C13=0,0,+E13/C13)</f>
        <v>3.1613077546609025E-2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5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3">
      <c r="A15" s="74">
        <v>3</v>
      </c>
      <c r="B15" s="702" t="s">
        <v>886</v>
      </c>
      <c r="C15" s="76">
        <v>15719561</v>
      </c>
      <c r="D15" s="76">
        <v>18588723</v>
      </c>
      <c r="E15" s="76">
        <f>+D15-C15</f>
        <v>2869162</v>
      </c>
      <c r="F15" s="77">
        <f>IF(C15=0,0,+E15/C15)</f>
        <v>0.18252176380752619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3">
      <c r="A16" s="74">
        <v>4</v>
      </c>
      <c r="B16" s="702" t="s">
        <v>887</v>
      </c>
      <c r="C16" s="79">
        <f>IF(C13=0,0,+C15/+C13)</f>
        <v>4247.3820589029992</v>
      </c>
      <c r="D16" s="79">
        <f>IF(D13=0,0,+D15/+D13)</f>
        <v>4868.7069146149815</v>
      </c>
      <c r="E16" s="79">
        <f>+D16-C16</f>
        <v>621.32485571198231</v>
      </c>
      <c r="F16" s="80">
        <f>IF(C16=0,0,+E16/C16)</f>
        <v>0.14628419273223003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5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5">
      <c r="A18" s="74">
        <v>5</v>
      </c>
      <c r="B18" s="703" t="s">
        <v>888</v>
      </c>
      <c r="C18" s="704">
        <v>0.33956500000000001</v>
      </c>
      <c r="D18" s="704">
        <v>0.369757</v>
      </c>
      <c r="E18" s="704">
        <f>+D18-C18</f>
        <v>3.0191999999999997E-2</v>
      </c>
      <c r="F18" s="77">
        <f>IF(C18=0,0,+E18/C18)</f>
        <v>8.8913757307142946E-2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3">
      <c r="A19" s="74">
        <v>6</v>
      </c>
      <c r="B19" s="702" t="s">
        <v>889</v>
      </c>
      <c r="C19" s="79">
        <f>+C15*C18</f>
        <v>5337812.7309649996</v>
      </c>
      <c r="D19" s="79">
        <f>+D15*D18</f>
        <v>6873310.4503110005</v>
      </c>
      <c r="E19" s="79">
        <f>+D19-C19</f>
        <v>1535497.7193460008</v>
      </c>
      <c r="F19" s="80">
        <f>IF(C19=0,0,+E19/C19)</f>
        <v>0.28766421692512334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3">
      <c r="A20" s="74">
        <v>7</v>
      </c>
      <c r="B20" s="702" t="s">
        <v>890</v>
      </c>
      <c r="C20" s="79">
        <f>IF(C13=0,0,+C19/C13)</f>
        <v>1442.2622888313967</v>
      </c>
      <c r="D20" s="79">
        <f>IF(D13=0,0,+D19/D13)</f>
        <v>1800.2384626272919</v>
      </c>
      <c r="E20" s="79">
        <f>+D20-C20</f>
        <v>357.97617379589519</v>
      </c>
      <c r="F20" s="80">
        <f>IF(C20=0,0,+E20/C20)</f>
        <v>0.24820462724983811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3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5">
      <c r="A22" s="74">
        <v>8</v>
      </c>
      <c r="B22" s="705" t="s">
        <v>891</v>
      </c>
      <c r="C22" s="76">
        <v>1644900</v>
      </c>
      <c r="D22" s="76">
        <v>2437479</v>
      </c>
      <c r="E22" s="76">
        <f>+D22-C22</f>
        <v>792579</v>
      </c>
      <c r="F22" s="77">
        <f>IF(C22=0,0,+E22/C22)</f>
        <v>0.48184023344884186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5">
      <c r="A23" s="74">
        <v>9</v>
      </c>
      <c r="B23" s="705" t="s">
        <v>892</v>
      </c>
      <c r="C23" s="185">
        <v>9372563</v>
      </c>
      <c r="D23" s="185">
        <v>10657336</v>
      </c>
      <c r="E23" s="185">
        <f>+D23-C23</f>
        <v>1284773</v>
      </c>
      <c r="F23" s="77">
        <f>IF(C23=0,0,+E23/C23)</f>
        <v>0.13707808632494656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5">
      <c r="A24" s="74">
        <v>10</v>
      </c>
      <c r="B24" s="705" t="s">
        <v>893</v>
      </c>
      <c r="C24" s="185">
        <v>4702098</v>
      </c>
      <c r="D24" s="185">
        <v>5493908</v>
      </c>
      <c r="E24" s="185">
        <f>+D24-C24</f>
        <v>791810</v>
      </c>
      <c r="F24" s="77">
        <f>IF(C24=0,0,+E24/C24)</f>
        <v>0.16839504408457673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3">
      <c r="A25" s="74">
        <v>11</v>
      </c>
      <c r="B25" s="702" t="s">
        <v>894</v>
      </c>
      <c r="C25" s="79">
        <f>+C22+C23+C24</f>
        <v>15719561</v>
      </c>
      <c r="D25" s="79">
        <f>+D22+D23+D24</f>
        <v>18588723</v>
      </c>
      <c r="E25" s="79">
        <f>+E22+E23+E24</f>
        <v>2869162</v>
      </c>
      <c r="F25" s="80">
        <f>IF(C25=0,0,+E25/C25)</f>
        <v>0.18252176380752619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3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5">
      <c r="A27" s="74">
        <v>12</v>
      </c>
      <c r="B27" s="705" t="s">
        <v>895</v>
      </c>
      <c r="C27" s="185">
        <v>253</v>
      </c>
      <c r="D27" s="185">
        <v>271</v>
      </c>
      <c r="E27" s="185">
        <f>+D27-C27</f>
        <v>18</v>
      </c>
      <c r="F27" s="77">
        <f>IF(C27=0,0,+E27/C27)</f>
        <v>7.1146245059288543E-2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5">
      <c r="A28" s="74">
        <v>13</v>
      </c>
      <c r="B28" s="705" t="s">
        <v>896</v>
      </c>
      <c r="C28" s="185">
        <v>64</v>
      </c>
      <c r="D28" s="185">
        <v>75</v>
      </c>
      <c r="E28" s="185">
        <f>+D28-C28</f>
        <v>11</v>
      </c>
      <c r="F28" s="77">
        <f>IF(C28=0,0,+E28/C28)</f>
        <v>0.171875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5">
      <c r="A29" s="74">
        <v>14</v>
      </c>
      <c r="B29" s="705" t="s">
        <v>897</v>
      </c>
      <c r="C29" s="185">
        <v>2032</v>
      </c>
      <c r="D29" s="185">
        <v>2088</v>
      </c>
      <c r="E29" s="185">
        <f>+D29-C29</f>
        <v>56</v>
      </c>
      <c r="F29" s="77">
        <f>IF(C29=0,0,+E29/C29)</f>
        <v>2.7559055118110236E-2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5">
      <c r="A30" s="74">
        <v>15</v>
      </c>
      <c r="B30" s="705" t="s">
        <v>898</v>
      </c>
      <c r="C30" s="185">
        <v>12577</v>
      </c>
      <c r="D30" s="185">
        <v>13823</v>
      </c>
      <c r="E30" s="185">
        <f>+D30-C30</f>
        <v>1246</v>
      </c>
      <c r="F30" s="77">
        <f>IF(C30=0,0,+E30/C30)</f>
        <v>9.9069730460364158E-2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5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3">
      <c r="A32" s="71" t="s">
        <v>26</v>
      </c>
      <c r="B32" s="694" t="s">
        <v>899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5">
      <c r="A33" s="74">
        <v>1</v>
      </c>
      <c r="B33" s="705" t="s">
        <v>900</v>
      </c>
      <c r="C33" s="76">
        <v>4007506</v>
      </c>
      <c r="D33" s="76">
        <v>6155110</v>
      </c>
      <c r="E33" s="76">
        <f>+D33-C33</f>
        <v>2147604</v>
      </c>
      <c r="F33" s="77">
        <f>IF(C33=0,0,+E33/C33)</f>
        <v>0.53589539229635585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5">
      <c r="A34" s="74">
        <v>2</v>
      </c>
      <c r="B34" s="705" t="s">
        <v>901</v>
      </c>
      <c r="C34" s="185">
        <v>3014539</v>
      </c>
      <c r="D34" s="185">
        <v>2184327</v>
      </c>
      <c r="E34" s="185">
        <f>+D34-C34</f>
        <v>-830212</v>
      </c>
      <c r="F34" s="77">
        <f>IF(C34=0,0,+E34/C34)</f>
        <v>-0.27540264033737827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5">
      <c r="A35" s="74">
        <v>3</v>
      </c>
      <c r="B35" s="705" t="s">
        <v>902</v>
      </c>
      <c r="C35" s="185">
        <v>6091323</v>
      </c>
      <c r="D35" s="185">
        <v>4517365</v>
      </c>
      <c r="E35" s="185">
        <f>+D35-C35</f>
        <v>-1573958</v>
      </c>
      <c r="F35" s="77">
        <f>IF(C35=0,0,+E35/C35)</f>
        <v>-0.25839345574023903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3">
      <c r="A36" s="74">
        <v>4</v>
      </c>
      <c r="B36" s="702" t="s">
        <v>903</v>
      </c>
      <c r="C36" s="79">
        <f>+C33+C34+C35</f>
        <v>13113368</v>
      </c>
      <c r="D36" s="79">
        <f>+D33+D34+D35</f>
        <v>12856802</v>
      </c>
      <c r="E36" s="79">
        <f>+E33+E34+E35</f>
        <v>-256566</v>
      </c>
      <c r="F36" s="80">
        <f>IF(C36=0,0,+E36/C36)</f>
        <v>-1.9565225348667101E-2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3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3">
      <c r="A38" s="71" t="s">
        <v>36</v>
      </c>
      <c r="B38" s="694" t="s">
        <v>904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5">
      <c r="A39" s="74">
        <v>1</v>
      </c>
      <c r="B39" s="698" t="s">
        <v>905</v>
      </c>
      <c r="C39" s="76">
        <f>+C25</f>
        <v>15719561</v>
      </c>
      <c r="D39" s="76">
        <f>+D25</f>
        <v>18588723</v>
      </c>
      <c r="E39" s="76">
        <f>+D39-C39</f>
        <v>2869162</v>
      </c>
      <c r="F39" s="77">
        <f>IF(C39=0,0,+E39/C39)</f>
        <v>0.18252176380752619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5">
      <c r="A40" s="74">
        <v>2</v>
      </c>
      <c r="B40" s="698" t="s">
        <v>906</v>
      </c>
      <c r="C40" s="185">
        <f>+C36</f>
        <v>13113368</v>
      </c>
      <c r="D40" s="185">
        <f>+D36</f>
        <v>12856802</v>
      </c>
      <c r="E40" s="185">
        <f>+D40-C40</f>
        <v>-256566</v>
      </c>
      <c r="F40" s="77">
        <f>IF(C40=0,0,+E40/C40)</f>
        <v>-1.9565225348667101E-2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3">
      <c r="A41" s="74">
        <v>3</v>
      </c>
      <c r="B41" s="707" t="s">
        <v>907</v>
      </c>
      <c r="C41" s="79">
        <f>+C39+C40</f>
        <v>28832929</v>
      </c>
      <c r="D41" s="79">
        <f>+D39+D40</f>
        <v>31445525</v>
      </c>
      <c r="E41" s="79">
        <f>+E39+E40</f>
        <v>2612596</v>
      </c>
      <c r="F41" s="80">
        <f>IF(C41=0,0,+E41/C41)</f>
        <v>9.0611536552529917E-2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3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5">
      <c r="A43" s="74">
        <v>4</v>
      </c>
      <c r="B43" s="705" t="s">
        <v>908</v>
      </c>
      <c r="C43" s="76">
        <f t="shared" ref="C43:D45" si="0">+C22+C33</f>
        <v>5652406</v>
      </c>
      <c r="D43" s="76">
        <f t="shared" si="0"/>
        <v>8592589</v>
      </c>
      <c r="E43" s="76">
        <f>+D43-C43</f>
        <v>2940183</v>
      </c>
      <c r="F43" s="77">
        <f>IF(C43=0,0,+E43/C43)</f>
        <v>0.52016486430734099</v>
      </c>
      <c r="G43" s="699"/>
      <c r="H43" s="700"/>
      <c r="I43" s="701"/>
      <c r="J43" s="396"/>
      <c r="K43" s="396"/>
      <c r="L43" s="396"/>
      <c r="M43" s="396"/>
    </row>
    <row r="44" spans="1:13" ht="30" x14ac:dyDescent="0.25">
      <c r="A44" s="74">
        <v>5</v>
      </c>
      <c r="B44" s="705" t="s">
        <v>909</v>
      </c>
      <c r="C44" s="185">
        <f t="shared" si="0"/>
        <v>12387102</v>
      </c>
      <c r="D44" s="185">
        <f t="shared" si="0"/>
        <v>12841663</v>
      </c>
      <c r="E44" s="185">
        <f>+D44-C44</f>
        <v>454561</v>
      </c>
      <c r="F44" s="77">
        <f>IF(C44=0,0,+E44/C44)</f>
        <v>3.6696315247908673E-2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5">
      <c r="A45" s="74">
        <v>6</v>
      </c>
      <c r="B45" s="705" t="s">
        <v>910</v>
      </c>
      <c r="C45" s="185">
        <f t="shared" si="0"/>
        <v>10793421</v>
      </c>
      <c r="D45" s="185">
        <f t="shared" si="0"/>
        <v>10011273</v>
      </c>
      <c r="E45" s="185">
        <f>+D45-C45</f>
        <v>-782148</v>
      </c>
      <c r="F45" s="77">
        <f>IF(C45=0,0,+E45/C45)</f>
        <v>-7.2465254528661482E-2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3">
      <c r="A46" s="74">
        <v>7</v>
      </c>
      <c r="B46" s="702" t="s">
        <v>907</v>
      </c>
      <c r="C46" s="79">
        <f>+C43+C44+C45</f>
        <v>28832929</v>
      </c>
      <c r="D46" s="79">
        <f>+D43+D44+D45</f>
        <v>31445525</v>
      </c>
      <c r="E46" s="79">
        <f>+E43+E44+E45</f>
        <v>2612596</v>
      </c>
      <c r="F46" s="80">
        <f>IF(C46=0,0,+E46/C46)</f>
        <v>9.0611536552529917E-2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3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3">
      <c r="A48" s="832" t="s">
        <v>911</v>
      </c>
      <c r="B48" s="833"/>
      <c r="C48" s="833"/>
      <c r="D48" s="833"/>
      <c r="E48" s="833"/>
      <c r="F48" s="834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76" fitToHeight="0" orientation="portrait" horizontalDpi="300" verticalDpi="300" r:id="rId1"/>
  <headerFooter>
    <oddHeader>&amp;LOFFICE OF HEALTH CARE ACCESS&amp;CTWELVE MONTHS ACTUAL FILING&amp;RNORWALK HOSPITAL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B30" sqref="B30"/>
    </sheetView>
  </sheetViews>
  <sheetFormatPr defaultColWidth="9.109375" defaultRowHeight="13.2" x14ac:dyDescent="0.25"/>
  <cols>
    <col min="1" max="1" width="6.6640625" style="365" customWidth="1"/>
    <col min="2" max="2" width="50.6640625" style="365" customWidth="1"/>
    <col min="3" max="4" width="25.6640625" style="365" customWidth="1"/>
    <col min="5" max="6" width="20.6640625" style="365" customWidth="1"/>
    <col min="7" max="7" width="35.109375" style="365" customWidth="1"/>
    <col min="8" max="8" width="12.6640625" style="365" customWidth="1"/>
    <col min="9" max="9" width="10.109375" style="365" bestFit="1" customWidth="1"/>
    <col min="10" max="10" width="12.109375" style="365" bestFit="1" customWidth="1"/>
    <col min="11" max="11" width="12" style="365" bestFit="1" customWidth="1"/>
    <col min="12" max="12" width="12.88671875" style="365" bestFit="1" customWidth="1"/>
    <col min="13" max="13" width="12" style="365" bestFit="1" customWidth="1"/>
    <col min="14" max="14" width="9.88671875" style="365" customWidth="1"/>
    <col min="15" max="16384" width="9.109375" style="365"/>
  </cols>
  <sheetData>
    <row r="1" spans="1:14" ht="15" customHeight="1" x14ac:dyDescent="0.25">
      <c r="A1" s="688"/>
      <c r="B1" s="688"/>
      <c r="C1" s="688"/>
      <c r="D1" s="688"/>
      <c r="E1" s="688"/>
      <c r="F1" s="688"/>
    </row>
    <row r="2" spans="1:14" ht="15.75" customHeight="1" x14ac:dyDescent="0.3">
      <c r="A2" s="829" t="s">
        <v>0</v>
      </c>
      <c r="B2" s="830"/>
      <c r="C2" s="830"/>
      <c r="D2" s="830"/>
      <c r="E2" s="830"/>
      <c r="F2" s="831"/>
    </row>
    <row r="3" spans="1:14" ht="15.75" customHeight="1" x14ac:dyDescent="0.3">
      <c r="A3" s="829" t="s">
        <v>629</v>
      </c>
      <c r="B3" s="830"/>
      <c r="C3" s="830"/>
      <c r="D3" s="830"/>
      <c r="E3" s="830"/>
      <c r="F3" s="831"/>
    </row>
    <row r="4" spans="1:14" ht="15.75" customHeight="1" x14ac:dyDescent="0.3">
      <c r="A4" s="829" t="s">
        <v>2</v>
      </c>
      <c r="B4" s="830"/>
      <c r="C4" s="830"/>
      <c r="D4" s="830"/>
      <c r="E4" s="830"/>
      <c r="F4" s="831"/>
    </row>
    <row r="5" spans="1:14" ht="15.75" customHeight="1" x14ac:dyDescent="0.3">
      <c r="A5" s="829" t="s">
        <v>912</v>
      </c>
      <c r="B5" s="830"/>
      <c r="C5" s="830"/>
      <c r="D5" s="830"/>
      <c r="E5" s="830"/>
      <c r="F5" s="831"/>
    </row>
    <row r="6" spans="1:14" ht="15.75" customHeight="1" x14ac:dyDescent="0.3">
      <c r="A6" s="829" t="s">
        <v>913</v>
      </c>
      <c r="B6" s="830"/>
      <c r="C6" s="830"/>
      <c r="D6" s="830"/>
      <c r="E6" s="830"/>
      <c r="F6" s="831"/>
    </row>
    <row r="7" spans="1:14" ht="15.75" customHeight="1" x14ac:dyDescent="0.3">
      <c r="A7" s="688"/>
      <c r="B7" s="688"/>
      <c r="C7" s="177"/>
      <c r="D7" s="177"/>
      <c r="E7" s="177"/>
      <c r="F7" s="177"/>
    </row>
    <row r="8" spans="1:14" ht="15.75" customHeight="1" x14ac:dyDescent="0.3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3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3">
      <c r="A10" s="688"/>
      <c r="B10" s="393"/>
      <c r="C10" s="177" t="s">
        <v>914</v>
      </c>
      <c r="D10" s="177" t="s">
        <v>914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3">
      <c r="A11" s="693" t="s">
        <v>8</v>
      </c>
      <c r="B11" s="694" t="s">
        <v>9</v>
      </c>
      <c r="C11" s="693" t="s">
        <v>915</v>
      </c>
      <c r="D11" s="693" t="s">
        <v>915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3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3">
      <c r="A13" s="693"/>
      <c r="B13" s="694" t="s">
        <v>916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3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5">
      <c r="A15" s="74">
        <v>1</v>
      </c>
      <c r="B15" s="698" t="s">
        <v>335</v>
      </c>
      <c r="C15" s="76">
        <v>346306745</v>
      </c>
      <c r="D15" s="76">
        <v>374839328</v>
      </c>
      <c r="E15" s="76">
        <f>+D15-C15</f>
        <v>28532583</v>
      </c>
      <c r="F15" s="77">
        <f>IF(C15=0,0,E15/C15)</f>
        <v>8.2391069223904378E-2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5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5">
      <c r="A17" s="85">
        <v>2</v>
      </c>
      <c r="B17" s="698" t="s">
        <v>917</v>
      </c>
      <c r="C17" s="76">
        <v>143484905</v>
      </c>
      <c r="D17" s="76">
        <v>164501950</v>
      </c>
      <c r="E17" s="76">
        <f>+D17-C17</f>
        <v>21017045</v>
      </c>
      <c r="F17" s="77">
        <f>IF(C17=0,0,E17/C17)</f>
        <v>0.1464756519161371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3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3">
      <c r="A19" s="71"/>
      <c r="B19" s="707" t="s">
        <v>918</v>
      </c>
      <c r="C19" s="79">
        <f>+C15-C17</f>
        <v>202821840</v>
      </c>
      <c r="D19" s="79">
        <f>+D15-D17</f>
        <v>210337378</v>
      </c>
      <c r="E19" s="79">
        <f>+D19-C19</f>
        <v>7515538</v>
      </c>
      <c r="F19" s="80">
        <f>IF(C19=0,0,E19/C19)</f>
        <v>3.7054875352674051E-2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3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3">
      <c r="A21" s="71"/>
      <c r="B21" s="719" t="s">
        <v>919</v>
      </c>
      <c r="C21" s="720">
        <f>IF(C15=0,0,C17/C15)</f>
        <v>0.41432893546442473</v>
      </c>
      <c r="D21" s="720">
        <f>IF(D15=0,0,D17/D15)</f>
        <v>0.43885989999427166</v>
      </c>
      <c r="E21" s="720">
        <f>+D21-C21</f>
        <v>2.4530964529846933E-2</v>
      </c>
      <c r="F21" s="80">
        <f>IF(C21=0,0,E21/C21)</f>
        <v>5.9206496167954023E-2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3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3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3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3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6" x14ac:dyDescent="0.3">
      <c r="A26" s="835" t="s">
        <v>920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3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5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5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5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5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5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5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5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5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5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5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5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5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5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5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3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68" fitToHeight="0" orientation="portrait" horizontalDpi="300" verticalDpi="300" r:id="rId1"/>
  <headerFooter>
    <oddHeader>&amp;LOFFICE OF HEALTH CARE ACCESS&amp;CTWELVE MONTHS ACTUAL FILING&amp;RNORWALK HOSPITAL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activeCell="B30" sqref="B30"/>
    </sheetView>
  </sheetViews>
  <sheetFormatPr defaultColWidth="9.109375" defaultRowHeight="13.2" x14ac:dyDescent="0.25"/>
  <cols>
    <col min="1" max="1" width="9.44140625" style="733" customWidth="1"/>
    <col min="2" max="2" width="83.5546875" style="733" customWidth="1"/>
    <col min="3" max="5" width="18.88671875" style="733" customWidth="1"/>
    <col min="6" max="16384" width="9.109375" style="733"/>
  </cols>
  <sheetData>
    <row r="1" spans="1:6" ht="26.1" customHeight="1" x14ac:dyDescent="0.3">
      <c r="A1" s="838" t="s">
        <v>0</v>
      </c>
      <c r="B1" s="838"/>
      <c r="C1" s="838"/>
      <c r="D1" s="838"/>
      <c r="E1" s="838"/>
      <c r="F1" s="732"/>
    </row>
    <row r="2" spans="1:6" ht="26.1" customHeight="1" x14ac:dyDescent="0.3">
      <c r="A2" s="838" t="s">
        <v>1</v>
      </c>
      <c r="B2" s="838"/>
      <c r="C2" s="838"/>
      <c r="D2" s="838"/>
      <c r="E2" s="838"/>
      <c r="F2" s="732"/>
    </row>
    <row r="3" spans="1:6" ht="26.1" customHeight="1" x14ac:dyDescent="0.3">
      <c r="A3" s="838" t="s">
        <v>2</v>
      </c>
      <c r="B3" s="838"/>
      <c r="C3" s="838"/>
      <c r="D3" s="838"/>
      <c r="E3" s="838"/>
      <c r="F3" s="732"/>
    </row>
    <row r="4" spans="1:6" ht="26.1" customHeight="1" x14ac:dyDescent="0.3">
      <c r="A4" s="838" t="s">
        <v>921</v>
      </c>
      <c r="B4" s="838"/>
      <c r="C4" s="838"/>
      <c r="D4" s="838"/>
      <c r="E4" s="838"/>
      <c r="F4" s="732"/>
    </row>
    <row r="5" spans="1:6" ht="26.1" customHeight="1" x14ac:dyDescent="0.25">
      <c r="A5" s="839"/>
      <c r="B5" s="839"/>
      <c r="C5" s="839"/>
      <c r="D5" s="839"/>
      <c r="E5" s="839"/>
    </row>
    <row r="6" spans="1:6" ht="26.1" customHeight="1" x14ac:dyDescent="0.3">
      <c r="A6" s="734" t="s">
        <v>922</v>
      </c>
      <c r="B6" s="734" t="s">
        <v>923</v>
      </c>
      <c r="C6" s="734" t="s">
        <v>924</v>
      </c>
      <c r="D6" s="734" t="s">
        <v>925</v>
      </c>
      <c r="E6" s="734" t="s">
        <v>926</v>
      </c>
    </row>
    <row r="7" spans="1:6" ht="37.5" customHeight="1" x14ac:dyDescent="0.3">
      <c r="A7" s="735" t="s">
        <v>8</v>
      </c>
      <c r="B7" s="736" t="s">
        <v>9</v>
      </c>
      <c r="C7" s="737" t="s">
        <v>927</v>
      </c>
      <c r="D7" s="737" t="s">
        <v>928</v>
      </c>
      <c r="E7" s="737" t="s">
        <v>929</v>
      </c>
    </row>
    <row r="8" spans="1:6" ht="26.1" customHeight="1" x14ac:dyDescent="0.3">
      <c r="A8" s="738"/>
      <c r="B8" s="736"/>
      <c r="C8" s="739"/>
      <c r="D8" s="739"/>
      <c r="E8" s="739"/>
    </row>
    <row r="9" spans="1:6" ht="26.1" customHeight="1" x14ac:dyDescent="0.3">
      <c r="A9" s="731" t="s">
        <v>14</v>
      </c>
      <c r="B9" s="740" t="s">
        <v>930</v>
      </c>
      <c r="C9" s="741"/>
      <c r="D9" s="741"/>
      <c r="E9" s="741"/>
    </row>
    <row r="10" spans="1:6" ht="26.1" customHeight="1" x14ac:dyDescent="0.3">
      <c r="A10" s="742">
        <v>1</v>
      </c>
      <c r="B10" s="743" t="s">
        <v>931</v>
      </c>
      <c r="C10" s="744">
        <v>453417066</v>
      </c>
      <c r="D10" s="744">
        <v>459739745</v>
      </c>
      <c r="E10" s="744">
        <v>466868294</v>
      </c>
    </row>
    <row r="11" spans="1:6" ht="26.1" customHeight="1" x14ac:dyDescent="0.3">
      <c r="A11" s="742">
        <v>2</v>
      </c>
      <c r="B11" s="743" t="s">
        <v>932</v>
      </c>
      <c r="C11" s="744">
        <v>446848433</v>
      </c>
      <c r="D11" s="744">
        <v>485327482</v>
      </c>
      <c r="E11" s="744">
        <v>547538642</v>
      </c>
    </row>
    <row r="12" spans="1:6" ht="26.1" customHeight="1" x14ac:dyDescent="0.3">
      <c r="A12" s="742">
        <v>3</v>
      </c>
      <c r="B12" s="743" t="s">
        <v>71</v>
      </c>
      <c r="C12" s="744">
        <f>+C11+C10</f>
        <v>900265499</v>
      </c>
      <c r="D12" s="744">
        <f>+D11+D10</f>
        <v>945067227</v>
      </c>
      <c r="E12" s="744">
        <f>+E11+E10</f>
        <v>1014406936</v>
      </c>
    </row>
    <row r="13" spans="1:6" ht="26.1" customHeight="1" x14ac:dyDescent="0.3">
      <c r="A13" s="742">
        <v>4</v>
      </c>
      <c r="B13" s="743" t="s">
        <v>507</v>
      </c>
      <c r="C13" s="744">
        <v>324018792</v>
      </c>
      <c r="D13" s="744">
        <v>355511000</v>
      </c>
      <c r="E13" s="744">
        <v>372223726</v>
      </c>
    </row>
    <row r="14" spans="1:6" ht="26.1" customHeight="1" x14ac:dyDescent="0.3">
      <c r="A14" s="742"/>
      <c r="B14" s="743"/>
      <c r="C14" s="744"/>
      <c r="D14" s="744"/>
      <c r="E14" s="744"/>
    </row>
    <row r="15" spans="1:6" ht="26.1" customHeight="1" x14ac:dyDescent="0.3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3">
      <c r="A16" s="742">
        <v>1</v>
      </c>
      <c r="B16" s="743" t="s">
        <v>933</v>
      </c>
      <c r="C16" s="744">
        <v>311061228</v>
      </c>
      <c r="D16" s="744">
        <v>354816000</v>
      </c>
      <c r="E16" s="744">
        <v>382146747</v>
      </c>
    </row>
    <row r="17" spans="1:5" ht="26.1" customHeight="1" x14ac:dyDescent="0.3">
      <c r="A17" s="742"/>
      <c r="B17" s="743"/>
      <c r="C17" s="744"/>
      <c r="D17" s="744"/>
      <c r="E17" s="744"/>
    </row>
    <row r="18" spans="1:5" ht="26.1" customHeight="1" x14ac:dyDescent="0.3">
      <c r="A18" s="731" t="s">
        <v>36</v>
      </c>
      <c r="B18" s="745" t="s">
        <v>934</v>
      </c>
      <c r="C18" s="746"/>
      <c r="D18" s="746"/>
      <c r="E18" s="744"/>
    </row>
    <row r="19" spans="1:5" ht="26.1" customHeight="1" x14ac:dyDescent="0.3">
      <c r="A19" s="742">
        <v>1</v>
      </c>
      <c r="B19" s="743" t="s">
        <v>380</v>
      </c>
      <c r="C19" s="747">
        <v>59071</v>
      </c>
      <c r="D19" s="747">
        <v>58011</v>
      </c>
      <c r="E19" s="747">
        <v>54050</v>
      </c>
    </row>
    <row r="20" spans="1:5" ht="26.1" customHeight="1" x14ac:dyDescent="0.3">
      <c r="A20" s="742">
        <v>2</v>
      </c>
      <c r="B20" s="743" t="s">
        <v>381</v>
      </c>
      <c r="C20" s="748">
        <v>13110</v>
      </c>
      <c r="D20" s="748">
        <v>12877</v>
      </c>
      <c r="E20" s="748">
        <v>12647</v>
      </c>
    </row>
    <row r="21" spans="1:5" ht="26.1" customHeight="1" x14ac:dyDescent="0.3">
      <c r="A21" s="742">
        <v>3</v>
      </c>
      <c r="B21" s="743" t="s">
        <v>935</v>
      </c>
      <c r="C21" s="749">
        <f>IF(C20=0,0,+C19/C20)</f>
        <v>4.505797101449275</v>
      </c>
      <c r="D21" s="749">
        <f>IF(D20=0,0,+D19/D20)</f>
        <v>4.5050089306515488</v>
      </c>
      <c r="E21" s="749">
        <f>IF(E20=0,0,+E19/E20)</f>
        <v>4.2737408080967816</v>
      </c>
    </row>
    <row r="22" spans="1:5" ht="26.1" customHeight="1" x14ac:dyDescent="0.3">
      <c r="A22" s="742">
        <v>4</v>
      </c>
      <c r="B22" s="743" t="s">
        <v>936</v>
      </c>
      <c r="C22" s="748">
        <f>IF(C10=0,0,C19*(C12/C10))</f>
        <v>117286.24103317055</v>
      </c>
      <c r="D22" s="748">
        <f>IF(D10=0,0,D19*(D12/D10))</f>
        <v>119250.71848094621</v>
      </c>
      <c r="E22" s="748">
        <f>IF(E10=0,0,E19*(E12/E10))</f>
        <v>117439.31981553667</v>
      </c>
    </row>
    <row r="23" spans="1:5" ht="26.1" customHeight="1" x14ac:dyDescent="0.3">
      <c r="A23" s="742">
        <v>0</v>
      </c>
      <c r="B23" s="743" t="s">
        <v>937</v>
      </c>
      <c r="C23" s="748">
        <f>IF(C10=0,0,C20*(C12/C10))</f>
        <v>26030.076009291632</v>
      </c>
      <c r="D23" s="748">
        <f>IF(D10=0,0,D20*(D12/D10))</f>
        <v>26470.695245369745</v>
      </c>
      <c r="E23" s="748">
        <f>IF(E10=0,0,E20*(E12/E10))</f>
        <v>27479.279883572472</v>
      </c>
    </row>
    <row r="24" spans="1:5" ht="26.1" customHeight="1" x14ac:dyDescent="0.3">
      <c r="A24" s="742"/>
      <c r="B24" s="743"/>
      <c r="C24" s="748"/>
      <c r="D24" s="748"/>
      <c r="E24" s="748"/>
    </row>
    <row r="25" spans="1:5" ht="26.1" customHeight="1" x14ac:dyDescent="0.3">
      <c r="A25" s="731" t="s">
        <v>170</v>
      </c>
      <c r="B25" s="745" t="s">
        <v>938</v>
      </c>
      <c r="C25" s="748"/>
      <c r="D25" s="748"/>
      <c r="E25" s="748"/>
    </row>
    <row r="26" spans="1:5" ht="26.1" customHeight="1" x14ac:dyDescent="0.3">
      <c r="A26" s="742">
        <v>1</v>
      </c>
      <c r="B26" s="743" t="s">
        <v>428</v>
      </c>
      <c r="C26" s="750">
        <v>1.1999178382913807</v>
      </c>
      <c r="D26" s="750">
        <v>1.1866398485672129</v>
      </c>
      <c r="E26" s="750">
        <v>1.2512631612240057</v>
      </c>
    </row>
    <row r="27" spans="1:5" ht="26.1" customHeight="1" x14ac:dyDescent="0.3">
      <c r="A27" s="742">
        <v>2</v>
      </c>
      <c r="B27" s="743" t="s">
        <v>939</v>
      </c>
      <c r="C27" s="748">
        <f>C19*C26</f>
        <v>70880.346625710154</v>
      </c>
      <c r="D27" s="748">
        <f>D19*D26</f>
        <v>68838.164255232594</v>
      </c>
      <c r="E27" s="748">
        <f>E19*E26</f>
        <v>67630.773864157512</v>
      </c>
    </row>
    <row r="28" spans="1:5" ht="26.1" customHeight="1" x14ac:dyDescent="0.3">
      <c r="A28" s="742">
        <v>3</v>
      </c>
      <c r="B28" s="743" t="s">
        <v>940</v>
      </c>
      <c r="C28" s="748">
        <f>C20*C26</f>
        <v>15730.922860000001</v>
      </c>
      <c r="D28" s="748">
        <f>D20*D26</f>
        <v>15280.361330000002</v>
      </c>
      <c r="E28" s="748">
        <f>E20*E26</f>
        <v>15824.725200000001</v>
      </c>
    </row>
    <row r="29" spans="1:5" ht="26.1" customHeight="1" x14ac:dyDescent="0.3">
      <c r="A29" s="742">
        <v>4</v>
      </c>
      <c r="B29" s="743" t="s">
        <v>941</v>
      </c>
      <c r="C29" s="748">
        <f>C22*C26</f>
        <v>140733.85280184384</v>
      </c>
      <c r="D29" s="748">
        <f>D22*D26</f>
        <v>141507.65451976136</v>
      </c>
      <c r="E29" s="748">
        <f>E22*E26</f>
        <v>146947.49456438542</v>
      </c>
    </row>
    <row r="30" spans="1:5" ht="26.1" customHeight="1" x14ac:dyDescent="0.3">
      <c r="A30" s="742">
        <v>5</v>
      </c>
      <c r="B30" s="743" t="s">
        <v>942</v>
      </c>
      <c r="C30" s="748">
        <f>C23*C26</f>
        <v>31233.952535629542</v>
      </c>
      <c r="D30" s="748">
        <f>D23*D26</f>
        <v>31411.181797434398</v>
      </c>
      <c r="E30" s="748">
        <f>E23*E26</f>
        <v>34383.810615278118</v>
      </c>
    </row>
    <row r="31" spans="1:5" ht="26.1" customHeight="1" x14ac:dyDescent="0.3">
      <c r="A31" s="742"/>
      <c r="B31" s="743"/>
      <c r="C31" s="748"/>
      <c r="D31" s="748"/>
      <c r="E31" s="748"/>
    </row>
    <row r="32" spans="1:5" ht="39" customHeight="1" x14ac:dyDescent="0.3">
      <c r="A32" s="731" t="s">
        <v>175</v>
      </c>
      <c r="B32" s="736" t="s">
        <v>943</v>
      </c>
      <c r="C32" s="751"/>
      <c r="D32" s="751"/>
      <c r="E32" s="748"/>
    </row>
    <row r="33" spans="1:5" ht="26.1" customHeight="1" x14ac:dyDescent="0.3">
      <c r="A33" s="742">
        <v>1</v>
      </c>
      <c r="B33" s="743" t="s">
        <v>944</v>
      </c>
      <c r="C33" s="744">
        <f>IF(C19=0,0,C12/C19)</f>
        <v>15240.397132264563</v>
      </c>
      <c r="D33" s="744">
        <f>IF(D19=0,0,D12/D19)</f>
        <v>16291.172829290996</v>
      </c>
      <c r="E33" s="744">
        <f>IF(E19=0,0,E12/E19)</f>
        <v>18767.935911193341</v>
      </c>
    </row>
    <row r="34" spans="1:5" ht="26.1" customHeight="1" x14ac:dyDescent="0.3">
      <c r="A34" s="742">
        <v>2</v>
      </c>
      <c r="B34" s="743" t="s">
        <v>945</v>
      </c>
      <c r="C34" s="744">
        <f>IF(C20=0,0,C12/C20)</f>
        <v>68670.137223493512</v>
      </c>
      <c r="D34" s="744">
        <f>IF(D20=0,0,D12/D20)</f>
        <v>73391.879086743807</v>
      </c>
      <c r="E34" s="744">
        <f>IF(E20=0,0,E12/E20)</f>
        <v>80209.29358741203</v>
      </c>
    </row>
    <row r="35" spans="1:5" ht="26.1" customHeight="1" x14ac:dyDescent="0.3">
      <c r="A35" s="742">
        <v>3</v>
      </c>
      <c r="B35" s="743" t="s">
        <v>946</v>
      </c>
      <c r="C35" s="744">
        <f>IF(C22=0,0,C12/C22)</f>
        <v>7675.7980396472049</v>
      </c>
      <c r="D35" s="744">
        <f>IF(D22=0,0,D12/D22)</f>
        <v>7925.0443019427357</v>
      </c>
      <c r="E35" s="744">
        <f>IF(E22=0,0,E12/E22)</f>
        <v>8637.7112673450501</v>
      </c>
    </row>
    <row r="36" spans="1:5" ht="26.1" customHeight="1" x14ac:dyDescent="0.3">
      <c r="A36" s="742">
        <v>4</v>
      </c>
      <c r="B36" s="743" t="s">
        <v>947</v>
      </c>
      <c r="C36" s="744">
        <f>IF(C23=0,0,C12/C23)</f>
        <v>34585.5885583524</v>
      </c>
      <c r="D36" s="744">
        <f>IF(D23=0,0,D12/D23)</f>
        <v>35702.395356061199</v>
      </c>
      <c r="E36" s="744">
        <f>IF(E23=0,0,E12/E23)</f>
        <v>36915.339131809917</v>
      </c>
    </row>
    <row r="37" spans="1:5" ht="26.1" customHeight="1" x14ac:dyDescent="0.3">
      <c r="A37" s="742">
        <v>5</v>
      </c>
      <c r="B37" s="743" t="s">
        <v>948</v>
      </c>
      <c r="C37" s="744">
        <f>IF(C29=0,0,C12/C29)</f>
        <v>6396.936352389871</v>
      </c>
      <c r="D37" s="744">
        <f>IF(D29=0,0,D12/D29)</f>
        <v>6678.5590518569625</v>
      </c>
      <c r="E37" s="744">
        <f>IF(E29=0,0,E12/E29)</f>
        <v>6903.193137161893</v>
      </c>
    </row>
    <row r="38" spans="1:5" ht="26.1" customHeight="1" x14ac:dyDescent="0.3">
      <c r="A38" s="742">
        <v>6</v>
      </c>
      <c r="B38" s="743" t="s">
        <v>949</v>
      </c>
      <c r="C38" s="744">
        <f>IF(C30=0,0,C12/C30)</f>
        <v>28823.297274753782</v>
      </c>
      <c r="D38" s="744">
        <f>IF(D30=0,0,D12/D30)</f>
        <v>30086.968172499361</v>
      </c>
      <c r="E38" s="744">
        <f>IF(E30=0,0,E12/E30)</f>
        <v>29502.45821646243</v>
      </c>
    </row>
    <row r="39" spans="1:5" ht="26.1" customHeight="1" x14ac:dyDescent="0.3">
      <c r="A39" s="742">
        <v>7</v>
      </c>
      <c r="B39" s="743" t="s">
        <v>950</v>
      </c>
      <c r="C39" s="744">
        <f>IF(C22=0,0,C10/C22)</f>
        <v>3865.9015925982821</v>
      </c>
      <c r="D39" s="744">
        <f>IF(D22=0,0,D10/D22)</f>
        <v>3855.2366883513318</v>
      </c>
      <c r="E39" s="744">
        <f>IF(E22=0,0,E10/E22)</f>
        <v>3975.4001873760471</v>
      </c>
    </row>
    <row r="40" spans="1:5" ht="26.1" customHeight="1" x14ac:dyDescent="0.3">
      <c r="A40" s="742">
        <v>8</v>
      </c>
      <c r="B40" s="743" t="s">
        <v>951</v>
      </c>
      <c r="C40" s="744">
        <f>IF(C23=0,0,C10/C23)</f>
        <v>17418.968190417476</v>
      </c>
      <c r="D40" s="744">
        <f>IF(D23=0,0,D10/D23)</f>
        <v>17367.875710798253</v>
      </c>
      <c r="E40" s="744">
        <f>IF(E23=0,0,E10/E23)</f>
        <v>16989.830009304609</v>
      </c>
    </row>
    <row r="41" spans="1:5" ht="26.1" customHeight="1" x14ac:dyDescent="0.3">
      <c r="A41" s="742"/>
      <c r="B41" s="743"/>
      <c r="C41" s="744"/>
      <c r="D41" s="744"/>
      <c r="E41" s="744"/>
    </row>
    <row r="42" spans="1:5" ht="39.75" customHeight="1" x14ac:dyDescent="0.3">
      <c r="A42" s="731" t="s">
        <v>181</v>
      </c>
      <c r="B42" s="736" t="s">
        <v>952</v>
      </c>
      <c r="C42" s="744"/>
      <c r="D42" s="744"/>
      <c r="E42" s="744"/>
    </row>
    <row r="43" spans="1:5" ht="26.1" customHeight="1" x14ac:dyDescent="0.3">
      <c r="A43" s="742">
        <v>1</v>
      </c>
      <c r="B43" s="743" t="s">
        <v>953</v>
      </c>
      <c r="C43" s="744">
        <f>IF(C19=0,0,C13/C19)</f>
        <v>5485.2430465033603</v>
      </c>
      <c r="D43" s="744">
        <f>IF(D19=0,0,D13/D19)</f>
        <v>6128.3377290513872</v>
      </c>
      <c r="E43" s="744">
        <f>IF(E19=0,0,E13/E19)</f>
        <v>6886.6554301572614</v>
      </c>
    </row>
    <row r="44" spans="1:5" ht="26.1" customHeight="1" x14ac:dyDescent="0.3">
      <c r="A44" s="742">
        <v>2</v>
      </c>
      <c r="B44" s="743" t="s">
        <v>954</v>
      </c>
      <c r="C44" s="744">
        <f>IF(C20=0,0,C13/C20)</f>
        <v>24715.392219679634</v>
      </c>
      <c r="D44" s="744">
        <f>IF(D20=0,0,D13/D20)</f>
        <v>27608.216199425333</v>
      </c>
      <c r="E44" s="744">
        <f>IF(E20=0,0,E13/E20)</f>
        <v>29431.780343164388</v>
      </c>
    </row>
    <row r="45" spans="1:5" ht="26.1" customHeight="1" x14ac:dyDescent="0.3">
      <c r="A45" s="742">
        <v>3</v>
      </c>
      <c r="B45" s="743" t="s">
        <v>955</v>
      </c>
      <c r="C45" s="744">
        <f>IF(C22=0,0,C13/C22)</f>
        <v>2762.6325913911928</v>
      </c>
      <c r="D45" s="744">
        <f>IF(D22=0,0,D13/D22)</f>
        <v>2981.2063568975755</v>
      </c>
      <c r="E45" s="744">
        <f>IF(E22=0,0,E13/E22)</f>
        <v>3169.4983127001774</v>
      </c>
    </row>
    <row r="46" spans="1:5" ht="26.1" customHeight="1" x14ac:dyDescent="0.3">
      <c r="A46" s="742">
        <v>4</v>
      </c>
      <c r="B46" s="743" t="s">
        <v>956</v>
      </c>
      <c r="C46" s="744">
        <f>IF(C23=0,0,C13/C23)</f>
        <v>12447.861922659737</v>
      </c>
      <c r="D46" s="744">
        <f>IF(D23=0,0,D13/D23)</f>
        <v>13430.361261938748</v>
      </c>
      <c r="E46" s="744">
        <f>IF(E23=0,0,E13/E23)</f>
        <v>13545.614280180645</v>
      </c>
    </row>
    <row r="47" spans="1:5" ht="26.1" customHeight="1" x14ac:dyDescent="0.3">
      <c r="A47" s="742">
        <v>5</v>
      </c>
      <c r="B47" s="743" t="s">
        <v>957</v>
      </c>
      <c r="C47" s="744">
        <f>IF(C29=0,0,C13/C29)</f>
        <v>2302.3514637677486</v>
      </c>
      <c r="D47" s="744">
        <f>IF(D29=0,0,D13/D29)</f>
        <v>2512.3093249372837</v>
      </c>
      <c r="E47" s="744">
        <f>IF(E29=0,0,E13/E29)</f>
        <v>2533.0389409049044</v>
      </c>
    </row>
    <row r="48" spans="1:5" ht="26.1" customHeight="1" x14ac:dyDescent="0.3">
      <c r="A48" s="742">
        <v>6</v>
      </c>
      <c r="B48" s="743" t="s">
        <v>958</v>
      </c>
      <c r="C48" s="744">
        <f>IF(C30=0,0,C13/C30)</f>
        <v>10373.928551962217</v>
      </c>
      <c r="D48" s="744">
        <f>IF(D30=0,0,D13/D30)</f>
        <v>11317.975945401629</v>
      </c>
      <c r="E48" s="744">
        <f>IF(E30=0,0,E13/E30)</f>
        <v>10825.551890243541</v>
      </c>
    </row>
    <row r="49" spans="1:6" ht="26.1" customHeight="1" x14ac:dyDescent="0.3">
      <c r="A49" s="742"/>
      <c r="B49" s="743"/>
      <c r="C49" s="744"/>
      <c r="D49" s="744"/>
      <c r="E49" s="744"/>
    </row>
    <row r="50" spans="1:6" ht="37.5" customHeight="1" x14ac:dyDescent="0.3">
      <c r="A50" s="731" t="s">
        <v>183</v>
      </c>
      <c r="B50" s="736" t="s">
        <v>959</v>
      </c>
      <c r="C50" s="751"/>
      <c r="D50" s="751"/>
      <c r="E50" s="744"/>
    </row>
    <row r="51" spans="1:6" ht="26.1" customHeight="1" x14ac:dyDescent="0.3">
      <c r="A51" s="742">
        <v>1</v>
      </c>
      <c r="B51" s="743" t="s">
        <v>960</v>
      </c>
      <c r="C51" s="744">
        <f>IF(C19=0,0,C16/C19)</f>
        <v>5265.8872881786328</v>
      </c>
      <c r="D51" s="744">
        <f>IF(D19=0,0,D16/D19)</f>
        <v>6116.3572425919219</v>
      </c>
      <c r="E51" s="744">
        <f>IF(E19=0,0,E16/E19)</f>
        <v>7070.2450878815907</v>
      </c>
    </row>
    <row r="52" spans="1:6" ht="26.1" customHeight="1" x14ac:dyDescent="0.3">
      <c r="A52" s="742">
        <v>2</v>
      </c>
      <c r="B52" s="743" t="s">
        <v>961</v>
      </c>
      <c r="C52" s="744">
        <f>IF(C20=0,0,C16/C20)</f>
        <v>23727.019679633868</v>
      </c>
      <c r="D52" s="744">
        <f>IF(D20=0,0,D16/D20)</f>
        <v>27554.244000931893</v>
      </c>
      <c r="E52" s="744">
        <f>IF(E20=0,0,E16/E20)</f>
        <v>30216.394955325373</v>
      </c>
    </row>
    <row r="53" spans="1:6" ht="26.1" customHeight="1" x14ac:dyDescent="0.3">
      <c r="A53" s="742">
        <v>3</v>
      </c>
      <c r="B53" s="743" t="s">
        <v>962</v>
      </c>
      <c r="C53" s="744">
        <f>IF(C22=0,0,C16/C22)</f>
        <v>2652.1544663710947</v>
      </c>
      <c r="D53" s="744">
        <f>IF(D22=0,0,D16/D22)</f>
        <v>2975.3782997684179</v>
      </c>
      <c r="E53" s="744">
        <f>IF(E22=0,0,E16/E22)</f>
        <v>3253.993190698332</v>
      </c>
    </row>
    <row r="54" spans="1:6" ht="26.1" customHeight="1" x14ac:dyDescent="0.3">
      <c r="A54" s="742">
        <v>4</v>
      </c>
      <c r="B54" s="743" t="s">
        <v>963</v>
      </c>
      <c r="C54" s="744">
        <f>IF(C23=0,0,C16/C23)</f>
        <v>11950.069907170626</v>
      </c>
      <c r="D54" s="744">
        <f>IF(D23=0,0,D16/D23)</f>
        <v>13404.105812523547</v>
      </c>
      <c r="E54" s="744">
        <f>IF(E23=0,0,E16/E23)</f>
        <v>13906.723488356516</v>
      </c>
    </row>
    <row r="55" spans="1:6" ht="26.1" customHeight="1" x14ac:dyDescent="0.3">
      <c r="A55" s="742">
        <v>5</v>
      </c>
      <c r="B55" s="743" t="s">
        <v>964</v>
      </c>
      <c r="C55" s="744">
        <f>IF(C29=0,0,C16/C29)</f>
        <v>2210.2800556308271</v>
      </c>
      <c r="D55" s="744">
        <f>IF(D29=0,0,D16/D29)</f>
        <v>2507.3979298444974</v>
      </c>
      <c r="E55" s="744">
        <f>IF(E29=0,0,E16/E29)</f>
        <v>2600.566604642323</v>
      </c>
    </row>
    <row r="56" spans="1:6" ht="26.1" customHeight="1" x14ac:dyDescent="0.3">
      <c r="A56" s="742">
        <v>6</v>
      </c>
      <c r="B56" s="743" t="s">
        <v>965</v>
      </c>
      <c r="C56" s="744">
        <f>IF(C30=0,0,C16/C30)</f>
        <v>9959.0734680525238</v>
      </c>
      <c r="D56" s="744">
        <f>IF(D30=0,0,D16/D30)</f>
        <v>11295.85006664667</v>
      </c>
      <c r="E56" s="744">
        <f>IF(E30=0,0,E16/E30)</f>
        <v>11114.147622433586</v>
      </c>
    </row>
    <row r="57" spans="1:6" ht="26.1" customHeight="1" x14ac:dyDescent="0.3">
      <c r="A57" s="742"/>
      <c r="B57" s="743"/>
      <c r="C57" s="744"/>
      <c r="D57" s="744"/>
      <c r="E57" s="744"/>
    </row>
    <row r="58" spans="1:6" ht="26.1" customHeight="1" x14ac:dyDescent="0.3">
      <c r="A58" s="731" t="s">
        <v>185</v>
      </c>
      <c r="B58" s="745" t="s">
        <v>966</v>
      </c>
      <c r="C58" s="744"/>
      <c r="D58" s="744"/>
      <c r="E58" s="744"/>
    </row>
    <row r="59" spans="1:6" ht="26.1" customHeight="1" x14ac:dyDescent="0.3">
      <c r="A59" s="742">
        <v>1</v>
      </c>
      <c r="B59" s="743" t="s">
        <v>967</v>
      </c>
      <c r="C59" s="752">
        <v>45733017</v>
      </c>
      <c r="D59" s="752">
        <v>46444000</v>
      </c>
      <c r="E59" s="752">
        <v>49326729</v>
      </c>
    </row>
    <row r="60" spans="1:6" ht="26.1" customHeight="1" x14ac:dyDescent="0.3">
      <c r="A60" s="742">
        <v>2</v>
      </c>
      <c r="B60" s="743" t="s">
        <v>968</v>
      </c>
      <c r="C60" s="752">
        <v>9992314</v>
      </c>
      <c r="D60" s="752">
        <v>6219000</v>
      </c>
      <c r="E60" s="752">
        <v>5961106</v>
      </c>
    </row>
    <row r="61" spans="1:6" ht="26.1" customHeight="1" x14ac:dyDescent="0.3">
      <c r="A61" s="753">
        <v>3</v>
      </c>
      <c r="B61" s="754" t="s">
        <v>969</v>
      </c>
      <c r="C61" s="755">
        <f>C59+C60</f>
        <v>55725331</v>
      </c>
      <c r="D61" s="755">
        <f>D59+D60</f>
        <v>52663000</v>
      </c>
      <c r="E61" s="755">
        <f>E59+E60</f>
        <v>55287835</v>
      </c>
    </row>
    <row r="62" spans="1:6" ht="26.1" customHeight="1" x14ac:dyDescent="0.3">
      <c r="A62" s="742"/>
      <c r="B62" s="743"/>
      <c r="C62" s="752"/>
      <c r="D62" s="752"/>
      <c r="E62" s="752"/>
    </row>
    <row r="63" spans="1:6" ht="26.1" customHeight="1" x14ac:dyDescent="0.3">
      <c r="A63" s="731" t="s">
        <v>12</v>
      </c>
      <c r="B63" s="745" t="s">
        <v>970</v>
      </c>
      <c r="C63" s="743"/>
      <c r="D63" s="743"/>
      <c r="E63" s="752"/>
      <c r="F63" s="756"/>
    </row>
    <row r="64" spans="1:6" ht="26.1" customHeight="1" x14ac:dyDescent="0.3">
      <c r="A64" s="742">
        <v>1</v>
      </c>
      <c r="B64" s="743" t="s">
        <v>971</v>
      </c>
      <c r="C64" s="744">
        <v>11986450</v>
      </c>
      <c r="D64" s="744">
        <v>12892000</v>
      </c>
      <c r="E64" s="752">
        <v>12508252</v>
      </c>
      <c r="F64" s="756"/>
    </row>
    <row r="65" spans="1:6" ht="26.1" customHeight="1" x14ac:dyDescent="0.3">
      <c r="A65" s="742">
        <v>2</v>
      </c>
      <c r="B65" s="743" t="s">
        <v>972</v>
      </c>
      <c r="C65" s="752">
        <v>2283503</v>
      </c>
      <c r="D65" s="752">
        <v>3182000</v>
      </c>
      <c r="E65" s="752">
        <v>3050046</v>
      </c>
      <c r="F65" s="756"/>
    </row>
    <row r="66" spans="1:6" ht="26.1" customHeight="1" x14ac:dyDescent="0.3">
      <c r="A66" s="753">
        <v>3</v>
      </c>
      <c r="B66" s="754" t="s">
        <v>973</v>
      </c>
      <c r="C66" s="757">
        <f>C64+C65</f>
        <v>14269953</v>
      </c>
      <c r="D66" s="757">
        <f>D64+D65</f>
        <v>16074000</v>
      </c>
      <c r="E66" s="757">
        <f>E64+E65</f>
        <v>15558298</v>
      </c>
      <c r="F66" s="758"/>
    </row>
    <row r="67" spans="1:6" ht="26.1" customHeight="1" x14ac:dyDescent="0.3">
      <c r="A67" s="742"/>
      <c r="B67" s="743"/>
      <c r="C67" s="752"/>
      <c r="D67" s="752"/>
      <c r="E67" s="752"/>
    </row>
    <row r="68" spans="1:6" ht="26.1" customHeight="1" x14ac:dyDescent="0.3">
      <c r="A68" s="731" t="s">
        <v>195</v>
      </c>
      <c r="B68" s="745" t="s">
        <v>974</v>
      </c>
      <c r="C68" s="752"/>
      <c r="D68" s="752"/>
      <c r="E68" s="752"/>
    </row>
    <row r="69" spans="1:6" ht="26.1" customHeight="1" x14ac:dyDescent="0.3">
      <c r="A69" s="742">
        <v>1</v>
      </c>
      <c r="B69" s="743" t="s">
        <v>975</v>
      </c>
      <c r="C69" s="752">
        <v>75302594</v>
      </c>
      <c r="D69" s="752">
        <v>76386000</v>
      </c>
      <c r="E69" s="752">
        <v>77378005</v>
      </c>
    </row>
    <row r="70" spans="1:6" ht="26.1" customHeight="1" x14ac:dyDescent="0.3">
      <c r="A70" s="742">
        <v>2</v>
      </c>
      <c r="B70" s="743" t="s">
        <v>976</v>
      </c>
      <c r="C70" s="752">
        <v>21288563</v>
      </c>
      <c r="D70" s="752">
        <v>29802000</v>
      </c>
      <c r="E70" s="752">
        <v>28566148</v>
      </c>
    </row>
    <row r="71" spans="1:6" ht="26.1" customHeight="1" x14ac:dyDescent="0.3">
      <c r="A71" s="753">
        <v>3</v>
      </c>
      <c r="B71" s="754" t="s">
        <v>977</v>
      </c>
      <c r="C71" s="755">
        <f>C69+C70</f>
        <v>96591157</v>
      </c>
      <c r="D71" s="755">
        <f>D69+D70</f>
        <v>106188000</v>
      </c>
      <c r="E71" s="755">
        <f>E69+E70</f>
        <v>105944153</v>
      </c>
    </row>
    <row r="72" spans="1:6" ht="26.1" customHeight="1" x14ac:dyDescent="0.3">
      <c r="A72" s="742"/>
      <c r="B72" s="743"/>
      <c r="C72" s="752"/>
      <c r="D72" s="752"/>
      <c r="E72" s="752"/>
    </row>
    <row r="73" spans="1:6" ht="26.1" customHeight="1" x14ac:dyDescent="0.3">
      <c r="A73" s="742"/>
      <c r="B73" s="743"/>
      <c r="C73" s="752"/>
      <c r="D73" s="752"/>
      <c r="E73" s="752"/>
    </row>
    <row r="74" spans="1:6" ht="26.1" customHeight="1" x14ac:dyDescent="0.3">
      <c r="A74" s="731" t="s">
        <v>226</v>
      </c>
      <c r="B74" s="745" t="s">
        <v>978</v>
      </c>
      <c r="C74" s="744"/>
      <c r="D74" s="744"/>
      <c r="E74" s="744"/>
    </row>
    <row r="75" spans="1:6" ht="26.1" customHeight="1" x14ac:dyDescent="0.3">
      <c r="A75" s="742">
        <v>1</v>
      </c>
      <c r="B75" s="743" t="s">
        <v>979</v>
      </c>
      <c r="C75" s="744">
        <f t="shared" ref="C75:E76" si="0">+C59+C64+C69</f>
        <v>133022061</v>
      </c>
      <c r="D75" s="744">
        <f t="shared" si="0"/>
        <v>135722000</v>
      </c>
      <c r="E75" s="744">
        <f t="shared" si="0"/>
        <v>139212986</v>
      </c>
    </row>
    <row r="76" spans="1:6" ht="26.1" customHeight="1" x14ac:dyDescent="0.3">
      <c r="A76" s="742">
        <v>2</v>
      </c>
      <c r="B76" s="743" t="s">
        <v>980</v>
      </c>
      <c r="C76" s="744">
        <f t="shared" si="0"/>
        <v>33564380</v>
      </c>
      <c r="D76" s="744">
        <f t="shared" si="0"/>
        <v>39203000</v>
      </c>
      <c r="E76" s="744">
        <f t="shared" si="0"/>
        <v>37577300</v>
      </c>
    </row>
    <row r="77" spans="1:6" ht="26.1" customHeight="1" x14ac:dyDescent="0.3">
      <c r="A77" s="753">
        <v>3</v>
      </c>
      <c r="B77" s="754" t="s">
        <v>978</v>
      </c>
      <c r="C77" s="757">
        <f>C75+C76</f>
        <v>166586441</v>
      </c>
      <c r="D77" s="757">
        <f>D75+D76</f>
        <v>174925000</v>
      </c>
      <c r="E77" s="757">
        <f>E75+E76</f>
        <v>176790286</v>
      </c>
    </row>
    <row r="78" spans="1:6" ht="26.1" customHeight="1" x14ac:dyDescent="0.3">
      <c r="A78" s="753"/>
      <c r="B78" s="754"/>
      <c r="C78" s="757"/>
      <c r="D78" s="757"/>
      <c r="E78" s="757"/>
    </row>
    <row r="79" spans="1:6" ht="26.1" customHeight="1" x14ac:dyDescent="0.3">
      <c r="A79" s="731" t="s">
        <v>427</v>
      </c>
      <c r="B79" s="745" t="s">
        <v>981</v>
      </c>
      <c r="C79" s="752"/>
      <c r="D79" s="752"/>
      <c r="E79" s="752"/>
    </row>
    <row r="80" spans="1:6" ht="26.1" customHeight="1" x14ac:dyDescent="0.3">
      <c r="A80" s="742">
        <v>1</v>
      </c>
      <c r="B80" s="743" t="s">
        <v>616</v>
      </c>
      <c r="C80" s="749">
        <v>444.9</v>
      </c>
      <c r="D80" s="749">
        <v>445.6</v>
      </c>
      <c r="E80" s="749">
        <v>368.1</v>
      </c>
    </row>
    <row r="81" spans="1:5" ht="26.1" customHeight="1" x14ac:dyDescent="0.3">
      <c r="A81" s="742">
        <v>2</v>
      </c>
      <c r="B81" s="743" t="s">
        <v>617</v>
      </c>
      <c r="C81" s="749">
        <v>90</v>
      </c>
      <c r="D81" s="749">
        <v>90.8</v>
      </c>
      <c r="E81" s="749">
        <v>89.8</v>
      </c>
    </row>
    <row r="82" spans="1:5" ht="26.1" customHeight="1" x14ac:dyDescent="0.3">
      <c r="A82" s="742">
        <v>3</v>
      </c>
      <c r="B82" s="743" t="s">
        <v>982</v>
      </c>
      <c r="C82" s="749">
        <v>1116.0999999999999</v>
      </c>
      <c r="D82" s="749">
        <v>1128.5</v>
      </c>
      <c r="E82" s="749">
        <v>1194.8</v>
      </c>
    </row>
    <row r="83" spans="1:5" ht="26.1" customHeight="1" x14ac:dyDescent="0.3">
      <c r="A83" s="753">
        <v>4</v>
      </c>
      <c r="B83" s="754" t="s">
        <v>981</v>
      </c>
      <c r="C83" s="759">
        <f>C80+C81+C82</f>
        <v>1651</v>
      </c>
      <c r="D83" s="759">
        <f>D80+D81+D82</f>
        <v>1664.9</v>
      </c>
      <c r="E83" s="759">
        <f>E80+E81+E82</f>
        <v>1652.7</v>
      </c>
    </row>
    <row r="84" spans="1:5" ht="26.1" customHeight="1" x14ac:dyDescent="0.3">
      <c r="A84" s="742"/>
      <c r="B84" s="743"/>
      <c r="C84" s="760"/>
      <c r="D84" s="760"/>
      <c r="E84" s="760"/>
    </row>
    <row r="85" spans="1:5" ht="26.1" customHeight="1" x14ac:dyDescent="0.3">
      <c r="A85" s="731" t="s">
        <v>430</v>
      </c>
      <c r="B85" s="745" t="s">
        <v>983</v>
      </c>
      <c r="C85" s="760"/>
      <c r="D85" s="760"/>
      <c r="E85" s="760"/>
    </row>
    <row r="86" spans="1:5" ht="26.1" customHeight="1" x14ac:dyDescent="0.3">
      <c r="A86" s="742">
        <v>1</v>
      </c>
      <c r="B86" s="743" t="s">
        <v>984</v>
      </c>
      <c r="C86" s="752">
        <f>IF(C80=0,0,C59/C80)</f>
        <v>102793.92447741066</v>
      </c>
      <c r="D86" s="752">
        <f>IF(D80=0,0,D59/D80)</f>
        <v>104228.00718132855</v>
      </c>
      <c r="E86" s="752">
        <f>IF(E80=0,0,E59/E80)</f>
        <v>134003.61043194783</v>
      </c>
    </row>
    <row r="87" spans="1:5" ht="26.1" customHeight="1" x14ac:dyDescent="0.3">
      <c r="A87" s="742">
        <v>2</v>
      </c>
      <c r="B87" s="743" t="s">
        <v>985</v>
      </c>
      <c r="C87" s="752">
        <f>IF(C80=0,0,C60/C80)</f>
        <v>22459.685322544392</v>
      </c>
      <c r="D87" s="752">
        <f>IF(D80=0,0,D60/D80)</f>
        <v>13956.463195691202</v>
      </c>
      <c r="E87" s="752">
        <f>IF(E80=0,0,E60/E80)</f>
        <v>16194.256995381689</v>
      </c>
    </row>
    <row r="88" spans="1:5" ht="26.1" customHeight="1" x14ac:dyDescent="0.3">
      <c r="A88" s="753">
        <v>3</v>
      </c>
      <c r="B88" s="754" t="s">
        <v>986</v>
      </c>
      <c r="C88" s="755">
        <f>+C86+C87</f>
        <v>125253.60979995505</v>
      </c>
      <c r="D88" s="755">
        <f>+D86+D87</f>
        <v>118184.47037701975</v>
      </c>
      <c r="E88" s="755">
        <f>+E86+E87</f>
        <v>150197.86742732953</v>
      </c>
    </row>
    <row r="89" spans="1:5" ht="26.1" customHeight="1" x14ac:dyDescent="0.3">
      <c r="A89" s="742"/>
      <c r="B89" s="743"/>
      <c r="C89" s="752"/>
      <c r="D89" s="752"/>
      <c r="E89" s="752"/>
    </row>
    <row r="90" spans="1:5" ht="26.1" customHeight="1" x14ac:dyDescent="0.3">
      <c r="A90" s="731" t="s">
        <v>462</v>
      </c>
      <c r="B90" s="745" t="s">
        <v>987</v>
      </c>
    </row>
    <row r="91" spans="1:5" ht="26.1" customHeight="1" x14ac:dyDescent="0.3">
      <c r="A91" s="742">
        <v>1</v>
      </c>
      <c r="B91" s="743" t="s">
        <v>988</v>
      </c>
      <c r="C91" s="744">
        <f>IF(C81=0,0,C64/C81)</f>
        <v>133182.77777777778</v>
      </c>
      <c r="D91" s="744">
        <f>IF(D81=0,0,D64/D81)</f>
        <v>141982.37885462557</v>
      </c>
      <c r="E91" s="744">
        <f>IF(E81=0,0,E64/E81)</f>
        <v>139290.11135857462</v>
      </c>
    </row>
    <row r="92" spans="1:5" ht="26.1" customHeight="1" x14ac:dyDescent="0.3">
      <c r="A92" s="742">
        <v>2</v>
      </c>
      <c r="B92" s="743" t="s">
        <v>989</v>
      </c>
      <c r="C92" s="744">
        <f>IF(C81=0,0,C65/C81)</f>
        <v>25372.255555555555</v>
      </c>
      <c r="D92" s="744">
        <f>IF(D81=0,0,D65/D81)</f>
        <v>35044.052863436125</v>
      </c>
      <c r="E92" s="744">
        <f>IF(E81=0,0,E65/E81)</f>
        <v>33964.877505567929</v>
      </c>
    </row>
    <row r="93" spans="1:5" ht="26.1" customHeight="1" x14ac:dyDescent="0.3">
      <c r="A93" s="753">
        <v>3</v>
      </c>
      <c r="B93" s="754" t="s">
        <v>990</v>
      </c>
      <c r="C93" s="757">
        <f>+C91+C92</f>
        <v>158555.03333333333</v>
      </c>
      <c r="D93" s="757">
        <f>+D91+D92</f>
        <v>177026.43171806168</v>
      </c>
      <c r="E93" s="757">
        <f>+E91+E92</f>
        <v>173254.98886414256</v>
      </c>
    </row>
    <row r="94" spans="1:5" ht="26.1" customHeight="1" x14ac:dyDescent="0.3">
      <c r="A94" s="742"/>
      <c r="B94" s="743"/>
      <c r="C94" s="752"/>
      <c r="D94" s="752"/>
      <c r="E94" s="752"/>
    </row>
    <row r="95" spans="1:5" ht="26.1" customHeight="1" x14ac:dyDescent="0.3">
      <c r="A95" s="731" t="s">
        <v>991</v>
      </c>
      <c r="B95" s="745" t="s">
        <v>992</v>
      </c>
      <c r="C95" s="752"/>
      <c r="D95" s="752"/>
      <c r="E95" s="752"/>
    </row>
    <row r="96" spans="1:5" ht="26.1" customHeight="1" x14ac:dyDescent="0.3">
      <c r="A96" s="742">
        <v>1</v>
      </c>
      <c r="B96" s="743" t="s">
        <v>993</v>
      </c>
      <c r="C96" s="752">
        <f>IF(C82=0,0,C69/C82)</f>
        <v>67469.397007436608</v>
      </c>
      <c r="D96" s="752">
        <f>IF(D82=0,0,D69/D82)</f>
        <v>67688.081524147099</v>
      </c>
      <c r="E96" s="752">
        <f>IF(E82=0,0,E69/E82)</f>
        <v>64762.307499163042</v>
      </c>
    </row>
    <row r="97" spans="1:5" ht="26.1" customHeight="1" x14ac:dyDescent="0.3">
      <c r="A97" s="742">
        <v>2</v>
      </c>
      <c r="B97" s="743" t="s">
        <v>994</v>
      </c>
      <c r="C97" s="752">
        <f>IF(C82=0,0,C70/C82)</f>
        <v>19074.064151957711</v>
      </c>
      <c r="D97" s="752">
        <f>IF(D82=0,0,D70/D82)</f>
        <v>26408.506867523261</v>
      </c>
      <c r="E97" s="752">
        <f>IF(E82=0,0,E70/E82)</f>
        <v>23908.727820555741</v>
      </c>
    </row>
    <row r="98" spans="1:5" ht="26.1" customHeight="1" x14ac:dyDescent="0.3">
      <c r="A98" s="753">
        <v>3</v>
      </c>
      <c r="B98" s="754" t="s">
        <v>995</v>
      </c>
      <c r="C98" s="757">
        <f>+C96+C97</f>
        <v>86543.461159394326</v>
      </c>
      <c r="D98" s="757">
        <f>+D96+D97</f>
        <v>94096.588391670361</v>
      </c>
      <c r="E98" s="757">
        <f>+E96+E97</f>
        <v>88671.03531971878</v>
      </c>
    </row>
    <row r="99" spans="1:5" ht="26.1" customHeight="1" x14ac:dyDescent="0.3">
      <c r="A99" s="742"/>
      <c r="B99" s="743"/>
      <c r="C99" s="752"/>
      <c r="D99" s="752"/>
      <c r="E99" s="752"/>
    </row>
    <row r="100" spans="1:5" ht="26.1" customHeight="1" x14ac:dyDescent="0.3">
      <c r="A100" s="731" t="s">
        <v>996</v>
      </c>
      <c r="B100" s="745" t="s">
        <v>997</v>
      </c>
    </row>
    <row r="101" spans="1:5" ht="26.1" customHeight="1" x14ac:dyDescent="0.3">
      <c r="A101" s="742">
        <v>1</v>
      </c>
      <c r="B101" s="743" t="s">
        <v>998</v>
      </c>
      <c r="C101" s="744">
        <f>IF(C83=0,0,C75/C83)</f>
        <v>80570.600242277404</v>
      </c>
      <c r="D101" s="744">
        <f>IF(D83=0,0,D75/D83)</f>
        <v>81519.610787434678</v>
      </c>
      <c r="E101" s="744">
        <f>IF(E83=0,0,E75/E83)</f>
        <v>84233.66975252617</v>
      </c>
    </row>
    <row r="102" spans="1:5" ht="26.1" customHeight="1" x14ac:dyDescent="0.3">
      <c r="A102" s="742">
        <v>2</v>
      </c>
      <c r="B102" s="743" t="s">
        <v>999</v>
      </c>
      <c r="C102" s="761">
        <f>IF(C83=0,0,C76/C83)</f>
        <v>20329.727437916416</v>
      </c>
      <c r="D102" s="761">
        <f>IF(D83=0,0,D76/D83)</f>
        <v>23546.759565139047</v>
      </c>
      <c r="E102" s="761">
        <f>IF(E83=0,0,E76/E83)</f>
        <v>22736.915350638348</v>
      </c>
    </row>
    <row r="103" spans="1:5" ht="26.1" customHeight="1" x14ac:dyDescent="0.3">
      <c r="A103" s="753">
        <v>3</v>
      </c>
      <c r="B103" s="754" t="s">
        <v>997</v>
      </c>
      <c r="C103" s="757">
        <f>+C101+C102</f>
        <v>100900.32768019382</v>
      </c>
      <c r="D103" s="757">
        <f>+D101+D102</f>
        <v>105066.37035257372</v>
      </c>
      <c r="E103" s="757">
        <f>+E101+E102</f>
        <v>106970.58510316451</v>
      </c>
    </row>
    <row r="104" spans="1:5" ht="26.1" customHeight="1" x14ac:dyDescent="0.3">
      <c r="A104" s="753"/>
      <c r="B104" s="754"/>
      <c r="C104" s="757"/>
      <c r="D104" s="757"/>
      <c r="E104" s="757"/>
    </row>
    <row r="105" spans="1:5" ht="26.1" customHeight="1" x14ac:dyDescent="0.3">
      <c r="A105" s="753"/>
      <c r="B105" s="754"/>
      <c r="C105" s="757"/>
      <c r="D105" s="757"/>
      <c r="E105" s="757"/>
    </row>
    <row r="106" spans="1:5" ht="26.1" customHeight="1" x14ac:dyDescent="0.3">
      <c r="A106" s="753"/>
      <c r="B106" s="754"/>
      <c r="C106" s="757"/>
      <c r="D106" s="757"/>
      <c r="E106" s="757"/>
    </row>
    <row r="107" spans="1:5" ht="30" customHeight="1" x14ac:dyDescent="0.3">
      <c r="A107" s="731" t="s">
        <v>1000</v>
      </c>
      <c r="B107" s="736" t="s">
        <v>1001</v>
      </c>
      <c r="C107" s="762"/>
      <c r="D107" s="762"/>
      <c r="E107" s="744"/>
    </row>
    <row r="108" spans="1:5" ht="26.1" customHeight="1" x14ac:dyDescent="0.3">
      <c r="A108" s="742">
        <v>1</v>
      </c>
      <c r="B108" s="743" t="s">
        <v>1002</v>
      </c>
      <c r="C108" s="744">
        <f>IF(C19=0,0,C77/C19)</f>
        <v>2820.1053139442365</v>
      </c>
      <c r="D108" s="744">
        <f>IF(D19=0,0,D77/D19)</f>
        <v>3015.3763941321472</v>
      </c>
      <c r="E108" s="744">
        <f>IF(E19=0,0,E77/E19)</f>
        <v>3270.8656059204441</v>
      </c>
    </row>
    <row r="109" spans="1:5" ht="26.1" customHeight="1" x14ac:dyDescent="0.3">
      <c r="A109" s="742">
        <v>2</v>
      </c>
      <c r="B109" s="743" t="s">
        <v>1003</v>
      </c>
      <c r="C109" s="744">
        <f>IF(C20=0,0,C77/C20)</f>
        <v>12706.82234935164</v>
      </c>
      <c r="D109" s="744">
        <f>IF(D20=0,0,D77/D20)</f>
        <v>13584.29758484119</v>
      </c>
      <c r="E109" s="744">
        <f>IF(E20=0,0,E77/E20)</f>
        <v>13978.831817822409</v>
      </c>
    </row>
    <row r="110" spans="1:5" ht="26.1" customHeight="1" x14ac:dyDescent="0.3">
      <c r="A110" s="742">
        <v>3</v>
      </c>
      <c r="B110" s="743" t="s">
        <v>1004</v>
      </c>
      <c r="C110" s="744">
        <f>IF(C22=0,0,C77/C22)</f>
        <v>1420.3408646448693</v>
      </c>
      <c r="D110" s="744">
        <f>IF(D22=0,0,D77/D22)</f>
        <v>1466.8674723997524</v>
      </c>
      <c r="E110" s="744">
        <f>IF(E22=0,0,E77/E22)</f>
        <v>1505.3755954793216</v>
      </c>
    </row>
    <row r="111" spans="1:5" ht="26.1" customHeight="1" x14ac:dyDescent="0.3">
      <c r="A111" s="742">
        <v>4</v>
      </c>
      <c r="B111" s="743" t="s">
        <v>1005</v>
      </c>
      <c r="C111" s="744">
        <f>IF(C23=0,0,C77/C23)</f>
        <v>6399.767750986809</v>
      </c>
      <c r="D111" s="744">
        <f>IF(D23=0,0,D77/D23)</f>
        <v>6608.2510632431495</v>
      </c>
      <c r="E111" s="744">
        <f>IF(E23=0,0,E77/E23)</f>
        <v>6433.5851139129709</v>
      </c>
    </row>
    <row r="112" spans="1:5" ht="26.1" customHeight="1" x14ac:dyDescent="0.3">
      <c r="A112" s="742">
        <v>5</v>
      </c>
      <c r="B112" s="743" t="s">
        <v>1006</v>
      </c>
      <c r="C112" s="744">
        <f>IF(C29=0,0,C77/C29)</f>
        <v>1183.6984327754967</v>
      </c>
      <c r="D112" s="744">
        <f>IF(D29=0,0,D77/D29)</f>
        <v>1236.1522109432742</v>
      </c>
      <c r="E112" s="744">
        <f>IF(E29=0,0,E77/E29)</f>
        <v>1203.0847244050078</v>
      </c>
    </row>
    <row r="113" spans="1:7" ht="25.5" customHeight="1" x14ac:dyDescent="0.3">
      <c r="A113" s="742">
        <v>6</v>
      </c>
      <c r="B113" s="743" t="s">
        <v>1007</v>
      </c>
      <c r="C113" s="744">
        <f>IF(C30=0,0,C77/C30)</f>
        <v>5333.5049673898829</v>
      </c>
      <c r="D113" s="744">
        <f>IF(D30=0,0,D77/D30)</f>
        <v>5568.8767499441083</v>
      </c>
      <c r="E113" s="744">
        <f>IF(E30=0,0,E77/E30)</f>
        <v>5141.6722822875518</v>
      </c>
    </row>
    <row r="116" spans="1:7" x14ac:dyDescent="0.25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3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3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3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3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3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3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3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3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4" orientation="portrait" horizontalDpi="300" verticalDpi="300" r:id="rId1"/>
  <headerFooter>
    <oddHeader>&amp;LOFFICE OF HEALTH CARE ACCESS&amp;CTWELVE MONTHS ACTUAL FILING&amp;RNORWALK HOSPITAL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B21" sqref="B21"/>
    </sheetView>
  </sheetViews>
  <sheetFormatPr defaultColWidth="9.109375" defaultRowHeight="23.1" customHeight="1" x14ac:dyDescent="0.25"/>
  <cols>
    <col min="1" max="1" width="6.6640625" style="56" customWidth="1"/>
    <col min="2" max="2" width="54.44140625" style="56" customWidth="1"/>
    <col min="3" max="4" width="18.88671875" style="56" customWidth="1"/>
    <col min="5" max="6" width="18.88671875" style="91" customWidth="1"/>
    <col min="7" max="7" width="12.6640625" style="56" customWidth="1"/>
    <col min="8" max="16384" width="9.109375" style="56"/>
  </cols>
  <sheetData>
    <row r="1" spans="1:8" ht="23.1" customHeight="1" x14ac:dyDescent="0.3">
      <c r="A1" s="766" t="s">
        <v>0</v>
      </c>
      <c r="B1" s="767"/>
      <c r="C1" s="767"/>
      <c r="D1" s="767"/>
      <c r="E1" s="767"/>
      <c r="F1" s="768"/>
    </row>
    <row r="2" spans="1:8" ht="23.1" customHeight="1" x14ac:dyDescent="0.3">
      <c r="A2" s="766" t="s">
        <v>1</v>
      </c>
      <c r="B2" s="767"/>
      <c r="C2" s="767"/>
      <c r="D2" s="767"/>
      <c r="E2" s="767"/>
      <c r="F2" s="768"/>
    </row>
    <row r="3" spans="1:8" ht="23.1" customHeight="1" x14ac:dyDescent="0.3">
      <c r="A3" s="766" t="s">
        <v>2</v>
      </c>
      <c r="B3" s="767"/>
      <c r="C3" s="767"/>
      <c r="D3" s="767"/>
      <c r="E3" s="767"/>
      <c r="F3" s="768"/>
    </row>
    <row r="4" spans="1:8" ht="23.1" customHeight="1" x14ac:dyDescent="0.3">
      <c r="A4" s="766" t="s">
        <v>69</v>
      </c>
      <c r="B4" s="767"/>
      <c r="C4" s="767"/>
      <c r="D4" s="767"/>
      <c r="E4" s="767"/>
      <c r="F4" s="768"/>
    </row>
    <row r="5" spans="1:8" ht="23.1" customHeight="1" x14ac:dyDescent="0.3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3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3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3">
      <c r="A8" s="67"/>
      <c r="B8" s="67"/>
      <c r="C8" s="68"/>
      <c r="D8" s="68"/>
      <c r="E8" s="69"/>
      <c r="F8" s="69"/>
    </row>
    <row r="9" spans="1:8" ht="12.75" customHeight="1" x14ac:dyDescent="0.25">
      <c r="A9" s="70"/>
      <c r="B9" s="70"/>
      <c r="C9" s="70"/>
      <c r="D9" s="70"/>
      <c r="E9" s="67"/>
      <c r="F9" s="67"/>
    </row>
    <row r="10" spans="1:8" ht="15.75" customHeight="1" x14ac:dyDescent="0.3">
      <c r="A10" s="71"/>
      <c r="B10" s="72"/>
      <c r="C10" s="68"/>
      <c r="D10" s="68"/>
      <c r="E10" s="73"/>
      <c r="F10" s="73"/>
    </row>
    <row r="11" spans="1:8" ht="15.75" customHeight="1" x14ac:dyDescent="0.3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5">
      <c r="A12" s="74">
        <v>1</v>
      </c>
      <c r="B12" s="75" t="s">
        <v>71</v>
      </c>
      <c r="C12" s="76">
        <v>945067000</v>
      </c>
      <c r="D12" s="76">
        <v>1014407266</v>
      </c>
      <c r="E12" s="76">
        <f t="shared" ref="E12:E21" si="0">D12-C12</f>
        <v>69340266</v>
      </c>
      <c r="F12" s="77">
        <f t="shared" ref="F12:F21" si="1">IF(C12=0,0,E12/C12)</f>
        <v>7.3370740910432802E-2</v>
      </c>
    </row>
    <row r="13" spans="1:8" ht="23.1" customHeight="1" x14ac:dyDescent="0.25">
      <c r="A13" s="74">
        <v>2</v>
      </c>
      <c r="B13" s="75" t="s">
        <v>72</v>
      </c>
      <c r="C13" s="76">
        <v>560723000</v>
      </c>
      <c r="D13" s="76">
        <v>610738015</v>
      </c>
      <c r="E13" s="76">
        <f t="shared" si="0"/>
        <v>50015015</v>
      </c>
      <c r="F13" s="77">
        <f t="shared" si="1"/>
        <v>8.9197366614174919E-2</v>
      </c>
    </row>
    <row r="14" spans="1:8" ht="23.1" customHeight="1" x14ac:dyDescent="0.25">
      <c r="A14" s="74">
        <v>3</v>
      </c>
      <c r="B14" s="75" t="s">
        <v>73</v>
      </c>
      <c r="C14" s="76">
        <v>15720000</v>
      </c>
      <c r="D14" s="76">
        <v>18588723</v>
      </c>
      <c r="E14" s="76">
        <f t="shared" si="0"/>
        <v>2868723</v>
      </c>
      <c r="F14" s="77">
        <f t="shared" si="1"/>
        <v>0.18248874045801527</v>
      </c>
    </row>
    <row r="15" spans="1:8" ht="23.1" customHeight="1" x14ac:dyDescent="0.25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3">
      <c r="A16" s="71"/>
      <c r="B16" s="78" t="s">
        <v>75</v>
      </c>
      <c r="C16" s="79">
        <f>C12-C13-C14-C15</f>
        <v>368624000</v>
      </c>
      <c r="D16" s="79">
        <f>D12-D13-D14-D15</f>
        <v>385080528</v>
      </c>
      <c r="E16" s="79">
        <f t="shared" si="0"/>
        <v>16456528</v>
      </c>
      <c r="F16" s="80">
        <f t="shared" si="1"/>
        <v>4.4643126871826033E-2</v>
      </c>
    </row>
    <row r="17" spans="1:7" ht="23.1" customHeight="1" x14ac:dyDescent="0.25">
      <c r="A17" s="74">
        <v>5</v>
      </c>
      <c r="B17" s="75" t="s">
        <v>76</v>
      </c>
      <c r="C17" s="76">
        <v>13113000</v>
      </c>
      <c r="D17" s="76">
        <v>12856802</v>
      </c>
      <c r="E17" s="76">
        <f t="shared" si="0"/>
        <v>-256198</v>
      </c>
      <c r="F17" s="77">
        <f t="shared" si="1"/>
        <v>-1.9537710668801951E-2</v>
      </c>
      <c r="G17" s="65"/>
    </row>
    <row r="18" spans="1:7" ht="31.5" customHeight="1" x14ac:dyDescent="0.3">
      <c r="A18" s="71"/>
      <c r="B18" s="81" t="s">
        <v>77</v>
      </c>
      <c r="C18" s="79">
        <f>C16-C17</f>
        <v>355511000</v>
      </c>
      <c r="D18" s="79">
        <f>D16-D17</f>
        <v>372223726</v>
      </c>
      <c r="E18" s="79">
        <f t="shared" si="0"/>
        <v>16712726</v>
      </c>
      <c r="F18" s="80">
        <f t="shared" si="1"/>
        <v>4.7010432869869008E-2</v>
      </c>
    </row>
    <row r="19" spans="1:7" ht="23.1" customHeight="1" x14ac:dyDescent="0.25">
      <c r="A19" s="74">
        <v>6</v>
      </c>
      <c r="B19" s="75" t="s">
        <v>78</v>
      </c>
      <c r="C19" s="76">
        <v>14524000</v>
      </c>
      <c r="D19" s="76">
        <v>12937127</v>
      </c>
      <c r="E19" s="76">
        <f t="shared" si="0"/>
        <v>-1586873</v>
      </c>
      <c r="F19" s="77">
        <f t="shared" si="1"/>
        <v>-0.10925867529606169</v>
      </c>
      <c r="G19" s="65"/>
    </row>
    <row r="20" spans="1:7" ht="33" customHeight="1" x14ac:dyDescent="0.25">
      <c r="A20" s="74">
        <v>7</v>
      </c>
      <c r="B20" s="82" t="s">
        <v>79</v>
      </c>
      <c r="C20" s="76">
        <v>1492000</v>
      </c>
      <c r="D20" s="76">
        <v>1016953</v>
      </c>
      <c r="E20" s="76">
        <f t="shared" si="0"/>
        <v>-475047</v>
      </c>
      <c r="F20" s="77">
        <f t="shared" si="1"/>
        <v>-0.31839611260053619</v>
      </c>
      <c r="G20" s="65"/>
    </row>
    <row r="21" spans="1:7" ht="23.1" customHeight="1" x14ac:dyDescent="0.3">
      <c r="A21" s="71"/>
      <c r="B21" s="78" t="s">
        <v>80</v>
      </c>
      <c r="C21" s="79">
        <f>SUM(C18:C20)</f>
        <v>371527000</v>
      </c>
      <c r="D21" s="79">
        <f>SUM(D18:D20)</f>
        <v>386177806</v>
      </c>
      <c r="E21" s="79">
        <f t="shared" si="0"/>
        <v>14650806</v>
      </c>
      <c r="F21" s="80">
        <f t="shared" si="1"/>
        <v>3.9434027674973823E-2</v>
      </c>
    </row>
    <row r="22" spans="1:7" ht="15.75" customHeight="1" x14ac:dyDescent="0.3">
      <c r="A22" s="74"/>
      <c r="B22" s="78"/>
      <c r="C22" s="76"/>
      <c r="D22" s="76"/>
      <c r="E22" s="76"/>
      <c r="F22" s="77"/>
    </row>
    <row r="23" spans="1:7" ht="23.1" customHeight="1" x14ac:dyDescent="0.3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5">
      <c r="A24" s="74">
        <v>1</v>
      </c>
      <c r="B24" s="75" t="s">
        <v>82</v>
      </c>
      <c r="C24" s="76">
        <v>135722000</v>
      </c>
      <c r="D24" s="76">
        <v>139212986</v>
      </c>
      <c r="E24" s="76">
        <f t="shared" ref="E24:E33" si="2">D24-C24</f>
        <v>3490986</v>
      </c>
      <c r="F24" s="77">
        <f t="shared" ref="F24:F33" si="3">IF(C24=0,0,E24/C24)</f>
        <v>2.5721592667364172E-2</v>
      </c>
    </row>
    <row r="25" spans="1:7" ht="23.1" customHeight="1" x14ac:dyDescent="0.25">
      <c r="A25" s="74">
        <v>2</v>
      </c>
      <c r="B25" s="75" t="s">
        <v>83</v>
      </c>
      <c r="C25" s="76">
        <v>39203000</v>
      </c>
      <c r="D25" s="76">
        <v>37577300</v>
      </c>
      <c r="E25" s="76">
        <f t="shared" si="2"/>
        <v>-1625700</v>
      </c>
      <c r="F25" s="77">
        <f t="shared" si="3"/>
        <v>-4.1468765145524576E-2</v>
      </c>
    </row>
    <row r="26" spans="1:7" ht="23.1" customHeight="1" x14ac:dyDescent="0.25">
      <c r="A26" s="74">
        <v>3</v>
      </c>
      <c r="B26" s="75" t="s">
        <v>84</v>
      </c>
      <c r="C26" s="76">
        <v>8103000</v>
      </c>
      <c r="D26" s="76">
        <v>14522059</v>
      </c>
      <c r="E26" s="76">
        <f t="shared" si="2"/>
        <v>6419059</v>
      </c>
      <c r="F26" s="77">
        <f t="shared" si="3"/>
        <v>0.79218301863507345</v>
      </c>
      <c r="G26" s="65"/>
    </row>
    <row r="27" spans="1:7" ht="23.1" customHeight="1" x14ac:dyDescent="0.25">
      <c r="A27" s="74">
        <v>4</v>
      </c>
      <c r="B27" s="75" t="s">
        <v>85</v>
      </c>
      <c r="C27" s="76">
        <v>38047000</v>
      </c>
      <c r="D27" s="76">
        <v>50516081</v>
      </c>
      <c r="E27" s="76">
        <f t="shared" si="2"/>
        <v>12469081</v>
      </c>
      <c r="F27" s="77">
        <f t="shared" si="3"/>
        <v>0.32772836228874813</v>
      </c>
    </row>
    <row r="28" spans="1:7" ht="23.1" customHeight="1" x14ac:dyDescent="0.25">
      <c r="A28" s="74">
        <v>5</v>
      </c>
      <c r="B28" s="75" t="s">
        <v>86</v>
      </c>
      <c r="C28" s="76">
        <v>20264000</v>
      </c>
      <c r="D28" s="76">
        <v>22949810</v>
      </c>
      <c r="E28" s="76">
        <f t="shared" si="2"/>
        <v>2685810</v>
      </c>
      <c r="F28" s="77">
        <f t="shared" si="3"/>
        <v>0.13254095933675483</v>
      </c>
    </row>
    <row r="29" spans="1:7" ht="23.1" customHeight="1" x14ac:dyDescent="0.25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5">
      <c r="A30" s="74">
        <v>7</v>
      </c>
      <c r="B30" s="75" t="s">
        <v>88</v>
      </c>
      <c r="C30" s="76">
        <v>1952000</v>
      </c>
      <c r="D30" s="76">
        <v>2026377</v>
      </c>
      <c r="E30" s="76">
        <f t="shared" si="2"/>
        <v>74377</v>
      </c>
      <c r="F30" s="77">
        <f t="shared" si="3"/>
        <v>3.8102971311475407E-2</v>
      </c>
    </row>
    <row r="31" spans="1:7" ht="23.1" customHeight="1" x14ac:dyDescent="0.25">
      <c r="A31" s="74">
        <v>8</v>
      </c>
      <c r="B31" s="75" t="s">
        <v>89</v>
      </c>
      <c r="C31" s="76">
        <v>6772000</v>
      </c>
      <c r="D31" s="76">
        <v>2094155</v>
      </c>
      <c r="E31" s="76">
        <f t="shared" si="2"/>
        <v>-4677845</v>
      </c>
      <c r="F31" s="77">
        <f t="shared" si="3"/>
        <v>-0.6907626993502658</v>
      </c>
    </row>
    <row r="32" spans="1:7" ht="23.1" customHeight="1" x14ac:dyDescent="0.25">
      <c r="A32" s="74">
        <v>9</v>
      </c>
      <c r="B32" s="75" t="s">
        <v>90</v>
      </c>
      <c r="C32" s="76">
        <v>104753000</v>
      </c>
      <c r="D32" s="76">
        <v>113247979</v>
      </c>
      <c r="E32" s="76">
        <f t="shared" si="2"/>
        <v>8494979</v>
      </c>
      <c r="F32" s="77">
        <f t="shared" si="3"/>
        <v>8.1095329012056933E-2</v>
      </c>
    </row>
    <row r="33" spans="1:6" ht="23.1" customHeight="1" x14ac:dyDescent="0.3">
      <c r="A33" s="71"/>
      <c r="B33" s="78" t="s">
        <v>91</v>
      </c>
      <c r="C33" s="79">
        <f>SUM(C24:C32)</f>
        <v>354816000</v>
      </c>
      <c r="D33" s="79">
        <f>SUM(D24:D32)</f>
        <v>382146747</v>
      </c>
      <c r="E33" s="79">
        <f t="shared" si="2"/>
        <v>27330747</v>
      </c>
      <c r="F33" s="80">
        <f t="shared" si="3"/>
        <v>7.7027944061147186E-2</v>
      </c>
    </row>
    <row r="34" spans="1:6" ht="15" customHeight="1" x14ac:dyDescent="0.25">
      <c r="A34" s="74"/>
      <c r="B34" s="67"/>
      <c r="C34" s="76"/>
      <c r="D34" s="76"/>
      <c r="E34" s="76"/>
      <c r="F34" s="77"/>
    </row>
    <row r="35" spans="1:6" ht="23.1" customHeight="1" x14ac:dyDescent="0.3">
      <c r="A35" s="83"/>
      <c r="B35" s="78" t="s">
        <v>92</v>
      </c>
      <c r="C35" s="79">
        <f>+C21-C33</f>
        <v>16711000</v>
      </c>
      <c r="D35" s="79">
        <f>+D21-D33</f>
        <v>4031059</v>
      </c>
      <c r="E35" s="79">
        <f>D35-C35</f>
        <v>-12679941</v>
      </c>
      <c r="F35" s="80">
        <f>IF(C35=0,0,E35/C35)</f>
        <v>-0.75877811022679675</v>
      </c>
    </row>
    <row r="36" spans="1:6" ht="15.75" customHeight="1" x14ac:dyDescent="0.3">
      <c r="A36" s="84"/>
      <c r="B36" s="78"/>
      <c r="C36" s="76"/>
      <c r="D36" s="76"/>
      <c r="E36" s="76"/>
      <c r="F36" s="77"/>
    </row>
    <row r="37" spans="1:6" ht="15.75" customHeight="1" x14ac:dyDescent="0.3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5">
      <c r="A38" s="85">
        <v>1</v>
      </c>
      <c r="B38" s="75" t="s">
        <v>94</v>
      </c>
      <c r="C38" s="76">
        <v>3201000</v>
      </c>
      <c r="D38" s="76">
        <v>4801444</v>
      </c>
      <c r="E38" s="76">
        <f>D38-C38</f>
        <v>1600444</v>
      </c>
      <c r="F38" s="77">
        <f>IF(C38=0,0,E38/C38)</f>
        <v>0.49998250546704154</v>
      </c>
    </row>
    <row r="39" spans="1:6" ht="23.1" customHeight="1" x14ac:dyDescent="0.25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5">
      <c r="A40" s="85">
        <v>3</v>
      </c>
      <c r="B40" s="75" t="s">
        <v>96</v>
      </c>
      <c r="C40" s="76">
        <v>24812000</v>
      </c>
      <c r="D40" s="76">
        <v>22470743</v>
      </c>
      <c r="E40" s="76">
        <f>D40-C40</f>
        <v>-2341257</v>
      </c>
      <c r="F40" s="77">
        <f>IF(C40=0,0,E40/C40)</f>
        <v>-9.4359866193777203E-2</v>
      </c>
    </row>
    <row r="41" spans="1:6" ht="23.1" customHeight="1" x14ac:dyDescent="0.3">
      <c r="A41" s="83"/>
      <c r="B41" s="78" t="s">
        <v>97</v>
      </c>
      <c r="C41" s="79">
        <f>SUM(C38:C40)</f>
        <v>28013000</v>
      </c>
      <c r="D41" s="79">
        <f>SUM(D38:D40)</f>
        <v>27272187</v>
      </c>
      <c r="E41" s="79">
        <f>D41-C41</f>
        <v>-740813</v>
      </c>
      <c r="F41" s="80">
        <f>IF(C41=0,0,E41/C41)</f>
        <v>-2.6445328954414021E-2</v>
      </c>
    </row>
    <row r="42" spans="1:6" ht="15.75" customHeight="1" x14ac:dyDescent="0.3">
      <c r="A42" s="85"/>
      <c r="B42" s="78"/>
      <c r="C42" s="86"/>
      <c r="D42" s="86"/>
      <c r="E42" s="86"/>
      <c r="F42" s="80"/>
    </row>
    <row r="43" spans="1:6" ht="33" customHeight="1" x14ac:dyDescent="0.3">
      <c r="A43" s="83"/>
      <c r="B43" s="81" t="s">
        <v>98</v>
      </c>
      <c r="C43" s="79">
        <f>C35+C41</f>
        <v>44724000</v>
      </c>
      <c r="D43" s="79">
        <f>D35+D41</f>
        <v>31303246</v>
      </c>
      <c r="E43" s="79">
        <f>D43-C43</f>
        <v>-13420754</v>
      </c>
      <c r="F43" s="80">
        <f>IF(C43=0,0,E43/C43)</f>
        <v>-0.30007946516411771</v>
      </c>
    </row>
    <row r="44" spans="1:6" ht="15.75" customHeight="1" x14ac:dyDescent="0.3">
      <c r="A44" s="85"/>
      <c r="B44" s="78"/>
      <c r="C44" s="86"/>
      <c r="D44" s="86"/>
      <c r="E44" s="86"/>
      <c r="F44" s="80"/>
    </row>
    <row r="45" spans="1:6" ht="23.1" customHeight="1" x14ac:dyDescent="0.3">
      <c r="A45" s="83"/>
      <c r="B45" s="87" t="s">
        <v>99</v>
      </c>
      <c r="C45" s="86"/>
      <c r="D45" s="86"/>
      <c r="E45" s="86"/>
      <c r="F45" s="80"/>
    </row>
    <row r="46" spans="1:6" ht="23.1" customHeight="1" x14ac:dyDescent="0.25">
      <c r="A46" s="85"/>
      <c r="B46" s="75" t="s">
        <v>100</v>
      </c>
      <c r="C46" s="76">
        <v>-4977000</v>
      </c>
      <c r="D46" s="76">
        <v>7312749</v>
      </c>
      <c r="E46" s="76">
        <f>D46-C46</f>
        <v>12289749</v>
      </c>
      <c r="F46" s="77">
        <f>IF(C46=0,0,E46/C46)</f>
        <v>-2.4693086196503917</v>
      </c>
    </row>
    <row r="47" spans="1:6" ht="23.1" customHeight="1" x14ac:dyDescent="0.25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3">
      <c r="A48" s="83"/>
      <c r="B48" s="78" t="s">
        <v>102</v>
      </c>
      <c r="C48" s="79">
        <f>SUM(C46:C47)</f>
        <v>-4977000</v>
      </c>
      <c r="D48" s="79">
        <f>SUM(D46:D47)</f>
        <v>7312749</v>
      </c>
      <c r="E48" s="79">
        <f>D48-C48</f>
        <v>12289749</v>
      </c>
      <c r="F48" s="80">
        <f>IF(C48=0,0,E48/C48)</f>
        <v>-2.4693086196503917</v>
      </c>
    </row>
    <row r="49" spans="1:6" ht="15.75" customHeight="1" x14ac:dyDescent="0.3">
      <c r="A49" s="83"/>
      <c r="B49" s="65"/>
      <c r="C49" s="79"/>
      <c r="D49" s="79"/>
      <c r="E49" s="79"/>
      <c r="F49" s="79"/>
    </row>
    <row r="50" spans="1:6" ht="23.1" customHeight="1" x14ac:dyDescent="0.3">
      <c r="A50" s="83"/>
      <c r="B50" s="87" t="s">
        <v>103</v>
      </c>
      <c r="C50" s="79">
        <f>C43+C48</f>
        <v>39747000</v>
      </c>
      <c r="D50" s="79">
        <f>D43+D48</f>
        <v>38615995</v>
      </c>
      <c r="E50" s="79">
        <f>D50-C50</f>
        <v>-1131005</v>
      </c>
      <c r="F50" s="80">
        <f>IF(C50=0,0,E50/C50)</f>
        <v>-2.8455103529826151E-2</v>
      </c>
    </row>
    <row r="51" spans="1:6" ht="23.1" customHeight="1" x14ac:dyDescent="0.25">
      <c r="A51" s="85"/>
      <c r="B51" s="75" t="s">
        <v>104</v>
      </c>
      <c r="C51" s="76">
        <v>6316051</v>
      </c>
      <c r="D51" s="76">
        <v>6769094</v>
      </c>
      <c r="E51" s="76">
        <f>D51-C51</f>
        <v>453043</v>
      </c>
      <c r="F51" s="77">
        <f>IF(C51=0,0,E51/C51)</f>
        <v>7.172883816169312E-2</v>
      </c>
    </row>
    <row r="52" spans="1:6" ht="23.1" customHeight="1" x14ac:dyDescent="0.3">
      <c r="A52" s="85"/>
      <c r="B52" s="78"/>
      <c r="C52" s="79"/>
      <c r="D52" s="79"/>
      <c r="E52" s="88"/>
      <c r="F52" s="80"/>
    </row>
    <row r="53" spans="1:6" ht="23.1" customHeight="1" x14ac:dyDescent="0.3">
      <c r="A53" s="89"/>
      <c r="B53" s="78"/>
      <c r="C53" s="79"/>
      <c r="D53" s="79"/>
      <c r="E53" s="88"/>
      <c r="F53" s="80"/>
    </row>
    <row r="54" spans="1:6" ht="23.1" customHeight="1" x14ac:dyDescent="0.3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63" orientation="portrait" horizontalDpi="300" verticalDpi="300" r:id="rId1"/>
  <headerFooter>
    <oddHeader>&amp;LOFFICE OF HEALTH CARE ACCESS&amp;CTWELVE MONTHS ACTUAL FILING&amp;RNORWALK HOSPITAL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B30" sqref="B30"/>
    </sheetView>
  </sheetViews>
  <sheetFormatPr defaultColWidth="9.109375" defaultRowHeight="15" x14ac:dyDescent="0.25"/>
  <cols>
    <col min="1" max="1" width="6.109375" style="96" customWidth="1"/>
    <col min="2" max="2" width="56.33203125" style="96" customWidth="1"/>
    <col min="3" max="3" width="18.33203125" style="135" customWidth="1"/>
    <col min="4" max="4" width="18.109375" style="96" customWidth="1"/>
    <col min="5" max="7" width="18.109375" style="96" bestFit="1" customWidth="1"/>
    <col min="8" max="16384" width="9.109375" style="96"/>
  </cols>
  <sheetData>
    <row r="1" spans="1:6" ht="15" customHeight="1" x14ac:dyDescent="0.3">
      <c r="A1" s="92"/>
      <c r="B1" s="93"/>
      <c r="C1" s="94"/>
      <c r="D1" s="94"/>
      <c r="E1" s="94"/>
      <c r="F1" s="95"/>
    </row>
    <row r="2" spans="1:6" ht="15.75" customHeight="1" x14ac:dyDescent="0.3">
      <c r="A2" s="769" t="s">
        <v>0</v>
      </c>
      <c r="B2" s="769"/>
      <c r="C2" s="769"/>
      <c r="D2" s="769"/>
      <c r="E2" s="769"/>
      <c r="F2" s="769"/>
    </row>
    <row r="3" spans="1:6" ht="15.75" customHeight="1" x14ac:dyDescent="0.3">
      <c r="A3" s="769" t="s">
        <v>1</v>
      </c>
      <c r="B3" s="769"/>
      <c r="C3" s="769"/>
      <c r="D3" s="769"/>
      <c r="E3" s="769"/>
      <c r="F3" s="769"/>
    </row>
    <row r="4" spans="1:6" ht="15.75" customHeight="1" x14ac:dyDescent="0.3">
      <c r="A4" s="769" t="s">
        <v>2</v>
      </c>
      <c r="B4" s="769"/>
      <c r="C4" s="769"/>
      <c r="D4" s="769"/>
      <c r="E4" s="769"/>
      <c r="F4" s="769"/>
    </row>
    <row r="5" spans="1:6" ht="15.75" customHeight="1" x14ac:dyDescent="0.3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5">
      <c r="A6" s="92"/>
      <c r="B6" s="97"/>
      <c r="C6" s="98"/>
      <c r="D6" s="94"/>
      <c r="E6" s="94"/>
      <c r="F6" s="95"/>
    </row>
    <row r="7" spans="1:6" ht="15.6" x14ac:dyDescent="0.3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5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6" x14ac:dyDescent="0.3">
      <c r="A9" s="108"/>
      <c r="B9" s="109"/>
      <c r="C9" s="770"/>
      <c r="D9" s="771"/>
      <c r="E9" s="771"/>
      <c r="F9" s="772"/>
    </row>
    <row r="10" spans="1:6" x14ac:dyDescent="0.25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5">
      <c r="A11" s="774"/>
      <c r="B11" s="776"/>
      <c r="C11" s="780"/>
      <c r="D11" s="781"/>
      <c r="E11" s="781"/>
      <c r="F11" s="782"/>
    </row>
    <row r="12" spans="1:6" ht="15.6" x14ac:dyDescent="0.3">
      <c r="A12" s="110"/>
      <c r="B12" s="111"/>
      <c r="C12" s="112"/>
      <c r="D12" s="112"/>
      <c r="E12" s="112"/>
      <c r="F12" s="112"/>
    </row>
    <row r="13" spans="1:6" ht="15.6" x14ac:dyDescent="0.3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5">
      <c r="A14" s="115">
        <v>1</v>
      </c>
      <c r="B14" s="116" t="s">
        <v>113</v>
      </c>
      <c r="C14" s="113">
        <v>220724555</v>
      </c>
      <c r="D14" s="113">
        <v>210497715</v>
      </c>
      <c r="E14" s="113">
        <f t="shared" ref="E14:E25" si="0">D14-C14</f>
        <v>-10226840</v>
      </c>
      <c r="F14" s="114">
        <f t="shared" ref="F14:F25" si="1">IF(C14=0,0,E14/C14)</f>
        <v>-4.6333041650032998E-2</v>
      </c>
    </row>
    <row r="15" spans="1:6" x14ac:dyDescent="0.25">
      <c r="A15" s="115">
        <v>2</v>
      </c>
      <c r="B15" s="116" t="s">
        <v>114</v>
      </c>
      <c r="C15" s="113">
        <v>29122971</v>
      </c>
      <c r="D15" s="113">
        <v>33577127</v>
      </c>
      <c r="E15" s="113">
        <f t="shared" si="0"/>
        <v>4454156</v>
      </c>
      <c r="F15" s="114">
        <f t="shared" si="1"/>
        <v>0.15294304966344266</v>
      </c>
    </row>
    <row r="16" spans="1:6" x14ac:dyDescent="0.25">
      <c r="A16" s="115">
        <v>3</v>
      </c>
      <c r="B16" s="116" t="s">
        <v>115</v>
      </c>
      <c r="C16" s="113">
        <v>75908806</v>
      </c>
      <c r="D16" s="113">
        <v>84806012</v>
      </c>
      <c r="E16" s="113">
        <f t="shared" si="0"/>
        <v>8897206</v>
      </c>
      <c r="F16" s="114">
        <f t="shared" si="1"/>
        <v>0.11720914171670675</v>
      </c>
    </row>
    <row r="17" spans="1:6" x14ac:dyDescent="0.25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5">
      <c r="A18" s="115">
        <v>5</v>
      </c>
      <c r="B18" s="116" t="s">
        <v>117</v>
      </c>
      <c r="C18" s="113">
        <v>260692</v>
      </c>
      <c r="D18" s="113">
        <v>367783</v>
      </c>
      <c r="E18" s="113">
        <f t="shared" si="0"/>
        <v>107091</v>
      </c>
      <c r="F18" s="114">
        <f t="shared" si="1"/>
        <v>0.4107951145412978</v>
      </c>
    </row>
    <row r="19" spans="1:6" x14ac:dyDescent="0.25">
      <c r="A19" s="115">
        <v>6</v>
      </c>
      <c r="B19" s="116" t="s">
        <v>118</v>
      </c>
      <c r="C19" s="113">
        <v>19530154</v>
      </c>
      <c r="D19" s="113">
        <v>18215091</v>
      </c>
      <c r="E19" s="113">
        <f t="shared" si="0"/>
        <v>-1315063</v>
      </c>
      <c r="F19" s="114">
        <f t="shared" si="1"/>
        <v>-6.7335004117223041E-2</v>
      </c>
    </row>
    <row r="20" spans="1:6" x14ac:dyDescent="0.25">
      <c r="A20" s="115">
        <v>7</v>
      </c>
      <c r="B20" s="116" t="s">
        <v>119</v>
      </c>
      <c r="C20" s="113">
        <v>104010175</v>
      </c>
      <c r="D20" s="113">
        <v>111160410</v>
      </c>
      <c r="E20" s="113">
        <f t="shared" si="0"/>
        <v>7150235</v>
      </c>
      <c r="F20" s="114">
        <f t="shared" si="1"/>
        <v>6.8745533790323873E-2</v>
      </c>
    </row>
    <row r="21" spans="1:6" x14ac:dyDescent="0.25">
      <c r="A21" s="115">
        <v>8</v>
      </c>
      <c r="B21" s="116" t="s">
        <v>120</v>
      </c>
      <c r="C21" s="113">
        <v>3102201</v>
      </c>
      <c r="D21" s="113">
        <v>1338638</v>
      </c>
      <c r="E21" s="113">
        <f t="shared" si="0"/>
        <v>-1763563</v>
      </c>
      <c r="F21" s="114">
        <f t="shared" si="1"/>
        <v>-0.56848766408108309</v>
      </c>
    </row>
    <row r="22" spans="1:6" x14ac:dyDescent="0.25">
      <c r="A22" s="115">
        <v>9</v>
      </c>
      <c r="B22" s="116" t="s">
        <v>121</v>
      </c>
      <c r="C22" s="113">
        <v>5833457</v>
      </c>
      <c r="D22" s="113">
        <v>5678211</v>
      </c>
      <c r="E22" s="113">
        <f t="shared" si="0"/>
        <v>-155246</v>
      </c>
      <c r="F22" s="114">
        <f t="shared" si="1"/>
        <v>-2.6613035803640963E-2</v>
      </c>
    </row>
    <row r="23" spans="1:6" x14ac:dyDescent="0.25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5">
      <c r="A24" s="115">
        <v>11</v>
      </c>
      <c r="B24" s="116" t="s">
        <v>123</v>
      </c>
      <c r="C24" s="113">
        <v>1246734</v>
      </c>
      <c r="D24" s="113">
        <v>1227307</v>
      </c>
      <c r="E24" s="113">
        <f t="shared" si="0"/>
        <v>-19427</v>
      </c>
      <c r="F24" s="114">
        <f t="shared" si="1"/>
        <v>-1.5582313468630839E-2</v>
      </c>
    </row>
    <row r="25" spans="1:6" ht="15.6" x14ac:dyDescent="0.3">
      <c r="A25" s="117"/>
      <c r="B25" s="118" t="s">
        <v>124</v>
      </c>
      <c r="C25" s="119">
        <f>SUM(C14:C24)</f>
        <v>459739745</v>
      </c>
      <c r="D25" s="119">
        <f>SUM(D14:D24)</f>
        <v>466868294</v>
      </c>
      <c r="E25" s="119">
        <f t="shared" si="0"/>
        <v>7128549</v>
      </c>
      <c r="F25" s="120">
        <f t="shared" si="1"/>
        <v>1.5505618292801724E-2</v>
      </c>
    </row>
    <row r="26" spans="1:6" ht="15.6" x14ac:dyDescent="0.3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5">
      <c r="A27" s="115">
        <v>1</v>
      </c>
      <c r="B27" s="116" t="s">
        <v>113</v>
      </c>
      <c r="C27" s="113">
        <v>130720242</v>
      </c>
      <c r="D27" s="113">
        <v>152546198</v>
      </c>
      <c r="E27" s="113">
        <f t="shared" ref="E27:E38" si="2">D27-C27</f>
        <v>21825956</v>
      </c>
      <c r="F27" s="114">
        <f t="shared" ref="F27:F38" si="3">IF(C27=0,0,E27/C27)</f>
        <v>0.1669669185587952</v>
      </c>
    </row>
    <row r="28" spans="1:6" x14ac:dyDescent="0.25">
      <c r="A28" s="115">
        <v>2</v>
      </c>
      <c r="B28" s="116" t="s">
        <v>114</v>
      </c>
      <c r="C28" s="113">
        <v>21857427</v>
      </c>
      <c r="D28" s="113">
        <v>26904148</v>
      </c>
      <c r="E28" s="113">
        <f t="shared" si="2"/>
        <v>5046721</v>
      </c>
      <c r="F28" s="114">
        <f t="shared" si="3"/>
        <v>0.23089273042064831</v>
      </c>
    </row>
    <row r="29" spans="1:6" x14ac:dyDescent="0.25">
      <c r="A29" s="115">
        <v>3</v>
      </c>
      <c r="B29" s="116" t="s">
        <v>115</v>
      </c>
      <c r="C29" s="113">
        <v>84059124</v>
      </c>
      <c r="D29" s="113">
        <v>91316411</v>
      </c>
      <c r="E29" s="113">
        <f t="shared" si="2"/>
        <v>7257287</v>
      </c>
      <c r="F29" s="114">
        <f t="shared" si="3"/>
        <v>8.6335505946980848E-2</v>
      </c>
    </row>
    <row r="30" spans="1:6" x14ac:dyDescent="0.25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5">
      <c r="A31" s="115">
        <v>5</v>
      </c>
      <c r="B31" s="116" t="s">
        <v>117</v>
      </c>
      <c r="C31" s="113">
        <v>378243</v>
      </c>
      <c r="D31" s="113">
        <v>523869</v>
      </c>
      <c r="E31" s="113">
        <f t="shared" si="2"/>
        <v>145626</v>
      </c>
      <c r="F31" s="114">
        <f t="shared" si="3"/>
        <v>0.38500646409847639</v>
      </c>
    </row>
    <row r="32" spans="1:6" x14ac:dyDescent="0.25">
      <c r="A32" s="115">
        <v>6</v>
      </c>
      <c r="B32" s="116" t="s">
        <v>118</v>
      </c>
      <c r="C32" s="113">
        <v>32183757</v>
      </c>
      <c r="D32" s="113">
        <v>31864143</v>
      </c>
      <c r="E32" s="113">
        <f t="shared" si="2"/>
        <v>-319614</v>
      </c>
      <c r="F32" s="114">
        <f t="shared" si="3"/>
        <v>-9.9309101793180945E-3</v>
      </c>
    </row>
    <row r="33" spans="1:6" x14ac:dyDescent="0.25">
      <c r="A33" s="115">
        <v>7</v>
      </c>
      <c r="B33" s="116" t="s">
        <v>119</v>
      </c>
      <c r="C33" s="113">
        <v>181268835</v>
      </c>
      <c r="D33" s="113">
        <v>207221849</v>
      </c>
      <c r="E33" s="113">
        <f t="shared" si="2"/>
        <v>25953014</v>
      </c>
      <c r="F33" s="114">
        <f t="shared" si="3"/>
        <v>0.14317416449440964</v>
      </c>
    </row>
    <row r="34" spans="1:6" x14ac:dyDescent="0.25">
      <c r="A34" s="115">
        <v>8</v>
      </c>
      <c r="B34" s="116" t="s">
        <v>120</v>
      </c>
      <c r="C34" s="113">
        <v>6211623</v>
      </c>
      <c r="D34" s="113">
        <v>5039197</v>
      </c>
      <c r="E34" s="113">
        <f t="shared" si="2"/>
        <v>-1172426</v>
      </c>
      <c r="F34" s="114">
        <f t="shared" si="3"/>
        <v>-0.18874712776354907</v>
      </c>
    </row>
    <row r="35" spans="1:6" x14ac:dyDescent="0.25">
      <c r="A35" s="115">
        <v>9</v>
      </c>
      <c r="B35" s="116" t="s">
        <v>121</v>
      </c>
      <c r="C35" s="113">
        <v>27848639</v>
      </c>
      <c r="D35" s="113">
        <v>31201863</v>
      </c>
      <c r="E35" s="113">
        <f t="shared" si="2"/>
        <v>3353224</v>
      </c>
      <c r="F35" s="114">
        <f t="shared" si="3"/>
        <v>0.12040890041340979</v>
      </c>
    </row>
    <row r="36" spans="1:6" x14ac:dyDescent="0.25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5">
      <c r="A37" s="115">
        <v>11</v>
      </c>
      <c r="B37" s="116" t="s">
        <v>123</v>
      </c>
      <c r="C37" s="113">
        <v>799592</v>
      </c>
      <c r="D37" s="113">
        <v>920964</v>
      </c>
      <c r="E37" s="113">
        <f t="shared" si="2"/>
        <v>121372</v>
      </c>
      <c r="F37" s="114">
        <f t="shared" si="3"/>
        <v>0.15179241413120692</v>
      </c>
    </row>
    <row r="38" spans="1:6" ht="15.6" x14ac:dyDescent="0.3">
      <c r="A38" s="117"/>
      <c r="B38" s="118" t="s">
        <v>126</v>
      </c>
      <c r="C38" s="119">
        <f>SUM(C27:C37)</f>
        <v>485327482</v>
      </c>
      <c r="D38" s="119">
        <f>SUM(D27:D37)</f>
        <v>547538642</v>
      </c>
      <c r="E38" s="119">
        <f t="shared" si="2"/>
        <v>62211160</v>
      </c>
      <c r="F38" s="120">
        <f t="shared" si="3"/>
        <v>0.12818388059054936</v>
      </c>
    </row>
    <row r="39" spans="1:6" ht="15" customHeight="1" x14ac:dyDescent="0.25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5">
      <c r="A40" s="774"/>
      <c r="B40" s="776"/>
      <c r="C40" s="780"/>
      <c r="D40" s="781"/>
      <c r="E40" s="781"/>
      <c r="F40" s="782"/>
    </row>
    <row r="41" spans="1:6" ht="15.6" x14ac:dyDescent="0.3">
      <c r="A41" s="121">
        <v>1</v>
      </c>
      <c r="B41" s="122" t="s">
        <v>113</v>
      </c>
      <c r="C41" s="119">
        <f t="shared" ref="C41:D51" si="4">+C27+C14</f>
        <v>351444797</v>
      </c>
      <c r="D41" s="119">
        <f t="shared" si="4"/>
        <v>363043913</v>
      </c>
      <c r="E41" s="123">
        <f t="shared" ref="E41:E52" si="5">D41-C41</f>
        <v>11599116</v>
      </c>
      <c r="F41" s="124">
        <f t="shared" ref="F41:F52" si="6">IF(C41=0,0,E41/C41)</f>
        <v>3.3004090824539936E-2</v>
      </c>
    </row>
    <row r="42" spans="1:6" ht="15.6" x14ac:dyDescent="0.3">
      <c r="A42" s="121">
        <v>2</v>
      </c>
      <c r="B42" s="122" t="s">
        <v>114</v>
      </c>
      <c r="C42" s="119">
        <f t="shared" si="4"/>
        <v>50980398</v>
      </c>
      <c r="D42" s="119">
        <f t="shared" si="4"/>
        <v>60481275</v>
      </c>
      <c r="E42" s="123">
        <f t="shared" si="5"/>
        <v>9500877</v>
      </c>
      <c r="F42" s="124">
        <f t="shared" si="6"/>
        <v>0.18636333517835621</v>
      </c>
    </row>
    <row r="43" spans="1:6" ht="15.6" x14ac:dyDescent="0.3">
      <c r="A43" s="121">
        <v>3</v>
      </c>
      <c r="B43" s="122" t="s">
        <v>115</v>
      </c>
      <c r="C43" s="119">
        <f t="shared" si="4"/>
        <v>159967930</v>
      </c>
      <c r="D43" s="119">
        <f t="shared" si="4"/>
        <v>176122423</v>
      </c>
      <c r="E43" s="123">
        <f t="shared" si="5"/>
        <v>16154493</v>
      </c>
      <c r="F43" s="124">
        <f t="shared" si="6"/>
        <v>0.10098582259581655</v>
      </c>
    </row>
    <row r="44" spans="1:6" ht="15.6" x14ac:dyDescent="0.3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6" x14ac:dyDescent="0.3">
      <c r="A45" s="121">
        <v>5</v>
      </c>
      <c r="B45" s="122" t="s">
        <v>117</v>
      </c>
      <c r="C45" s="119">
        <f t="shared" si="4"/>
        <v>638935</v>
      </c>
      <c r="D45" s="119">
        <f t="shared" si="4"/>
        <v>891652</v>
      </c>
      <c r="E45" s="123">
        <f t="shared" si="5"/>
        <v>252717</v>
      </c>
      <c r="F45" s="124">
        <f t="shared" si="6"/>
        <v>0.39552849663893824</v>
      </c>
    </row>
    <row r="46" spans="1:6" ht="15.6" x14ac:dyDescent="0.3">
      <c r="A46" s="121">
        <v>6</v>
      </c>
      <c r="B46" s="122" t="s">
        <v>118</v>
      </c>
      <c r="C46" s="119">
        <f t="shared" si="4"/>
        <v>51713911</v>
      </c>
      <c r="D46" s="119">
        <f t="shared" si="4"/>
        <v>50079234</v>
      </c>
      <c r="E46" s="123">
        <f t="shared" si="5"/>
        <v>-1634677</v>
      </c>
      <c r="F46" s="124">
        <f t="shared" si="6"/>
        <v>-3.1610005284651549E-2</v>
      </c>
    </row>
    <row r="47" spans="1:6" ht="15.6" x14ac:dyDescent="0.3">
      <c r="A47" s="121">
        <v>7</v>
      </c>
      <c r="B47" s="122" t="s">
        <v>119</v>
      </c>
      <c r="C47" s="119">
        <f t="shared" si="4"/>
        <v>285279010</v>
      </c>
      <c r="D47" s="119">
        <f t="shared" si="4"/>
        <v>318382259</v>
      </c>
      <c r="E47" s="123">
        <f t="shared" si="5"/>
        <v>33103249</v>
      </c>
      <c r="F47" s="124">
        <f t="shared" si="6"/>
        <v>0.11603815156257027</v>
      </c>
    </row>
    <row r="48" spans="1:6" ht="15.6" x14ac:dyDescent="0.3">
      <c r="A48" s="121">
        <v>8</v>
      </c>
      <c r="B48" s="122" t="s">
        <v>120</v>
      </c>
      <c r="C48" s="119">
        <f t="shared" si="4"/>
        <v>9313824</v>
      </c>
      <c r="D48" s="119">
        <f t="shared" si="4"/>
        <v>6377835</v>
      </c>
      <c r="E48" s="123">
        <f t="shared" si="5"/>
        <v>-2935989</v>
      </c>
      <c r="F48" s="124">
        <f t="shared" si="6"/>
        <v>-0.31522916902874693</v>
      </c>
    </row>
    <row r="49" spans="1:6" ht="15.6" x14ac:dyDescent="0.3">
      <c r="A49" s="121">
        <v>9</v>
      </c>
      <c r="B49" s="122" t="s">
        <v>121</v>
      </c>
      <c r="C49" s="119">
        <f t="shared" si="4"/>
        <v>33682096</v>
      </c>
      <c r="D49" s="119">
        <f t="shared" si="4"/>
        <v>36880074</v>
      </c>
      <c r="E49" s="123">
        <f t="shared" si="5"/>
        <v>3197978</v>
      </c>
      <c r="F49" s="124">
        <f t="shared" si="6"/>
        <v>9.4945932105887948E-2</v>
      </c>
    </row>
    <row r="50" spans="1:6" ht="15.6" x14ac:dyDescent="0.3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2" thickBot="1" x14ac:dyDescent="0.35">
      <c r="A51" s="121">
        <v>11</v>
      </c>
      <c r="B51" s="122" t="s">
        <v>123</v>
      </c>
      <c r="C51" s="119">
        <f t="shared" si="4"/>
        <v>2046326</v>
      </c>
      <c r="D51" s="119">
        <f t="shared" si="4"/>
        <v>2148271</v>
      </c>
      <c r="E51" s="123">
        <f t="shared" si="5"/>
        <v>101945</v>
      </c>
      <c r="F51" s="124">
        <f t="shared" si="6"/>
        <v>4.9818552860101471E-2</v>
      </c>
    </row>
    <row r="52" spans="1:6" ht="18.75" customHeight="1" thickBot="1" x14ac:dyDescent="0.35">
      <c r="A52" s="125"/>
      <c r="B52" s="126" t="s">
        <v>128</v>
      </c>
      <c r="C52" s="127">
        <f>SUM(C41:C51)</f>
        <v>945067227</v>
      </c>
      <c r="D52" s="128">
        <f>SUM(D41:D51)</f>
        <v>1014406936</v>
      </c>
      <c r="E52" s="127">
        <f t="shared" si="5"/>
        <v>69339709</v>
      </c>
      <c r="F52" s="129">
        <f t="shared" si="6"/>
        <v>7.3370133911119115E-2</v>
      </c>
    </row>
    <row r="53" spans="1:6" x14ac:dyDescent="0.25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5">
      <c r="A54" s="774"/>
      <c r="B54" s="776"/>
      <c r="C54" s="780"/>
      <c r="D54" s="781"/>
      <c r="E54" s="781"/>
      <c r="F54" s="782"/>
    </row>
    <row r="55" spans="1:6" ht="15.6" x14ac:dyDescent="0.3">
      <c r="A55" s="110"/>
      <c r="B55" s="111"/>
      <c r="C55" s="112"/>
      <c r="D55" s="112"/>
      <c r="E55" s="112"/>
      <c r="F55" s="112"/>
    </row>
    <row r="56" spans="1:6" ht="15.6" x14ac:dyDescent="0.3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5">
      <c r="A57" s="115">
        <v>1</v>
      </c>
      <c r="B57" s="116" t="s">
        <v>113</v>
      </c>
      <c r="C57" s="113">
        <v>69902581</v>
      </c>
      <c r="D57" s="113">
        <v>60870107</v>
      </c>
      <c r="E57" s="113">
        <f t="shared" ref="E57:E68" si="7">D57-C57</f>
        <v>-9032474</v>
      </c>
      <c r="F57" s="114">
        <f t="shared" ref="F57:F68" si="8">IF(C57=0,0,E57/C57)</f>
        <v>-0.12921517161147456</v>
      </c>
    </row>
    <row r="58" spans="1:6" x14ac:dyDescent="0.25">
      <c r="A58" s="115">
        <v>2</v>
      </c>
      <c r="B58" s="116" t="s">
        <v>114</v>
      </c>
      <c r="C58" s="113">
        <v>8468731</v>
      </c>
      <c r="D58" s="113">
        <v>8777609</v>
      </c>
      <c r="E58" s="113">
        <f t="shared" si="7"/>
        <v>308878</v>
      </c>
      <c r="F58" s="114">
        <f t="shared" si="8"/>
        <v>3.6472760794976251E-2</v>
      </c>
    </row>
    <row r="59" spans="1:6" x14ac:dyDescent="0.25">
      <c r="A59" s="115">
        <v>3</v>
      </c>
      <c r="B59" s="116" t="s">
        <v>115</v>
      </c>
      <c r="C59" s="113">
        <v>18810298</v>
      </c>
      <c r="D59" s="113">
        <v>20010413</v>
      </c>
      <c r="E59" s="113">
        <f t="shared" si="7"/>
        <v>1200115</v>
      </c>
      <c r="F59" s="114">
        <f t="shared" si="8"/>
        <v>6.3800956263425496E-2</v>
      </c>
    </row>
    <row r="60" spans="1:6" x14ac:dyDescent="0.25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5">
      <c r="A61" s="115">
        <v>5</v>
      </c>
      <c r="B61" s="116" t="s">
        <v>117</v>
      </c>
      <c r="C61" s="113">
        <v>99570</v>
      </c>
      <c r="D61" s="113">
        <v>126891</v>
      </c>
      <c r="E61" s="113">
        <f t="shared" si="7"/>
        <v>27321</v>
      </c>
      <c r="F61" s="114">
        <f t="shared" si="8"/>
        <v>0.27438987646881591</v>
      </c>
    </row>
    <row r="62" spans="1:6" x14ac:dyDescent="0.25">
      <c r="A62" s="115">
        <v>6</v>
      </c>
      <c r="B62" s="116" t="s">
        <v>118</v>
      </c>
      <c r="C62" s="113">
        <v>10338127</v>
      </c>
      <c r="D62" s="113">
        <v>8147858</v>
      </c>
      <c r="E62" s="113">
        <f t="shared" si="7"/>
        <v>-2190269</v>
      </c>
      <c r="F62" s="114">
        <f t="shared" si="8"/>
        <v>-0.2118632320922349</v>
      </c>
    </row>
    <row r="63" spans="1:6" x14ac:dyDescent="0.25">
      <c r="A63" s="115">
        <v>7</v>
      </c>
      <c r="B63" s="116" t="s">
        <v>119</v>
      </c>
      <c r="C63" s="113">
        <v>62437406</v>
      </c>
      <c r="D63" s="113">
        <v>60430270</v>
      </c>
      <c r="E63" s="113">
        <f t="shared" si="7"/>
        <v>-2007136</v>
      </c>
      <c r="F63" s="114">
        <f t="shared" si="8"/>
        <v>-3.2146370718860423E-2</v>
      </c>
    </row>
    <row r="64" spans="1:6" x14ac:dyDescent="0.25">
      <c r="A64" s="115">
        <v>8</v>
      </c>
      <c r="B64" s="116" t="s">
        <v>120</v>
      </c>
      <c r="C64" s="113">
        <v>1555537</v>
      </c>
      <c r="D64" s="113">
        <v>639864</v>
      </c>
      <c r="E64" s="113">
        <f t="shared" si="7"/>
        <v>-915673</v>
      </c>
      <c r="F64" s="114">
        <f t="shared" si="8"/>
        <v>-0.58865395037212231</v>
      </c>
    </row>
    <row r="65" spans="1:6" x14ac:dyDescent="0.25">
      <c r="A65" s="115">
        <v>9</v>
      </c>
      <c r="B65" s="116" t="s">
        <v>121</v>
      </c>
      <c r="C65" s="113">
        <v>251805</v>
      </c>
      <c r="D65" s="113">
        <v>960116</v>
      </c>
      <c r="E65" s="113">
        <f t="shared" si="7"/>
        <v>708311</v>
      </c>
      <c r="F65" s="114">
        <f t="shared" si="8"/>
        <v>2.8129346121006336</v>
      </c>
    </row>
    <row r="66" spans="1:6" x14ac:dyDescent="0.25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5">
      <c r="A67" s="115">
        <v>11</v>
      </c>
      <c r="B67" s="116" t="s">
        <v>123</v>
      </c>
      <c r="C67" s="113">
        <v>201194</v>
      </c>
      <c r="D67" s="113">
        <v>244170</v>
      </c>
      <c r="E67" s="113">
        <f t="shared" si="7"/>
        <v>42976</v>
      </c>
      <c r="F67" s="114">
        <f t="shared" si="8"/>
        <v>0.21360477946658449</v>
      </c>
    </row>
    <row r="68" spans="1:6" ht="15.6" x14ac:dyDescent="0.3">
      <c r="A68" s="117"/>
      <c r="B68" s="118" t="s">
        <v>131</v>
      </c>
      <c r="C68" s="119">
        <f>SUM(C57:C67)</f>
        <v>172065249</v>
      </c>
      <c r="D68" s="119">
        <f>SUM(D57:D67)</f>
        <v>160207298</v>
      </c>
      <c r="E68" s="119">
        <f t="shared" si="7"/>
        <v>-11857951</v>
      </c>
      <c r="F68" s="120">
        <f t="shared" si="8"/>
        <v>-6.891543219165655E-2</v>
      </c>
    </row>
    <row r="69" spans="1:6" ht="15.6" x14ac:dyDescent="0.3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5">
      <c r="A70" s="115">
        <v>1</v>
      </c>
      <c r="B70" s="116" t="s">
        <v>113</v>
      </c>
      <c r="C70" s="113">
        <v>25164278</v>
      </c>
      <c r="D70" s="113">
        <v>32113760</v>
      </c>
      <c r="E70" s="113">
        <f t="shared" ref="E70:E81" si="9">D70-C70</f>
        <v>6949482</v>
      </c>
      <c r="F70" s="114">
        <f t="shared" ref="F70:F81" si="10">IF(C70=0,0,E70/C70)</f>
        <v>0.27616456947423645</v>
      </c>
    </row>
    <row r="71" spans="1:6" x14ac:dyDescent="0.25">
      <c r="A71" s="115">
        <v>2</v>
      </c>
      <c r="B71" s="116" t="s">
        <v>114</v>
      </c>
      <c r="C71" s="113">
        <v>3597197</v>
      </c>
      <c r="D71" s="113">
        <v>6472842</v>
      </c>
      <c r="E71" s="113">
        <f t="shared" si="9"/>
        <v>2875645</v>
      </c>
      <c r="F71" s="114">
        <f t="shared" si="10"/>
        <v>0.79941270939567666</v>
      </c>
    </row>
    <row r="72" spans="1:6" x14ac:dyDescent="0.25">
      <c r="A72" s="115">
        <v>3</v>
      </c>
      <c r="B72" s="116" t="s">
        <v>115</v>
      </c>
      <c r="C72" s="113">
        <v>21600771</v>
      </c>
      <c r="D72" s="113">
        <v>21845649</v>
      </c>
      <c r="E72" s="113">
        <f t="shared" si="9"/>
        <v>244878</v>
      </c>
      <c r="F72" s="114">
        <f t="shared" si="10"/>
        <v>1.1336539792954613E-2</v>
      </c>
    </row>
    <row r="73" spans="1:6" x14ac:dyDescent="0.25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5">
      <c r="A74" s="115">
        <v>5</v>
      </c>
      <c r="B74" s="116" t="s">
        <v>117</v>
      </c>
      <c r="C74" s="113">
        <v>46016</v>
      </c>
      <c r="D74" s="113">
        <v>88223</v>
      </c>
      <c r="E74" s="113">
        <f t="shared" si="9"/>
        <v>42207</v>
      </c>
      <c r="F74" s="114">
        <f t="shared" si="10"/>
        <v>0.91722444367176637</v>
      </c>
    </row>
    <row r="75" spans="1:6" x14ac:dyDescent="0.25">
      <c r="A75" s="115">
        <v>6</v>
      </c>
      <c r="B75" s="116" t="s">
        <v>118</v>
      </c>
      <c r="C75" s="113">
        <v>16772759</v>
      </c>
      <c r="D75" s="113">
        <v>15518304</v>
      </c>
      <c r="E75" s="113">
        <f t="shared" si="9"/>
        <v>-1254455</v>
      </c>
      <c r="F75" s="114">
        <f t="shared" si="10"/>
        <v>-7.4791213538571683E-2</v>
      </c>
    </row>
    <row r="76" spans="1:6" x14ac:dyDescent="0.25">
      <c r="A76" s="115">
        <v>7</v>
      </c>
      <c r="B76" s="116" t="s">
        <v>119</v>
      </c>
      <c r="C76" s="113">
        <v>108967503</v>
      </c>
      <c r="D76" s="113">
        <v>123622403</v>
      </c>
      <c r="E76" s="113">
        <f t="shared" si="9"/>
        <v>14654900</v>
      </c>
      <c r="F76" s="114">
        <f t="shared" si="10"/>
        <v>0.13448871999939285</v>
      </c>
    </row>
    <row r="77" spans="1:6" x14ac:dyDescent="0.25">
      <c r="A77" s="115">
        <v>8</v>
      </c>
      <c r="B77" s="116" t="s">
        <v>120</v>
      </c>
      <c r="C77" s="113">
        <v>2750508</v>
      </c>
      <c r="D77" s="113">
        <v>1978679</v>
      </c>
      <c r="E77" s="113">
        <f t="shared" si="9"/>
        <v>-771829</v>
      </c>
      <c r="F77" s="114">
        <f t="shared" si="10"/>
        <v>-0.28061325398799059</v>
      </c>
    </row>
    <row r="78" spans="1:6" x14ac:dyDescent="0.25">
      <c r="A78" s="115">
        <v>9</v>
      </c>
      <c r="B78" s="116" t="s">
        <v>121</v>
      </c>
      <c r="C78" s="113">
        <v>1689789</v>
      </c>
      <c r="D78" s="113">
        <v>3824559</v>
      </c>
      <c r="E78" s="113">
        <f t="shared" si="9"/>
        <v>2134770</v>
      </c>
      <c r="F78" s="114">
        <f t="shared" si="10"/>
        <v>1.2633352448145894</v>
      </c>
    </row>
    <row r="79" spans="1:6" x14ac:dyDescent="0.25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5">
      <c r="A80" s="115">
        <v>11</v>
      </c>
      <c r="B80" s="116" t="s">
        <v>123</v>
      </c>
      <c r="C80" s="113">
        <v>101477</v>
      </c>
      <c r="D80" s="113">
        <v>240655</v>
      </c>
      <c r="E80" s="113">
        <f t="shared" si="9"/>
        <v>139178</v>
      </c>
      <c r="F80" s="114">
        <f t="shared" si="10"/>
        <v>1.3715226110350129</v>
      </c>
    </row>
    <row r="81" spans="1:6" ht="15.6" x14ac:dyDescent="0.3">
      <c r="A81" s="117"/>
      <c r="B81" s="118" t="s">
        <v>133</v>
      </c>
      <c r="C81" s="119">
        <f>SUM(C70:C80)</f>
        <v>180690298</v>
      </c>
      <c r="D81" s="119">
        <f>SUM(D70:D80)</f>
        <v>205705074</v>
      </c>
      <c r="E81" s="119">
        <f t="shared" si="9"/>
        <v>25014776</v>
      </c>
      <c r="F81" s="120">
        <f t="shared" si="10"/>
        <v>0.13844006167945996</v>
      </c>
    </row>
    <row r="82" spans="1:6" ht="15" customHeight="1" x14ac:dyDescent="0.25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5">
      <c r="A83" s="774"/>
      <c r="B83" s="776"/>
      <c r="C83" s="780"/>
      <c r="D83" s="781"/>
      <c r="E83" s="781"/>
      <c r="F83" s="782"/>
    </row>
    <row r="84" spans="1:6" ht="15.6" x14ac:dyDescent="0.3">
      <c r="A84" s="130">
        <v>1</v>
      </c>
      <c r="B84" s="122" t="s">
        <v>113</v>
      </c>
      <c r="C84" s="119">
        <f t="shared" ref="C84:D94" si="11">+C70+C57</f>
        <v>95066859</v>
      </c>
      <c r="D84" s="119">
        <f t="shared" si="11"/>
        <v>92983867</v>
      </c>
      <c r="E84" s="119">
        <f t="shared" ref="E84:E95" si="12">D84-C84</f>
        <v>-2082992</v>
      </c>
      <c r="F84" s="120">
        <f t="shared" ref="F84:F95" si="13">IF(C84=0,0,E84/C84)</f>
        <v>-2.1910811211297093E-2</v>
      </c>
    </row>
    <row r="85" spans="1:6" ht="15.6" x14ac:dyDescent="0.3">
      <c r="A85" s="130">
        <v>2</v>
      </c>
      <c r="B85" s="122" t="s">
        <v>114</v>
      </c>
      <c r="C85" s="119">
        <f t="shared" si="11"/>
        <v>12065928</v>
      </c>
      <c r="D85" s="119">
        <f t="shared" si="11"/>
        <v>15250451</v>
      </c>
      <c r="E85" s="119">
        <f t="shared" si="12"/>
        <v>3184523</v>
      </c>
      <c r="F85" s="120">
        <f t="shared" si="13"/>
        <v>0.26392690226561938</v>
      </c>
    </row>
    <row r="86" spans="1:6" ht="15.6" x14ac:dyDescent="0.3">
      <c r="A86" s="130">
        <v>3</v>
      </c>
      <c r="B86" s="122" t="s">
        <v>115</v>
      </c>
      <c r="C86" s="119">
        <f t="shared" si="11"/>
        <v>40411069</v>
      </c>
      <c r="D86" s="119">
        <f t="shared" si="11"/>
        <v>41856062</v>
      </c>
      <c r="E86" s="119">
        <f t="shared" si="12"/>
        <v>1444993</v>
      </c>
      <c r="F86" s="120">
        <f t="shared" si="13"/>
        <v>3.5757356480720669E-2</v>
      </c>
    </row>
    <row r="87" spans="1:6" ht="15.6" x14ac:dyDescent="0.3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6" x14ac:dyDescent="0.3">
      <c r="A88" s="130">
        <v>5</v>
      </c>
      <c r="B88" s="122" t="s">
        <v>117</v>
      </c>
      <c r="C88" s="119">
        <f t="shared" si="11"/>
        <v>145586</v>
      </c>
      <c r="D88" s="119">
        <f t="shared" si="11"/>
        <v>215114</v>
      </c>
      <c r="E88" s="119">
        <f t="shared" si="12"/>
        <v>69528</v>
      </c>
      <c r="F88" s="120">
        <f t="shared" si="13"/>
        <v>0.47757339304603463</v>
      </c>
    </row>
    <row r="89" spans="1:6" ht="15.6" x14ac:dyDescent="0.3">
      <c r="A89" s="130">
        <v>6</v>
      </c>
      <c r="B89" s="122" t="s">
        <v>118</v>
      </c>
      <c r="C89" s="119">
        <f t="shared" si="11"/>
        <v>27110886</v>
      </c>
      <c r="D89" s="119">
        <f t="shared" si="11"/>
        <v>23666162</v>
      </c>
      <c r="E89" s="119">
        <f t="shared" si="12"/>
        <v>-3444724</v>
      </c>
      <c r="F89" s="120">
        <f t="shared" si="13"/>
        <v>-0.12706054682240928</v>
      </c>
    </row>
    <row r="90" spans="1:6" ht="15.6" x14ac:dyDescent="0.3">
      <c r="A90" s="130">
        <v>7</v>
      </c>
      <c r="B90" s="122" t="s">
        <v>119</v>
      </c>
      <c r="C90" s="119">
        <f t="shared" si="11"/>
        <v>171404909</v>
      </c>
      <c r="D90" s="119">
        <f t="shared" si="11"/>
        <v>184052673</v>
      </c>
      <c r="E90" s="119">
        <f t="shared" si="12"/>
        <v>12647764</v>
      </c>
      <c r="F90" s="120">
        <f t="shared" si="13"/>
        <v>7.3788808464056305E-2</v>
      </c>
    </row>
    <row r="91" spans="1:6" ht="15.6" x14ac:dyDescent="0.3">
      <c r="A91" s="130">
        <v>8</v>
      </c>
      <c r="B91" s="122" t="s">
        <v>120</v>
      </c>
      <c r="C91" s="119">
        <f t="shared" si="11"/>
        <v>4306045</v>
      </c>
      <c r="D91" s="119">
        <f t="shared" si="11"/>
        <v>2618543</v>
      </c>
      <c r="E91" s="119">
        <f t="shared" si="12"/>
        <v>-1687502</v>
      </c>
      <c r="F91" s="120">
        <f t="shared" si="13"/>
        <v>-0.39189139918417015</v>
      </c>
    </row>
    <row r="92" spans="1:6" ht="15.6" x14ac:dyDescent="0.3">
      <c r="A92" s="130">
        <v>9</v>
      </c>
      <c r="B92" s="122" t="s">
        <v>121</v>
      </c>
      <c r="C92" s="119">
        <f t="shared" si="11"/>
        <v>1941594</v>
      </c>
      <c r="D92" s="119">
        <f t="shared" si="11"/>
        <v>4784675</v>
      </c>
      <c r="E92" s="119">
        <f t="shared" si="12"/>
        <v>2843081</v>
      </c>
      <c r="F92" s="120">
        <f t="shared" si="13"/>
        <v>1.4643025266868357</v>
      </c>
    </row>
    <row r="93" spans="1:6" ht="15.6" x14ac:dyDescent="0.3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2" thickBot="1" x14ac:dyDescent="0.35">
      <c r="A94" s="130">
        <v>11</v>
      </c>
      <c r="B94" s="122" t="s">
        <v>123</v>
      </c>
      <c r="C94" s="119">
        <f t="shared" si="11"/>
        <v>302671</v>
      </c>
      <c r="D94" s="119">
        <f t="shared" si="11"/>
        <v>484825</v>
      </c>
      <c r="E94" s="119">
        <f t="shared" si="12"/>
        <v>182154</v>
      </c>
      <c r="F94" s="120">
        <f t="shared" si="13"/>
        <v>0.60182178008464637</v>
      </c>
    </row>
    <row r="95" spans="1:6" ht="18.75" customHeight="1" thickBot="1" x14ac:dyDescent="0.35">
      <c r="A95" s="131"/>
      <c r="B95" s="132" t="s">
        <v>134</v>
      </c>
      <c r="C95" s="128">
        <f>SUM(C84:C94)</f>
        <v>352755547</v>
      </c>
      <c r="D95" s="128">
        <f>SUM(D84:D94)</f>
        <v>365912372</v>
      </c>
      <c r="E95" s="128">
        <f t="shared" si="12"/>
        <v>13156825</v>
      </c>
      <c r="F95" s="129">
        <f t="shared" si="13"/>
        <v>3.7297287347830138E-2</v>
      </c>
    </row>
    <row r="96" spans="1:6" x14ac:dyDescent="0.25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5">
      <c r="A97" s="774"/>
      <c r="B97" s="776"/>
      <c r="C97" s="780"/>
      <c r="D97" s="781"/>
      <c r="E97" s="781"/>
      <c r="F97" s="782"/>
    </row>
    <row r="98" spans="1:6" ht="15.6" x14ac:dyDescent="0.3">
      <c r="A98" s="110"/>
      <c r="B98" s="111"/>
      <c r="C98" s="112"/>
      <c r="D98" s="112"/>
      <c r="E98" s="112"/>
      <c r="F98" s="112"/>
    </row>
    <row r="99" spans="1:6" ht="15.6" x14ac:dyDescent="0.3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5">
      <c r="A100" s="115">
        <v>1</v>
      </c>
      <c r="B100" s="116" t="s">
        <v>113</v>
      </c>
      <c r="C100" s="133">
        <v>4990</v>
      </c>
      <c r="D100" s="133">
        <v>4745</v>
      </c>
      <c r="E100" s="133">
        <f t="shared" ref="E100:E111" si="14">D100-C100</f>
        <v>-245</v>
      </c>
      <c r="F100" s="114">
        <f t="shared" ref="F100:F111" si="15">IF(C100=0,0,E100/C100)</f>
        <v>-4.9098196392785572E-2</v>
      </c>
    </row>
    <row r="101" spans="1:6" x14ac:dyDescent="0.25">
      <c r="A101" s="115">
        <v>2</v>
      </c>
      <c r="B101" s="116" t="s">
        <v>114</v>
      </c>
      <c r="C101" s="133">
        <v>686</v>
      </c>
      <c r="D101" s="133">
        <v>747</v>
      </c>
      <c r="E101" s="133">
        <f t="shared" si="14"/>
        <v>61</v>
      </c>
      <c r="F101" s="114">
        <f t="shared" si="15"/>
        <v>8.8921282798833823E-2</v>
      </c>
    </row>
    <row r="102" spans="1:6" x14ac:dyDescent="0.25">
      <c r="A102" s="115">
        <v>3</v>
      </c>
      <c r="B102" s="116" t="s">
        <v>115</v>
      </c>
      <c r="C102" s="133">
        <v>2638</v>
      </c>
      <c r="D102" s="133">
        <v>2678</v>
      </c>
      <c r="E102" s="133">
        <f t="shared" si="14"/>
        <v>40</v>
      </c>
      <c r="F102" s="114">
        <f t="shared" si="15"/>
        <v>1.5163002274450341E-2</v>
      </c>
    </row>
    <row r="103" spans="1:6" x14ac:dyDescent="0.25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5">
      <c r="A104" s="115">
        <v>5</v>
      </c>
      <c r="B104" s="116" t="s">
        <v>117</v>
      </c>
      <c r="C104" s="133">
        <v>15</v>
      </c>
      <c r="D104" s="133">
        <v>9</v>
      </c>
      <c r="E104" s="133">
        <f t="shared" si="14"/>
        <v>-6</v>
      </c>
      <c r="F104" s="114">
        <f t="shared" si="15"/>
        <v>-0.4</v>
      </c>
    </row>
    <row r="105" spans="1:6" x14ac:dyDescent="0.25">
      <c r="A105" s="115">
        <v>6</v>
      </c>
      <c r="B105" s="116" t="s">
        <v>118</v>
      </c>
      <c r="C105" s="133">
        <v>682</v>
      </c>
      <c r="D105" s="133">
        <v>586</v>
      </c>
      <c r="E105" s="133">
        <f t="shared" si="14"/>
        <v>-96</v>
      </c>
      <c r="F105" s="114">
        <f t="shared" si="15"/>
        <v>-0.14076246334310852</v>
      </c>
    </row>
    <row r="106" spans="1:6" x14ac:dyDescent="0.25">
      <c r="A106" s="115">
        <v>7</v>
      </c>
      <c r="B106" s="116" t="s">
        <v>119</v>
      </c>
      <c r="C106" s="133">
        <v>3587</v>
      </c>
      <c r="D106" s="133">
        <v>3641</v>
      </c>
      <c r="E106" s="133">
        <f t="shared" si="14"/>
        <v>54</v>
      </c>
      <c r="F106" s="114">
        <f t="shared" si="15"/>
        <v>1.5054362977418455E-2</v>
      </c>
    </row>
    <row r="107" spans="1:6" x14ac:dyDescent="0.25">
      <c r="A107" s="115">
        <v>8</v>
      </c>
      <c r="B107" s="116" t="s">
        <v>120</v>
      </c>
      <c r="C107" s="133">
        <v>43</v>
      </c>
      <c r="D107" s="133">
        <v>19</v>
      </c>
      <c r="E107" s="133">
        <f t="shared" si="14"/>
        <v>-24</v>
      </c>
      <c r="F107" s="114">
        <f t="shared" si="15"/>
        <v>-0.55813953488372092</v>
      </c>
    </row>
    <row r="108" spans="1:6" x14ac:dyDescent="0.25">
      <c r="A108" s="115">
        <v>9</v>
      </c>
      <c r="B108" s="116" t="s">
        <v>121</v>
      </c>
      <c r="C108" s="133">
        <v>203</v>
      </c>
      <c r="D108" s="133">
        <v>187</v>
      </c>
      <c r="E108" s="133">
        <f t="shared" si="14"/>
        <v>-16</v>
      </c>
      <c r="F108" s="114">
        <f t="shared" si="15"/>
        <v>-7.8817733990147784E-2</v>
      </c>
    </row>
    <row r="109" spans="1:6" x14ac:dyDescent="0.25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5">
      <c r="A110" s="115">
        <v>11</v>
      </c>
      <c r="B110" s="116" t="s">
        <v>123</v>
      </c>
      <c r="C110" s="133">
        <v>33</v>
      </c>
      <c r="D110" s="133">
        <v>35</v>
      </c>
      <c r="E110" s="133">
        <f t="shared" si="14"/>
        <v>2</v>
      </c>
      <c r="F110" s="114">
        <f t="shared" si="15"/>
        <v>6.0606060606060608E-2</v>
      </c>
    </row>
    <row r="111" spans="1:6" ht="15.6" x14ac:dyDescent="0.3">
      <c r="A111" s="117"/>
      <c r="B111" s="118" t="s">
        <v>138</v>
      </c>
      <c r="C111" s="134">
        <f>SUM(C100:C110)</f>
        <v>12877</v>
      </c>
      <c r="D111" s="134">
        <f>SUM(D100:D110)</f>
        <v>12647</v>
      </c>
      <c r="E111" s="134">
        <f t="shared" si="14"/>
        <v>-230</v>
      </c>
      <c r="F111" s="120">
        <f t="shared" si="15"/>
        <v>-1.7861303098547797E-2</v>
      </c>
    </row>
    <row r="112" spans="1:6" ht="15.6" x14ac:dyDescent="0.3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5">
      <c r="A113" s="115">
        <v>1</v>
      </c>
      <c r="B113" s="116" t="s">
        <v>113</v>
      </c>
      <c r="C113" s="133">
        <v>27395</v>
      </c>
      <c r="D113" s="133">
        <v>23482</v>
      </c>
      <c r="E113" s="133">
        <f t="shared" ref="E113:E124" si="16">D113-C113</f>
        <v>-3913</v>
      </c>
      <c r="F113" s="114">
        <f t="shared" ref="F113:F124" si="17">IF(C113=0,0,E113/C113)</f>
        <v>-0.14283628399342946</v>
      </c>
    </row>
    <row r="114" spans="1:6" x14ac:dyDescent="0.25">
      <c r="A114" s="115">
        <v>2</v>
      </c>
      <c r="B114" s="116" t="s">
        <v>114</v>
      </c>
      <c r="C114" s="133">
        <v>3698</v>
      </c>
      <c r="D114" s="133">
        <v>3622</v>
      </c>
      <c r="E114" s="133">
        <f t="shared" si="16"/>
        <v>-76</v>
      </c>
      <c r="F114" s="114">
        <f t="shared" si="17"/>
        <v>-2.0551649540292049E-2</v>
      </c>
    </row>
    <row r="115" spans="1:6" x14ac:dyDescent="0.25">
      <c r="A115" s="115">
        <v>3</v>
      </c>
      <c r="B115" s="116" t="s">
        <v>115</v>
      </c>
      <c r="C115" s="133">
        <v>10687</v>
      </c>
      <c r="D115" s="133">
        <v>11333</v>
      </c>
      <c r="E115" s="133">
        <f t="shared" si="16"/>
        <v>646</v>
      </c>
      <c r="F115" s="114">
        <f t="shared" si="17"/>
        <v>6.0447272387012259E-2</v>
      </c>
    </row>
    <row r="116" spans="1:6" x14ac:dyDescent="0.25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5">
      <c r="A117" s="115">
        <v>5</v>
      </c>
      <c r="B117" s="116" t="s">
        <v>117</v>
      </c>
      <c r="C117" s="133">
        <v>38</v>
      </c>
      <c r="D117" s="133">
        <v>27</v>
      </c>
      <c r="E117" s="133">
        <f t="shared" si="16"/>
        <v>-11</v>
      </c>
      <c r="F117" s="114">
        <f t="shared" si="17"/>
        <v>-0.28947368421052633</v>
      </c>
    </row>
    <row r="118" spans="1:6" x14ac:dyDescent="0.25">
      <c r="A118" s="115">
        <v>6</v>
      </c>
      <c r="B118" s="116" t="s">
        <v>118</v>
      </c>
      <c r="C118" s="133">
        <v>2685</v>
      </c>
      <c r="D118" s="133">
        <v>2346</v>
      </c>
      <c r="E118" s="133">
        <f t="shared" si="16"/>
        <v>-339</v>
      </c>
      <c r="F118" s="114">
        <f t="shared" si="17"/>
        <v>-0.12625698324022347</v>
      </c>
    </row>
    <row r="119" spans="1:6" x14ac:dyDescent="0.25">
      <c r="A119" s="115">
        <v>7</v>
      </c>
      <c r="B119" s="116" t="s">
        <v>119</v>
      </c>
      <c r="C119" s="133">
        <v>12272</v>
      </c>
      <c r="D119" s="133">
        <v>12270</v>
      </c>
      <c r="E119" s="133">
        <f t="shared" si="16"/>
        <v>-2</v>
      </c>
      <c r="F119" s="114">
        <f t="shared" si="17"/>
        <v>-1.6297262059973924E-4</v>
      </c>
    </row>
    <row r="120" spans="1:6" x14ac:dyDescent="0.25">
      <c r="A120" s="115">
        <v>8</v>
      </c>
      <c r="B120" s="116" t="s">
        <v>120</v>
      </c>
      <c r="C120" s="133">
        <v>284</v>
      </c>
      <c r="D120" s="133">
        <v>134</v>
      </c>
      <c r="E120" s="133">
        <f t="shared" si="16"/>
        <v>-150</v>
      </c>
      <c r="F120" s="114">
        <f t="shared" si="17"/>
        <v>-0.528169014084507</v>
      </c>
    </row>
    <row r="121" spans="1:6" x14ac:dyDescent="0.25">
      <c r="A121" s="115">
        <v>9</v>
      </c>
      <c r="B121" s="116" t="s">
        <v>121</v>
      </c>
      <c r="C121" s="133">
        <v>784</v>
      </c>
      <c r="D121" s="133">
        <v>649</v>
      </c>
      <c r="E121" s="133">
        <f t="shared" si="16"/>
        <v>-135</v>
      </c>
      <c r="F121" s="114">
        <f t="shared" si="17"/>
        <v>-0.17219387755102042</v>
      </c>
    </row>
    <row r="122" spans="1:6" x14ac:dyDescent="0.25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5">
      <c r="A123" s="115">
        <v>11</v>
      </c>
      <c r="B123" s="116" t="s">
        <v>123</v>
      </c>
      <c r="C123" s="133">
        <v>168</v>
      </c>
      <c r="D123" s="133">
        <v>187</v>
      </c>
      <c r="E123" s="133">
        <f t="shared" si="16"/>
        <v>19</v>
      </c>
      <c r="F123" s="114">
        <f t="shared" si="17"/>
        <v>0.1130952380952381</v>
      </c>
    </row>
    <row r="124" spans="1:6" ht="15.6" x14ac:dyDescent="0.3">
      <c r="A124" s="117"/>
      <c r="B124" s="118" t="s">
        <v>140</v>
      </c>
      <c r="C124" s="134">
        <f>SUM(C113:C123)</f>
        <v>58011</v>
      </c>
      <c r="D124" s="134">
        <f>SUM(D113:D123)</f>
        <v>54050</v>
      </c>
      <c r="E124" s="134">
        <f t="shared" si="16"/>
        <v>-3961</v>
      </c>
      <c r="F124" s="120">
        <f t="shared" si="17"/>
        <v>-6.8280153763941323E-2</v>
      </c>
    </row>
    <row r="125" spans="1:6" ht="15.6" x14ac:dyDescent="0.3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5">
      <c r="A126" s="115">
        <v>1</v>
      </c>
      <c r="B126" s="116" t="s">
        <v>113</v>
      </c>
      <c r="C126" s="133">
        <v>65223</v>
      </c>
      <c r="D126" s="133">
        <v>62142</v>
      </c>
      <c r="E126" s="133">
        <f t="shared" ref="E126:E137" si="18">D126-C126</f>
        <v>-3081</v>
      </c>
      <c r="F126" s="114">
        <f t="shared" ref="F126:F137" si="19">IF(C126=0,0,E126/C126)</f>
        <v>-4.7237937537371787E-2</v>
      </c>
    </row>
    <row r="127" spans="1:6" x14ac:dyDescent="0.25">
      <c r="A127" s="115">
        <v>2</v>
      </c>
      <c r="B127" s="116" t="s">
        <v>114</v>
      </c>
      <c r="C127" s="133">
        <v>9708</v>
      </c>
      <c r="D127" s="133">
        <v>10338</v>
      </c>
      <c r="E127" s="133">
        <f t="shared" si="18"/>
        <v>630</v>
      </c>
      <c r="F127" s="114">
        <f t="shared" si="19"/>
        <v>6.4894932014833123E-2</v>
      </c>
    </row>
    <row r="128" spans="1:6" x14ac:dyDescent="0.25">
      <c r="A128" s="115">
        <v>3</v>
      </c>
      <c r="B128" s="116" t="s">
        <v>115</v>
      </c>
      <c r="C128" s="133">
        <v>50259</v>
      </c>
      <c r="D128" s="133">
        <v>51276</v>
      </c>
      <c r="E128" s="133">
        <f t="shared" si="18"/>
        <v>1017</v>
      </c>
      <c r="F128" s="114">
        <f t="shared" si="19"/>
        <v>2.0235181758491018E-2</v>
      </c>
    </row>
    <row r="129" spans="1:6" x14ac:dyDescent="0.25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5">
      <c r="A130" s="115">
        <v>5</v>
      </c>
      <c r="B130" s="116" t="s">
        <v>117</v>
      </c>
      <c r="C130" s="133">
        <v>211</v>
      </c>
      <c r="D130" s="133">
        <v>249</v>
      </c>
      <c r="E130" s="133">
        <f t="shared" si="18"/>
        <v>38</v>
      </c>
      <c r="F130" s="114">
        <f t="shared" si="19"/>
        <v>0.18009478672985782</v>
      </c>
    </row>
    <row r="131" spans="1:6" x14ac:dyDescent="0.25">
      <c r="A131" s="115">
        <v>6</v>
      </c>
      <c r="B131" s="116" t="s">
        <v>118</v>
      </c>
      <c r="C131" s="133">
        <v>18635</v>
      </c>
      <c r="D131" s="133">
        <v>14832</v>
      </c>
      <c r="E131" s="133">
        <f t="shared" si="18"/>
        <v>-3803</v>
      </c>
      <c r="F131" s="114">
        <f t="shared" si="19"/>
        <v>-0.20407834719613629</v>
      </c>
    </row>
    <row r="132" spans="1:6" x14ac:dyDescent="0.25">
      <c r="A132" s="115">
        <v>7</v>
      </c>
      <c r="B132" s="116" t="s">
        <v>119</v>
      </c>
      <c r="C132" s="133">
        <v>100733</v>
      </c>
      <c r="D132" s="133">
        <v>97626</v>
      </c>
      <c r="E132" s="133">
        <f t="shared" si="18"/>
        <v>-3107</v>
      </c>
      <c r="F132" s="114">
        <f t="shared" si="19"/>
        <v>-3.0843914109576803E-2</v>
      </c>
    </row>
    <row r="133" spans="1:6" x14ac:dyDescent="0.25">
      <c r="A133" s="115">
        <v>8</v>
      </c>
      <c r="B133" s="116" t="s">
        <v>120</v>
      </c>
      <c r="C133" s="133">
        <v>3357</v>
      </c>
      <c r="D133" s="133">
        <v>2817</v>
      </c>
      <c r="E133" s="133">
        <f t="shared" si="18"/>
        <v>-540</v>
      </c>
      <c r="F133" s="114">
        <f t="shared" si="19"/>
        <v>-0.16085790884718498</v>
      </c>
    </row>
    <row r="134" spans="1:6" x14ac:dyDescent="0.25">
      <c r="A134" s="115">
        <v>9</v>
      </c>
      <c r="B134" s="116" t="s">
        <v>121</v>
      </c>
      <c r="C134" s="133">
        <v>19598</v>
      </c>
      <c r="D134" s="133">
        <v>20543</v>
      </c>
      <c r="E134" s="133">
        <f t="shared" si="18"/>
        <v>945</v>
      </c>
      <c r="F134" s="114">
        <f t="shared" si="19"/>
        <v>4.8219206041432802E-2</v>
      </c>
    </row>
    <row r="135" spans="1:6" x14ac:dyDescent="0.25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5">
      <c r="A136" s="115">
        <v>11</v>
      </c>
      <c r="B136" s="116" t="s">
        <v>123</v>
      </c>
      <c r="C136" s="133">
        <v>221</v>
      </c>
      <c r="D136" s="133">
        <v>244</v>
      </c>
      <c r="E136" s="133">
        <f t="shared" si="18"/>
        <v>23</v>
      </c>
      <c r="F136" s="114">
        <f t="shared" si="19"/>
        <v>0.10407239819004525</v>
      </c>
    </row>
    <row r="137" spans="1:6" ht="15.6" x14ac:dyDescent="0.3">
      <c r="A137" s="117"/>
      <c r="B137" s="118" t="s">
        <v>142</v>
      </c>
      <c r="C137" s="134">
        <f>SUM(C126:C136)</f>
        <v>267945</v>
      </c>
      <c r="D137" s="134">
        <f>SUM(D126:D136)</f>
        <v>260067</v>
      </c>
      <c r="E137" s="134">
        <f t="shared" si="18"/>
        <v>-7878</v>
      </c>
      <c r="F137" s="120">
        <f t="shared" si="19"/>
        <v>-2.9401556289537032E-2</v>
      </c>
    </row>
    <row r="138" spans="1:6" x14ac:dyDescent="0.25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5">
      <c r="A139" s="774"/>
      <c r="B139" s="776"/>
      <c r="C139" s="780"/>
      <c r="D139" s="781"/>
      <c r="E139" s="781"/>
      <c r="F139" s="782"/>
    </row>
    <row r="140" spans="1:6" ht="15.6" x14ac:dyDescent="0.3">
      <c r="A140" s="110"/>
      <c r="B140" s="111"/>
      <c r="C140" s="112"/>
      <c r="D140" s="112"/>
      <c r="E140" s="112"/>
      <c r="F140" s="112"/>
    </row>
    <row r="141" spans="1:6" ht="31.2" x14ac:dyDescent="0.3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5">
      <c r="A142" s="115">
        <v>1</v>
      </c>
      <c r="B142" s="116" t="s">
        <v>113</v>
      </c>
      <c r="C142" s="113">
        <v>25157837</v>
      </c>
      <c r="D142" s="113">
        <v>19084668</v>
      </c>
      <c r="E142" s="113">
        <f t="shared" ref="E142:E153" si="20">D142-C142</f>
        <v>-6073169</v>
      </c>
      <c r="F142" s="114">
        <f t="shared" ref="F142:F153" si="21">IF(C142=0,0,E142/C142)</f>
        <v>-0.24140266907683677</v>
      </c>
    </row>
    <row r="143" spans="1:6" x14ac:dyDescent="0.25">
      <c r="A143" s="115">
        <v>2</v>
      </c>
      <c r="B143" s="116" t="s">
        <v>114</v>
      </c>
      <c r="C143" s="113">
        <v>3751096</v>
      </c>
      <c r="D143" s="113">
        <v>3047629</v>
      </c>
      <c r="E143" s="113">
        <f t="shared" si="20"/>
        <v>-703467</v>
      </c>
      <c r="F143" s="114">
        <f t="shared" si="21"/>
        <v>-0.18753638936460171</v>
      </c>
    </row>
    <row r="144" spans="1:6" x14ac:dyDescent="0.25">
      <c r="A144" s="115">
        <v>3</v>
      </c>
      <c r="B144" s="116" t="s">
        <v>115</v>
      </c>
      <c r="C144" s="113">
        <v>35267332</v>
      </c>
      <c r="D144" s="113">
        <v>28455658</v>
      </c>
      <c r="E144" s="113">
        <f t="shared" si="20"/>
        <v>-6811674</v>
      </c>
      <c r="F144" s="114">
        <f t="shared" si="21"/>
        <v>-0.19314401214132104</v>
      </c>
    </row>
    <row r="145" spans="1:6" x14ac:dyDescent="0.25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5">
      <c r="A146" s="115">
        <v>5</v>
      </c>
      <c r="B146" s="116" t="s">
        <v>117</v>
      </c>
      <c r="C146" s="113">
        <v>132286</v>
      </c>
      <c r="D146" s="113">
        <v>80386</v>
      </c>
      <c r="E146" s="113">
        <f t="shared" si="20"/>
        <v>-51900</v>
      </c>
      <c r="F146" s="114">
        <f t="shared" si="21"/>
        <v>-0.39233176602210362</v>
      </c>
    </row>
    <row r="147" spans="1:6" x14ac:dyDescent="0.25">
      <c r="A147" s="115">
        <v>6</v>
      </c>
      <c r="B147" s="116" t="s">
        <v>118</v>
      </c>
      <c r="C147" s="113">
        <v>10399567</v>
      </c>
      <c r="D147" s="113">
        <v>7165358</v>
      </c>
      <c r="E147" s="113">
        <f t="shared" si="20"/>
        <v>-3234209</v>
      </c>
      <c r="F147" s="114">
        <f t="shared" si="21"/>
        <v>-0.31099458275522435</v>
      </c>
    </row>
    <row r="148" spans="1:6" x14ac:dyDescent="0.25">
      <c r="A148" s="115">
        <v>7</v>
      </c>
      <c r="B148" s="116" t="s">
        <v>119</v>
      </c>
      <c r="C148" s="113">
        <v>42153861</v>
      </c>
      <c r="D148" s="113">
        <v>31260555</v>
      </c>
      <c r="E148" s="113">
        <f t="shared" si="20"/>
        <v>-10893306</v>
      </c>
      <c r="F148" s="114">
        <f t="shared" si="21"/>
        <v>-0.2584177520536019</v>
      </c>
    </row>
    <row r="149" spans="1:6" x14ac:dyDescent="0.25">
      <c r="A149" s="115">
        <v>8</v>
      </c>
      <c r="B149" s="116" t="s">
        <v>120</v>
      </c>
      <c r="C149" s="113">
        <v>2494240</v>
      </c>
      <c r="D149" s="113">
        <v>1561977</v>
      </c>
      <c r="E149" s="113">
        <f t="shared" si="20"/>
        <v>-932263</v>
      </c>
      <c r="F149" s="114">
        <f t="shared" si="21"/>
        <v>-0.37376635768811339</v>
      </c>
    </row>
    <row r="150" spans="1:6" x14ac:dyDescent="0.25">
      <c r="A150" s="115">
        <v>9</v>
      </c>
      <c r="B150" s="116" t="s">
        <v>121</v>
      </c>
      <c r="C150" s="113">
        <v>13216620</v>
      </c>
      <c r="D150" s="113">
        <v>10226569</v>
      </c>
      <c r="E150" s="113">
        <f t="shared" si="20"/>
        <v>-2990051</v>
      </c>
      <c r="F150" s="114">
        <f t="shared" si="21"/>
        <v>-0.2262341657700683</v>
      </c>
    </row>
    <row r="151" spans="1:6" x14ac:dyDescent="0.25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5">
      <c r="A152" s="115">
        <v>11</v>
      </c>
      <c r="B152" s="116" t="s">
        <v>123</v>
      </c>
      <c r="C152" s="113">
        <v>532135</v>
      </c>
      <c r="D152" s="113">
        <v>503286</v>
      </c>
      <c r="E152" s="113">
        <f t="shared" si="20"/>
        <v>-28849</v>
      </c>
      <c r="F152" s="114">
        <f t="shared" si="21"/>
        <v>-5.421368637657737E-2</v>
      </c>
    </row>
    <row r="153" spans="1:6" ht="33.75" customHeight="1" x14ac:dyDescent="0.3">
      <c r="A153" s="117"/>
      <c r="B153" s="118" t="s">
        <v>146</v>
      </c>
      <c r="C153" s="119">
        <f>SUM(C142:C152)</f>
        <v>133104974</v>
      </c>
      <c r="D153" s="119">
        <f>SUM(D142:D152)</f>
        <v>101386086</v>
      </c>
      <c r="E153" s="119">
        <f t="shared" si="20"/>
        <v>-31718888</v>
      </c>
      <c r="F153" s="120">
        <f t="shared" si="21"/>
        <v>-0.23829979486717004</v>
      </c>
    </row>
    <row r="154" spans="1:6" ht="31.2" x14ac:dyDescent="0.3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5">
      <c r="A155" s="115">
        <v>1</v>
      </c>
      <c r="B155" s="116" t="s">
        <v>113</v>
      </c>
      <c r="C155" s="113">
        <v>3265917</v>
      </c>
      <c r="D155" s="113">
        <v>3917706</v>
      </c>
      <c r="E155" s="113">
        <f t="shared" ref="E155:E166" si="22">D155-C155</f>
        <v>651789</v>
      </c>
      <c r="F155" s="114">
        <f t="shared" ref="F155:F166" si="23">IF(C155=0,0,E155/C155)</f>
        <v>0.19957304487529842</v>
      </c>
    </row>
    <row r="156" spans="1:6" x14ac:dyDescent="0.25">
      <c r="A156" s="115">
        <v>2</v>
      </c>
      <c r="B156" s="116" t="s">
        <v>114</v>
      </c>
      <c r="C156" s="113">
        <v>466908</v>
      </c>
      <c r="D156" s="113">
        <v>872447</v>
      </c>
      <c r="E156" s="113">
        <f t="shared" si="22"/>
        <v>405539</v>
      </c>
      <c r="F156" s="114">
        <f t="shared" si="23"/>
        <v>0.86856297172033892</v>
      </c>
    </row>
    <row r="157" spans="1:6" x14ac:dyDescent="0.25">
      <c r="A157" s="115">
        <v>3</v>
      </c>
      <c r="B157" s="116" t="s">
        <v>115</v>
      </c>
      <c r="C157" s="113">
        <v>5643440</v>
      </c>
      <c r="D157" s="113">
        <v>6103625</v>
      </c>
      <c r="E157" s="113">
        <f t="shared" si="22"/>
        <v>460185</v>
      </c>
      <c r="F157" s="114">
        <f t="shared" si="23"/>
        <v>8.154334944643693E-2</v>
      </c>
    </row>
    <row r="158" spans="1:6" x14ac:dyDescent="0.25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5">
      <c r="A159" s="115">
        <v>5</v>
      </c>
      <c r="B159" s="116" t="s">
        <v>117</v>
      </c>
      <c r="C159" s="113">
        <v>12011</v>
      </c>
      <c r="D159" s="113">
        <v>15211</v>
      </c>
      <c r="E159" s="113">
        <f t="shared" si="22"/>
        <v>3200</v>
      </c>
      <c r="F159" s="114">
        <f t="shared" si="23"/>
        <v>0.26642244609108318</v>
      </c>
    </row>
    <row r="160" spans="1:6" x14ac:dyDescent="0.25">
      <c r="A160" s="115">
        <v>6</v>
      </c>
      <c r="B160" s="116" t="s">
        <v>118</v>
      </c>
      <c r="C160" s="113">
        <v>5791055</v>
      </c>
      <c r="D160" s="113">
        <v>6022496</v>
      </c>
      <c r="E160" s="113">
        <f t="shared" si="22"/>
        <v>231441</v>
      </c>
      <c r="F160" s="114">
        <f t="shared" si="23"/>
        <v>3.996525676236886E-2</v>
      </c>
    </row>
    <row r="161" spans="1:6" x14ac:dyDescent="0.25">
      <c r="A161" s="115">
        <v>7</v>
      </c>
      <c r="B161" s="116" t="s">
        <v>119</v>
      </c>
      <c r="C161" s="113">
        <v>26934195</v>
      </c>
      <c r="D161" s="113">
        <v>30292248</v>
      </c>
      <c r="E161" s="113">
        <f t="shared" si="22"/>
        <v>3358053</v>
      </c>
      <c r="F161" s="114">
        <f t="shared" si="23"/>
        <v>0.1246761969310759</v>
      </c>
    </row>
    <row r="162" spans="1:6" x14ac:dyDescent="0.25">
      <c r="A162" s="115">
        <v>8</v>
      </c>
      <c r="B162" s="116" t="s">
        <v>120</v>
      </c>
      <c r="C162" s="113">
        <v>1347720</v>
      </c>
      <c r="D162" s="113">
        <v>780312</v>
      </c>
      <c r="E162" s="113">
        <f t="shared" si="22"/>
        <v>-567408</v>
      </c>
      <c r="F162" s="114">
        <f t="shared" si="23"/>
        <v>-0.42101326685068113</v>
      </c>
    </row>
    <row r="163" spans="1:6" x14ac:dyDescent="0.25">
      <c r="A163" s="115">
        <v>9</v>
      </c>
      <c r="B163" s="116" t="s">
        <v>121</v>
      </c>
      <c r="C163" s="113">
        <v>248086</v>
      </c>
      <c r="D163" s="113">
        <v>269294</v>
      </c>
      <c r="E163" s="113">
        <f t="shared" si="22"/>
        <v>21208</v>
      </c>
      <c r="F163" s="114">
        <f t="shared" si="23"/>
        <v>8.5486484525527442E-2</v>
      </c>
    </row>
    <row r="164" spans="1:6" x14ac:dyDescent="0.25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5">
      <c r="A165" s="115">
        <v>11</v>
      </c>
      <c r="B165" s="116" t="s">
        <v>123</v>
      </c>
      <c r="C165" s="113">
        <v>70463</v>
      </c>
      <c r="D165" s="113">
        <v>124879</v>
      </c>
      <c r="E165" s="113">
        <f t="shared" si="22"/>
        <v>54416</v>
      </c>
      <c r="F165" s="114">
        <f t="shared" si="23"/>
        <v>0.77226345741736802</v>
      </c>
    </row>
    <row r="166" spans="1:6" ht="33.75" customHeight="1" x14ac:dyDescent="0.3">
      <c r="A166" s="117"/>
      <c r="B166" s="118" t="s">
        <v>148</v>
      </c>
      <c r="C166" s="119">
        <f>SUM(C155:C165)</f>
        <v>43779795</v>
      </c>
      <c r="D166" s="119">
        <f>SUM(D155:D165)</f>
        <v>48398218</v>
      </c>
      <c r="E166" s="119">
        <f t="shared" si="22"/>
        <v>4618423</v>
      </c>
      <c r="F166" s="120">
        <f t="shared" si="23"/>
        <v>0.10549211114396492</v>
      </c>
    </row>
    <row r="167" spans="1:6" ht="15.6" x14ac:dyDescent="0.3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5">
      <c r="A168" s="115">
        <v>1</v>
      </c>
      <c r="B168" s="116" t="s">
        <v>113</v>
      </c>
      <c r="C168" s="133">
        <v>5455</v>
      </c>
      <c r="D168" s="133">
        <v>5965</v>
      </c>
      <c r="E168" s="133">
        <f t="shared" ref="E168:E179" si="24">D168-C168</f>
        <v>510</v>
      </c>
      <c r="F168" s="114">
        <f t="shared" ref="F168:F179" si="25">IF(C168=0,0,E168/C168)</f>
        <v>9.3492208982584785E-2</v>
      </c>
    </row>
    <row r="169" spans="1:6" x14ac:dyDescent="0.25">
      <c r="A169" s="115">
        <v>2</v>
      </c>
      <c r="B169" s="116" t="s">
        <v>114</v>
      </c>
      <c r="C169" s="133">
        <v>860</v>
      </c>
      <c r="D169" s="133">
        <v>991</v>
      </c>
      <c r="E169" s="133">
        <f t="shared" si="24"/>
        <v>131</v>
      </c>
      <c r="F169" s="114">
        <f t="shared" si="25"/>
        <v>0.15232558139534882</v>
      </c>
    </row>
    <row r="170" spans="1:6" x14ac:dyDescent="0.25">
      <c r="A170" s="115">
        <v>3</v>
      </c>
      <c r="B170" s="116" t="s">
        <v>115</v>
      </c>
      <c r="C170" s="133">
        <v>11379</v>
      </c>
      <c r="D170" s="133">
        <v>11900</v>
      </c>
      <c r="E170" s="133">
        <f t="shared" si="24"/>
        <v>521</v>
      </c>
      <c r="F170" s="114">
        <f t="shared" si="25"/>
        <v>4.5786097196590207E-2</v>
      </c>
    </row>
    <row r="171" spans="1:6" x14ac:dyDescent="0.25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5">
      <c r="A172" s="115">
        <v>5</v>
      </c>
      <c r="B172" s="116" t="s">
        <v>117</v>
      </c>
      <c r="C172" s="133">
        <v>44</v>
      </c>
      <c r="D172" s="133">
        <v>35</v>
      </c>
      <c r="E172" s="133">
        <f t="shared" si="24"/>
        <v>-9</v>
      </c>
      <c r="F172" s="114">
        <f t="shared" si="25"/>
        <v>-0.20454545454545456</v>
      </c>
    </row>
    <row r="173" spans="1:6" x14ac:dyDescent="0.25">
      <c r="A173" s="115">
        <v>6</v>
      </c>
      <c r="B173" s="116" t="s">
        <v>118</v>
      </c>
      <c r="C173" s="133">
        <v>2556</v>
      </c>
      <c r="D173" s="133">
        <v>2416</v>
      </c>
      <c r="E173" s="133">
        <f t="shared" si="24"/>
        <v>-140</v>
      </c>
      <c r="F173" s="114">
        <f t="shared" si="25"/>
        <v>-5.4773082942097026E-2</v>
      </c>
    </row>
    <row r="174" spans="1:6" x14ac:dyDescent="0.25">
      <c r="A174" s="115">
        <v>7</v>
      </c>
      <c r="B174" s="116" t="s">
        <v>119</v>
      </c>
      <c r="C174" s="133">
        <v>11716</v>
      </c>
      <c r="D174" s="133">
        <v>12099</v>
      </c>
      <c r="E174" s="133">
        <f t="shared" si="24"/>
        <v>383</v>
      </c>
      <c r="F174" s="114">
        <f t="shared" si="25"/>
        <v>3.2690337999317171E-2</v>
      </c>
    </row>
    <row r="175" spans="1:6" x14ac:dyDescent="0.25">
      <c r="A175" s="115">
        <v>8</v>
      </c>
      <c r="B175" s="116" t="s">
        <v>120</v>
      </c>
      <c r="C175" s="133">
        <v>804</v>
      </c>
      <c r="D175" s="133">
        <v>640</v>
      </c>
      <c r="E175" s="133">
        <f t="shared" si="24"/>
        <v>-164</v>
      </c>
      <c r="F175" s="114">
        <f t="shared" si="25"/>
        <v>-0.20398009950248755</v>
      </c>
    </row>
    <row r="176" spans="1:6" x14ac:dyDescent="0.25">
      <c r="A176" s="115">
        <v>9</v>
      </c>
      <c r="B176" s="116" t="s">
        <v>121</v>
      </c>
      <c r="C176" s="133">
        <v>3779</v>
      </c>
      <c r="D176" s="133">
        <v>3832</v>
      </c>
      <c r="E176" s="133">
        <f t="shared" si="24"/>
        <v>53</v>
      </c>
      <c r="F176" s="114">
        <f t="shared" si="25"/>
        <v>1.4024874305371792E-2</v>
      </c>
    </row>
    <row r="177" spans="1:6" x14ac:dyDescent="0.25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5">
      <c r="A178" s="115">
        <v>11</v>
      </c>
      <c r="B178" s="116" t="s">
        <v>123</v>
      </c>
      <c r="C178" s="133">
        <v>166</v>
      </c>
      <c r="D178" s="133">
        <v>183</v>
      </c>
      <c r="E178" s="133">
        <f t="shared" si="24"/>
        <v>17</v>
      </c>
      <c r="F178" s="114">
        <f t="shared" si="25"/>
        <v>0.10240963855421686</v>
      </c>
    </row>
    <row r="179" spans="1:6" ht="33.75" customHeight="1" x14ac:dyDescent="0.3">
      <c r="A179" s="117"/>
      <c r="B179" s="118" t="s">
        <v>150</v>
      </c>
      <c r="C179" s="134">
        <f>SUM(C168:C178)</f>
        <v>36759</v>
      </c>
      <c r="D179" s="134">
        <f>SUM(D168:D178)</f>
        <v>38061</v>
      </c>
      <c r="E179" s="134">
        <f t="shared" si="24"/>
        <v>1302</v>
      </c>
      <c r="F179" s="120">
        <f t="shared" si="25"/>
        <v>3.5419897168040483E-2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gridLines="1"/>
  <pageMargins left="0.25" right="0.25" top="0.5" bottom="0.5" header="0.25" footer="0.25"/>
  <pageSetup scale="76" fitToHeight="0" orientation="portrait" horizontalDpi="300" verticalDpi="300" r:id="rId1"/>
  <headerFooter>
    <oddHeader>&amp;LOFFICE OF HEALTH CARE ACCESS&amp;CTWELVE MONTHS ACTUAL FILING&amp;RNORWALK HOSPITAL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topLeftCell="B1" zoomScale="75" workbookViewId="0">
      <selection activeCell="B30" sqref="B30"/>
    </sheetView>
  </sheetViews>
  <sheetFormatPr defaultColWidth="9.109375" defaultRowHeight="15" customHeight="1" x14ac:dyDescent="0.25"/>
  <cols>
    <col min="1" max="1" width="8.88671875" style="137" bestFit="1" customWidth="1"/>
    <col min="2" max="2" width="54.88671875" style="137" customWidth="1"/>
    <col min="3" max="3" width="18.33203125" style="172" customWidth="1"/>
    <col min="4" max="4" width="18.109375" style="137" customWidth="1"/>
    <col min="5" max="5" width="19" style="137" bestFit="1" customWidth="1"/>
    <col min="6" max="6" width="17.44140625" style="137" customWidth="1"/>
    <col min="7" max="7" width="101.6640625" style="137" customWidth="1"/>
    <col min="8" max="16384" width="9.109375" style="137"/>
  </cols>
  <sheetData>
    <row r="1" spans="1:6" ht="18" customHeight="1" x14ac:dyDescent="0.3">
      <c r="A1" s="783"/>
      <c r="B1" s="784"/>
      <c r="C1" s="784"/>
      <c r="D1" s="784"/>
      <c r="E1" s="784"/>
      <c r="F1" s="785"/>
    </row>
    <row r="2" spans="1:6" ht="15.75" customHeight="1" x14ac:dyDescent="0.3">
      <c r="A2" s="783" t="s">
        <v>0</v>
      </c>
      <c r="B2" s="784"/>
      <c r="C2" s="784"/>
      <c r="D2" s="784"/>
      <c r="E2" s="784"/>
      <c r="F2" s="785"/>
    </row>
    <row r="3" spans="1:6" ht="15.75" customHeight="1" x14ac:dyDescent="0.3">
      <c r="A3" s="783" t="s">
        <v>1</v>
      </c>
      <c r="B3" s="784"/>
      <c r="C3" s="784"/>
      <c r="D3" s="784"/>
      <c r="E3" s="784"/>
      <c r="F3" s="785"/>
    </row>
    <row r="4" spans="1:6" ht="15.75" customHeight="1" x14ac:dyDescent="0.3">
      <c r="A4" s="783" t="s">
        <v>2</v>
      </c>
      <c r="B4" s="784"/>
      <c r="C4" s="784"/>
      <c r="D4" s="784"/>
      <c r="E4" s="784"/>
      <c r="F4" s="785"/>
    </row>
    <row r="5" spans="1:6" ht="15.75" customHeight="1" x14ac:dyDescent="0.3">
      <c r="A5" s="783" t="s">
        <v>151</v>
      </c>
      <c r="B5" s="784"/>
      <c r="C5" s="784"/>
      <c r="D5" s="784"/>
      <c r="E5" s="784"/>
      <c r="F5" s="785"/>
    </row>
    <row r="6" spans="1:6" ht="15.75" customHeight="1" x14ac:dyDescent="0.3">
      <c r="A6" s="783"/>
      <c r="B6" s="784"/>
      <c r="C6" s="784"/>
      <c r="D6" s="784"/>
      <c r="E6" s="784"/>
      <c r="F6" s="785"/>
    </row>
    <row r="7" spans="1:6" ht="15" customHeight="1" x14ac:dyDescent="0.3">
      <c r="A7" s="783"/>
      <c r="B7" s="784"/>
      <c r="C7" s="784"/>
      <c r="D7" s="784"/>
      <c r="E7" s="784"/>
      <c r="F7" s="785"/>
    </row>
    <row r="8" spans="1:6" ht="15.75" customHeight="1" x14ac:dyDescent="0.3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3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3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3">
      <c r="A11" s="147"/>
      <c r="B11" s="148"/>
      <c r="C11" s="149"/>
      <c r="D11" s="149"/>
      <c r="E11" s="150"/>
      <c r="F11" s="151"/>
    </row>
    <row r="12" spans="1:6" ht="15.75" customHeight="1" x14ac:dyDescent="0.3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3">
      <c r="A13" s="147"/>
      <c r="B13" s="148"/>
      <c r="C13" s="149"/>
      <c r="D13" s="149"/>
      <c r="E13" s="149"/>
      <c r="F13" s="149"/>
    </row>
    <row r="14" spans="1:6" ht="15.75" customHeight="1" x14ac:dyDescent="0.3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5">
      <c r="A15" s="147">
        <v>1</v>
      </c>
      <c r="B15" s="160" t="s">
        <v>156</v>
      </c>
      <c r="C15" s="157">
        <v>46444000</v>
      </c>
      <c r="D15" s="157">
        <v>49326729</v>
      </c>
      <c r="E15" s="157">
        <f>+D15-C15</f>
        <v>2882729</v>
      </c>
      <c r="F15" s="161">
        <f>IF(C15=0,0,E15/C15)</f>
        <v>6.2068921712169496E-2</v>
      </c>
    </row>
    <row r="16" spans="1:6" ht="15" customHeight="1" x14ac:dyDescent="0.25">
      <c r="A16" s="147">
        <v>2</v>
      </c>
      <c r="B16" s="160" t="s">
        <v>157</v>
      </c>
      <c r="C16" s="157">
        <v>12892000</v>
      </c>
      <c r="D16" s="157">
        <v>12508252</v>
      </c>
      <c r="E16" s="157">
        <f>+D16-C16</f>
        <v>-383748</v>
      </c>
      <c r="F16" s="161">
        <f>IF(C16=0,0,E16/C16)</f>
        <v>-2.9766366739062983E-2</v>
      </c>
    </row>
    <row r="17" spans="1:6" ht="15" customHeight="1" x14ac:dyDescent="0.25">
      <c r="A17" s="147">
        <v>3</v>
      </c>
      <c r="B17" s="160" t="s">
        <v>158</v>
      </c>
      <c r="C17" s="157">
        <v>76386000</v>
      </c>
      <c r="D17" s="157">
        <v>77378005</v>
      </c>
      <c r="E17" s="157">
        <f>+D17-C17</f>
        <v>992005</v>
      </c>
      <c r="F17" s="161">
        <f>IF(C17=0,0,E17/C17)</f>
        <v>1.2986738407561595E-2</v>
      </c>
    </row>
    <row r="18" spans="1:6" ht="15.75" customHeight="1" x14ac:dyDescent="0.3">
      <c r="A18" s="147"/>
      <c r="B18" s="162" t="s">
        <v>159</v>
      </c>
      <c r="C18" s="158">
        <f>SUM(C15:C17)</f>
        <v>135722000</v>
      </c>
      <c r="D18" s="158">
        <f>SUM(D15:D17)</f>
        <v>139212986</v>
      </c>
      <c r="E18" s="158">
        <f>+D18-C18</f>
        <v>3490986</v>
      </c>
      <c r="F18" s="159">
        <f>IF(C18=0,0,E18/C18)</f>
        <v>2.5721592667364172E-2</v>
      </c>
    </row>
    <row r="19" spans="1:6" ht="15.75" customHeight="1" x14ac:dyDescent="0.3">
      <c r="A19" s="147"/>
      <c r="B19" s="163"/>
      <c r="C19" s="157"/>
      <c r="D19" s="157"/>
      <c r="E19" s="158"/>
      <c r="F19" s="159"/>
    </row>
    <row r="20" spans="1:6" ht="15.75" customHeight="1" x14ac:dyDescent="0.3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5">
      <c r="A21" s="147">
        <v>1</v>
      </c>
      <c r="B21" s="160" t="s">
        <v>161</v>
      </c>
      <c r="C21" s="157">
        <v>6219000</v>
      </c>
      <c r="D21" s="157">
        <v>5961106</v>
      </c>
      <c r="E21" s="157">
        <f>+D21-C21</f>
        <v>-257894</v>
      </c>
      <c r="F21" s="161">
        <f>IF(C21=0,0,E21/C21)</f>
        <v>-4.1468724875381897E-2</v>
      </c>
    </row>
    <row r="22" spans="1:6" ht="15" customHeight="1" x14ac:dyDescent="0.25">
      <c r="A22" s="147">
        <v>2</v>
      </c>
      <c r="B22" s="160" t="s">
        <v>162</v>
      </c>
      <c r="C22" s="157">
        <v>3182000</v>
      </c>
      <c r="D22" s="157">
        <v>3050046</v>
      </c>
      <c r="E22" s="157">
        <f>+D22-C22</f>
        <v>-131954</v>
      </c>
      <c r="F22" s="161">
        <f>IF(C22=0,0,E22/C22)</f>
        <v>-4.1468887492143308E-2</v>
      </c>
    </row>
    <row r="23" spans="1:6" ht="15" customHeight="1" x14ac:dyDescent="0.25">
      <c r="A23" s="147">
        <v>3</v>
      </c>
      <c r="B23" s="160" t="s">
        <v>163</v>
      </c>
      <c r="C23" s="157">
        <v>29802000</v>
      </c>
      <c r="D23" s="157">
        <v>28566148</v>
      </c>
      <c r="E23" s="157">
        <f>+D23-C23</f>
        <v>-1235852</v>
      </c>
      <c r="F23" s="161">
        <f>IF(C23=0,0,E23/C23)</f>
        <v>-4.1468760485873432E-2</v>
      </c>
    </row>
    <row r="24" spans="1:6" ht="15.75" customHeight="1" x14ac:dyDescent="0.3">
      <c r="A24" s="147"/>
      <c r="B24" s="162" t="s">
        <v>164</v>
      </c>
      <c r="C24" s="158">
        <f>SUM(C21:C23)</f>
        <v>39203000</v>
      </c>
      <c r="D24" s="158">
        <f>SUM(D21:D23)</f>
        <v>37577300</v>
      </c>
      <c r="E24" s="158">
        <f>+D24-C24</f>
        <v>-1625700</v>
      </c>
      <c r="F24" s="159">
        <f>IF(C24=0,0,E24/C24)</f>
        <v>-4.1468765145524576E-2</v>
      </c>
    </row>
    <row r="25" spans="1:6" ht="15.75" customHeight="1" x14ac:dyDescent="0.3">
      <c r="A25" s="147"/>
      <c r="B25" s="163"/>
      <c r="C25" s="157"/>
      <c r="D25" s="157"/>
      <c r="E25" s="158"/>
      <c r="F25" s="159"/>
    </row>
    <row r="26" spans="1:6" ht="15.75" customHeight="1" x14ac:dyDescent="0.3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5">
      <c r="A27" s="147">
        <v>1</v>
      </c>
      <c r="B27" s="160" t="s">
        <v>166</v>
      </c>
      <c r="C27" s="157">
        <v>567333</v>
      </c>
      <c r="D27" s="157">
        <v>332956</v>
      </c>
      <c r="E27" s="157">
        <f>+D27-C27</f>
        <v>-234377</v>
      </c>
      <c r="F27" s="161">
        <f>IF(C27=0,0,E27/C27)</f>
        <v>-0.41312068926009943</v>
      </c>
    </row>
    <row r="28" spans="1:6" ht="15" customHeight="1" x14ac:dyDescent="0.25">
      <c r="A28" s="147">
        <v>2</v>
      </c>
      <c r="B28" s="160" t="s">
        <v>167</v>
      </c>
      <c r="C28" s="157">
        <v>8103000</v>
      </c>
      <c r="D28" s="157">
        <v>14522059</v>
      </c>
      <c r="E28" s="157">
        <f>+D28-C28</f>
        <v>6419059</v>
      </c>
      <c r="F28" s="161">
        <f>IF(C28=0,0,E28/C28)</f>
        <v>0.79218301863507345</v>
      </c>
    </row>
    <row r="29" spans="1:6" ht="15" customHeight="1" x14ac:dyDescent="0.25">
      <c r="A29" s="147">
        <v>3</v>
      </c>
      <c r="B29" s="160" t="s">
        <v>168</v>
      </c>
      <c r="C29" s="157">
        <v>5454416</v>
      </c>
      <c r="D29" s="157">
        <v>2530206</v>
      </c>
      <c r="E29" s="157">
        <f>+D29-C29</f>
        <v>-2924210</v>
      </c>
      <c r="F29" s="161">
        <f>IF(C29=0,0,E29/C29)</f>
        <v>-0.53611789053126857</v>
      </c>
    </row>
    <row r="30" spans="1:6" ht="15.75" customHeight="1" x14ac:dyDescent="0.3">
      <c r="A30" s="147"/>
      <c r="B30" s="162" t="s">
        <v>169</v>
      </c>
      <c r="C30" s="158">
        <f>SUM(C27:C29)</f>
        <v>14124749</v>
      </c>
      <c r="D30" s="158">
        <f>SUM(D27:D29)</f>
        <v>17385221</v>
      </c>
      <c r="E30" s="158">
        <f>+D30-C30</f>
        <v>3260472</v>
      </c>
      <c r="F30" s="159">
        <f>IF(C30=0,0,E30/C30)</f>
        <v>0.23083397800555605</v>
      </c>
    </row>
    <row r="31" spans="1:6" ht="15.75" customHeight="1" x14ac:dyDescent="0.3">
      <c r="A31" s="147"/>
      <c r="B31" s="163"/>
      <c r="C31" s="157"/>
      <c r="D31" s="157"/>
      <c r="E31" s="158"/>
      <c r="F31" s="159"/>
    </row>
    <row r="32" spans="1:6" ht="15.75" customHeight="1" x14ac:dyDescent="0.3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5">
      <c r="A33" s="147">
        <v>1</v>
      </c>
      <c r="B33" s="160" t="s">
        <v>172</v>
      </c>
      <c r="C33" s="157">
        <v>22597000</v>
      </c>
      <c r="D33" s="157">
        <v>22502982</v>
      </c>
      <c r="E33" s="157">
        <f>+D33-C33</f>
        <v>-94018</v>
      </c>
      <c r="F33" s="161">
        <f>IF(C33=0,0,E33/C33)</f>
        <v>-4.1606407930256228E-3</v>
      </c>
    </row>
    <row r="34" spans="1:6" ht="15" customHeight="1" x14ac:dyDescent="0.25">
      <c r="A34" s="147">
        <v>2</v>
      </c>
      <c r="B34" s="160" t="s">
        <v>173</v>
      </c>
      <c r="C34" s="157">
        <v>15450000</v>
      </c>
      <c r="D34" s="157">
        <v>28013099</v>
      </c>
      <c r="E34" s="157">
        <f>+D34-C34</f>
        <v>12563099</v>
      </c>
      <c r="F34" s="161">
        <f>IF(C34=0,0,E34/C34)</f>
        <v>0.81314556634304203</v>
      </c>
    </row>
    <row r="35" spans="1:6" ht="15.75" customHeight="1" x14ac:dyDescent="0.3">
      <c r="A35" s="147"/>
      <c r="B35" s="162" t="s">
        <v>174</v>
      </c>
      <c r="C35" s="158">
        <f>SUM(C33:C34)</f>
        <v>38047000</v>
      </c>
      <c r="D35" s="158">
        <f>SUM(D33:D34)</f>
        <v>50516081</v>
      </c>
      <c r="E35" s="158">
        <f>+D35-C35</f>
        <v>12469081</v>
      </c>
      <c r="F35" s="159">
        <f>IF(C35=0,0,E35/C35)</f>
        <v>0.32772836228874813</v>
      </c>
    </row>
    <row r="36" spans="1:6" ht="15.75" customHeight="1" x14ac:dyDescent="0.3">
      <c r="A36" s="147"/>
      <c r="B36" s="163"/>
      <c r="C36" s="157"/>
      <c r="D36" s="157"/>
      <c r="E36" s="158"/>
      <c r="F36" s="159"/>
    </row>
    <row r="37" spans="1:6" ht="15.75" customHeight="1" x14ac:dyDescent="0.3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5">
      <c r="A38" s="147">
        <v>1</v>
      </c>
      <c r="B38" s="160" t="s">
        <v>177</v>
      </c>
      <c r="C38" s="157">
        <v>9731000</v>
      </c>
      <c r="D38" s="157">
        <v>11550546</v>
      </c>
      <c r="E38" s="157">
        <f>+D38-C38</f>
        <v>1819546</v>
      </c>
      <c r="F38" s="161">
        <f>IF(C38=0,0,E38/C38)</f>
        <v>0.18698448258144076</v>
      </c>
    </row>
    <row r="39" spans="1:6" ht="15" customHeight="1" x14ac:dyDescent="0.25">
      <c r="A39" s="147">
        <v>2</v>
      </c>
      <c r="B39" s="160" t="s">
        <v>178</v>
      </c>
      <c r="C39" s="157">
        <v>10533000</v>
      </c>
      <c r="D39" s="157">
        <v>11399264</v>
      </c>
      <c r="E39" s="157">
        <f>+D39-C39</f>
        <v>866264</v>
      </c>
      <c r="F39" s="161">
        <f>IF(C39=0,0,E39/C39)</f>
        <v>8.2242855786575531E-2</v>
      </c>
    </row>
    <row r="40" spans="1:6" ht="15" customHeight="1" x14ac:dyDescent="0.25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3">
      <c r="A41" s="147"/>
      <c r="B41" s="162" t="s">
        <v>180</v>
      </c>
      <c r="C41" s="158">
        <f>SUM(C38:C40)</f>
        <v>20264000</v>
      </c>
      <c r="D41" s="158">
        <f>SUM(D38:D40)</f>
        <v>22949810</v>
      </c>
      <c r="E41" s="158">
        <f>+D41-C41</f>
        <v>2685810</v>
      </c>
      <c r="F41" s="159">
        <f>IF(C41=0,0,E41/C41)</f>
        <v>0.13254095933675483</v>
      </c>
    </row>
    <row r="42" spans="1:6" ht="15.75" customHeight="1" x14ac:dyDescent="0.3">
      <c r="A42" s="147"/>
      <c r="B42" s="163"/>
      <c r="C42" s="157"/>
      <c r="D42" s="157"/>
      <c r="E42" s="158"/>
      <c r="F42" s="159"/>
    </row>
    <row r="43" spans="1:6" ht="15.75" customHeight="1" x14ac:dyDescent="0.3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5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3">
      <c r="A45" s="147"/>
      <c r="B45" s="163"/>
      <c r="C45" s="157"/>
      <c r="D45" s="157"/>
      <c r="E45" s="158"/>
      <c r="F45" s="159"/>
    </row>
    <row r="46" spans="1:6" ht="15.75" customHeight="1" x14ac:dyDescent="0.3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5">
      <c r="A47" s="147">
        <v>1</v>
      </c>
      <c r="B47" s="160" t="s">
        <v>88</v>
      </c>
      <c r="C47" s="157">
        <v>1952000</v>
      </c>
      <c r="D47" s="157">
        <v>2026377</v>
      </c>
      <c r="E47" s="157">
        <f>+D47-C47</f>
        <v>74377</v>
      </c>
      <c r="F47" s="161">
        <f>IF(C47=0,0,E47/C47)</f>
        <v>3.8102971311475407E-2</v>
      </c>
    </row>
    <row r="48" spans="1:6" ht="15.75" customHeight="1" x14ac:dyDescent="0.3">
      <c r="A48" s="147"/>
      <c r="B48" s="163"/>
      <c r="C48" s="157"/>
      <c r="D48" s="157"/>
      <c r="E48" s="158"/>
      <c r="F48" s="159"/>
    </row>
    <row r="49" spans="1:6" ht="15.75" customHeight="1" x14ac:dyDescent="0.3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5">
      <c r="A50" s="147">
        <v>1</v>
      </c>
      <c r="B50" s="160" t="s">
        <v>89</v>
      </c>
      <c r="C50" s="157">
        <v>6772000</v>
      </c>
      <c r="D50" s="157">
        <v>2094155</v>
      </c>
      <c r="E50" s="157">
        <f>+D50-C50</f>
        <v>-4677845</v>
      </c>
      <c r="F50" s="161">
        <f>IF(C50=0,0,E50/C50)</f>
        <v>-0.6907626993502658</v>
      </c>
    </row>
    <row r="51" spans="1:6" ht="15.75" customHeight="1" x14ac:dyDescent="0.3">
      <c r="A51" s="147"/>
      <c r="B51" s="163"/>
      <c r="C51" s="157"/>
      <c r="D51" s="157"/>
      <c r="E51" s="158"/>
      <c r="F51" s="159"/>
    </row>
    <row r="52" spans="1:6" ht="15.75" customHeight="1" x14ac:dyDescent="0.3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5">
      <c r="A53" s="147">
        <v>1</v>
      </c>
      <c r="B53" s="160" t="s">
        <v>188</v>
      </c>
      <c r="C53" s="157">
        <v>224536</v>
      </c>
      <c r="D53" s="157">
        <v>206796</v>
      </c>
      <c r="E53" s="157">
        <f t="shared" ref="E53:E59" si="0">+D53-C53</f>
        <v>-17740</v>
      </c>
      <c r="F53" s="161">
        <f t="shared" ref="F53:F59" si="1">IF(C53=0,0,E53/C53)</f>
        <v>-7.9007375209320552E-2</v>
      </c>
    </row>
    <row r="54" spans="1:6" ht="15" customHeight="1" x14ac:dyDescent="0.25">
      <c r="A54" s="147">
        <v>2</v>
      </c>
      <c r="B54" s="160" t="s">
        <v>189</v>
      </c>
      <c r="C54" s="157">
        <v>2066516</v>
      </c>
      <c r="D54" s="157">
        <v>1668136</v>
      </c>
      <c r="E54" s="157">
        <f t="shared" si="0"/>
        <v>-398380</v>
      </c>
      <c r="F54" s="161">
        <f t="shared" si="1"/>
        <v>-0.19277857030867412</v>
      </c>
    </row>
    <row r="55" spans="1:6" ht="15" customHeight="1" x14ac:dyDescent="0.25">
      <c r="A55" s="147">
        <v>3</v>
      </c>
      <c r="B55" s="160" t="s">
        <v>190</v>
      </c>
      <c r="C55" s="157">
        <v>83890</v>
      </c>
      <c r="D55" s="157">
        <v>95735</v>
      </c>
      <c r="E55" s="157">
        <f t="shared" si="0"/>
        <v>11845</v>
      </c>
      <c r="F55" s="161">
        <f t="shared" si="1"/>
        <v>0.14119680534032661</v>
      </c>
    </row>
    <row r="56" spans="1:6" ht="15" customHeight="1" x14ac:dyDescent="0.25">
      <c r="A56" s="147">
        <v>4</v>
      </c>
      <c r="B56" s="160" t="s">
        <v>191</v>
      </c>
      <c r="C56" s="157">
        <v>1697010</v>
      </c>
      <c r="D56" s="157">
        <v>1002419</v>
      </c>
      <c r="E56" s="157">
        <f t="shared" si="0"/>
        <v>-694591</v>
      </c>
      <c r="F56" s="161">
        <f t="shared" si="1"/>
        <v>-0.40930283262915362</v>
      </c>
    </row>
    <row r="57" spans="1:6" ht="15" customHeight="1" x14ac:dyDescent="0.25">
      <c r="A57" s="147">
        <v>5</v>
      </c>
      <c r="B57" s="160" t="s">
        <v>192</v>
      </c>
      <c r="C57" s="157">
        <v>722832</v>
      </c>
      <c r="D57" s="157">
        <v>144458</v>
      </c>
      <c r="E57" s="157">
        <f t="shared" si="0"/>
        <v>-578374</v>
      </c>
      <c r="F57" s="161">
        <f t="shared" si="1"/>
        <v>-0.80014996569050623</v>
      </c>
    </row>
    <row r="58" spans="1:6" ht="15" customHeight="1" x14ac:dyDescent="0.25">
      <c r="A58" s="147">
        <v>6</v>
      </c>
      <c r="B58" s="160" t="s">
        <v>193</v>
      </c>
      <c r="C58" s="157">
        <v>0</v>
      </c>
      <c r="D58" s="157">
        <v>0</v>
      </c>
      <c r="E58" s="157">
        <f t="shared" si="0"/>
        <v>0</v>
      </c>
      <c r="F58" s="161">
        <f t="shared" si="1"/>
        <v>0</v>
      </c>
    </row>
    <row r="59" spans="1:6" ht="15.75" customHeight="1" x14ac:dyDescent="0.3">
      <c r="A59" s="147"/>
      <c r="B59" s="162" t="s">
        <v>194</v>
      </c>
      <c r="C59" s="158">
        <f>SUM(C53:C58)</f>
        <v>4794784</v>
      </c>
      <c r="D59" s="158">
        <f>SUM(D53:D58)</f>
        <v>3117544</v>
      </c>
      <c r="E59" s="158">
        <f t="shared" si="0"/>
        <v>-1677240</v>
      </c>
      <c r="F59" s="159">
        <f t="shared" si="1"/>
        <v>-0.34980512156543442</v>
      </c>
    </row>
    <row r="60" spans="1:6" ht="15.75" customHeight="1" x14ac:dyDescent="0.3">
      <c r="A60" s="147"/>
      <c r="B60" s="163"/>
      <c r="C60" s="157"/>
      <c r="D60" s="157"/>
      <c r="E60" s="158"/>
      <c r="F60" s="159"/>
    </row>
    <row r="61" spans="1:6" ht="15.75" customHeight="1" x14ac:dyDescent="0.3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5">
      <c r="A62" s="147">
        <v>1</v>
      </c>
      <c r="B62" s="160" t="s">
        <v>197</v>
      </c>
      <c r="C62" s="157">
        <v>436004</v>
      </c>
      <c r="D62" s="157">
        <v>0</v>
      </c>
      <c r="E62" s="157">
        <f t="shared" ref="E62:E90" si="2">+D62-C62</f>
        <v>-436004</v>
      </c>
      <c r="F62" s="161">
        <f t="shared" ref="F62:F90" si="3">IF(C62=0,0,E62/C62)</f>
        <v>-1</v>
      </c>
    </row>
    <row r="63" spans="1:6" ht="15" customHeight="1" x14ac:dyDescent="0.25">
      <c r="A63" s="147">
        <v>2</v>
      </c>
      <c r="B63" s="160" t="s">
        <v>198</v>
      </c>
      <c r="C63" s="157">
        <v>1135518</v>
      </c>
      <c r="D63" s="157">
        <v>924906</v>
      </c>
      <c r="E63" s="157">
        <f t="shared" si="2"/>
        <v>-210612</v>
      </c>
      <c r="F63" s="161">
        <f t="shared" si="3"/>
        <v>-0.18547658425493915</v>
      </c>
    </row>
    <row r="64" spans="1:6" ht="15" customHeight="1" x14ac:dyDescent="0.25">
      <c r="A64" s="147">
        <v>3</v>
      </c>
      <c r="B64" s="160" t="s">
        <v>199</v>
      </c>
      <c r="C64" s="157">
        <v>2332523</v>
      </c>
      <c r="D64" s="157">
        <v>20990</v>
      </c>
      <c r="E64" s="157">
        <f t="shared" si="2"/>
        <v>-2311533</v>
      </c>
      <c r="F64" s="161">
        <f t="shared" si="3"/>
        <v>-0.99100116054589815</v>
      </c>
    </row>
    <row r="65" spans="1:6" ht="15" customHeight="1" x14ac:dyDescent="0.25">
      <c r="A65" s="147">
        <v>4</v>
      </c>
      <c r="B65" s="160" t="s">
        <v>200</v>
      </c>
      <c r="C65" s="157">
        <v>630786</v>
      </c>
      <c r="D65" s="157">
        <v>2532839</v>
      </c>
      <c r="E65" s="157">
        <f t="shared" si="2"/>
        <v>1902053</v>
      </c>
      <c r="F65" s="161">
        <f t="shared" si="3"/>
        <v>3.0153697133417672</v>
      </c>
    </row>
    <row r="66" spans="1:6" ht="15" customHeight="1" x14ac:dyDescent="0.25">
      <c r="A66" s="147">
        <v>5</v>
      </c>
      <c r="B66" s="160" t="s">
        <v>201</v>
      </c>
      <c r="C66" s="157">
        <v>805590</v>
      </c>
      <c r="D66" s="157">
        <v>859310</v>
      </c>
      <c r="E66" s="157">
        <f t="shared" si="2"/>
        <v>53720</v>
      </c>
      <c r="F66" s="161">
        <f t="shared" si="3"/>
        <v>6.668404523392793E-2</v>
      </c>
    </row>
    <row r="67" spans="1:6" ht="15" customHeight="1" x14ac:dyDescent="0.25">
      <c r="A67" s="147">
        <v>6</v>
      </c>
      <c r="B67" s="160" t="s">
        <v>202</v>
      </c>
      <c r="C67" s="157">
        <v>7679925</v>
      </c>
      <c r="D67" s="157">
        <v>7725190</v>
      </c>
      <c r="E67" s="157">
        <f t="shared" si="2"/>
        <v>45265</v>
      </c>
      <c r="F67" s="161">
        <f t="shared" si="3"/>
        <v>5.8939377663193328E-3</v>
      </c>
    </row>
    <row r="68" spans="1:6" ht="15" customHeight="1" x14ac:dyDescent="0.25">
      <c r="A68" s="147">
        <v>7</v>
      </c>
      <c r="B68" s="160" t="s">
        <v>203</v>
      </c>
      <c r="C68" s="157">
        <v>14088709</v>
      </c>
      <c r="D68" s="157">
        <v>10399903</v>
      </c>
      <c r="E68" s="157">
        <f t="shared" si="2"/>
        <v>-3688806</v>
      </c>
      <c r="F68" s="161">
        <f t="shared" si="3"/>
        <v>-0.26182711276100601</v>
      </c>
    </row>
    <row r="69" spans="1:6" ht="15" customHeight="1" x14ac:dyDescent="0.25">
      <c r="A69" s="147">
        <v>8</v>
      </c>
      <c r="B69" s="160" t="s">
        <v>204</v>
      </c>
      <c r="C69" s="157">
        <v>752427</v>
      </c>
      <c r="D69" s="157">
        <v>837072</v>
      </c>
      <c r="E69" s="157">
        <f t="shared" si="2"/>
        <v>84645</v>
      </c>
      <c r="F69" s="161">
        <f t="shared" si="3"/>
        <v>0.11249596306352642</v>
      </c>
    </row>
    <row r="70" spans="1:6" ht="15" customHeight="1" x14ac:dyDescent="0.25">
      <c r="A70" s="147">
        <v>9</v>
      </c>
      <c r="B70" s="160" t="s">
        <v>205</v>
      </c>
      <c r="C70" s="157">
        <v>364779</v>
      </c>
      <c r="D70" s="157">
        <v>331724</v>
      </c>
      <c r="E70" s="157">
        <f t="shared" si="2"/>
        <v>-33055</v>
      </c>
      <c r="F70" s="161">
        <f t="shared" si="3"/>
        <v>-9.0616510270602205E-2</v>
      </c>
    </row>
    <row r="71" spans="1:6" ht="15" customHeight="1" x14ac:dyDescent="0.25">
      <c r="A71" s="147">
        <v>10</v>
      </c>
      <c r="B71" s="160" t="s">
        <v>206</v>
      </c>
      <c r="C71" s="157">
        <v>22388</v>
      </c>
      <c r="D71" s="157">
        <v>24607</v>
      </c>
      <c r="E71" s="157">
        <f t="shared" si="2"/>
        <v>2219</v>
      </c>
      <c r="F71" s="161">
        <f t="shared" si="3"/>
        <v>9.9115597641593708E-2</v>
      </c>
    </row>
    <row r="72" spans="1:6" ht="15" customHeight="1" x14ac:dyDescent="0.25">
      <c r="A72" s="147">
        <v>11</v>
      </c>
      <c r="B72" s="160" t="s">
        <v>207</v>
      </c>
      <c r="C72" s="157">
        <v>809699</v>
      </c>
      <c r="D72" s="157">
        <v>954618</v>
      </c>
      <c r="E72" s="157">
        <f t="shared" si="2"/>
        <v>144919</v>
      </c>
      <c r="F72" s="161">
        <f t="shared" si="3"/>
        <v>0.17897885510541572</v>
      </c>
    </row>
    <row r="73" spans="1:6" ht="15" customHeight="1" x14ac:dyDescent="0.25">
      <c r="A73" s="147">
        <v>12</v>
      </c>
      <c r="B73" s="160" t="s">
        <v>208</v>
      </c>
      <c r="C73" s="157">
        <v>521842</v>
      </c>
      <c r="D73" s="157">
        <v>550262</v>
      </c>
      <c r="E73" s="157">
        <f t="shared" si="2"/>
        <v>28420</v>
      </c>
      <c r="F73" s="161">
        <f t="shared" si="3"/>
        <v>5.446092878687419E-2</v>
      </c>
    </row>
    <row r="74" spans="1:6" ht="15" customHeight="1" x14ac:dyDescent="0.25">
      <c r="A74" s="147">
        <v>13</v>
      </c>
      <c r="B74" s="160" t="s">
        <v>209</v>
      </c>
      <c r="C74" s="157">
        <v>186184</v>
      </c>
      <c r="D74" s="157">
        <v>198038</v>
      </c>
      <c r="E74" s="157">
        <f t="shared" si="2"/>
        <v>11854</v>
      </c>
      <c r="F74" s="161">
        <f t="shared" si="3"/>
        <v>6.3668199200790615E-2</v>
      </c>
    </row>
    <row r="75" spans="1:6" ht="15" customHeight="1" x14ac:dyDescent="0.25">
      <c r="A75" s="147">
        <v>14</v>
      </c>
      <c r="B75" s="160" t="s">
        <v>210</v>
      </c>
      <c r="C75" s="157">
        <v>174134</v>
      </c>
      <c r="D75" s="157">
        <v>138451</v>
      </c>
      <c r="E75" s="157">
        <f t="shared" si="2"/>
        <v>-35683</v>
      </c>
      <c r="F75" s="161">
        <f t="shared" si="3"/>
        <v>-0.20491690307464366</v>
      </c>
    </row>
    <row r="76" spans="1:6" ht="15" customHeight="1" x14ac:dyDescent="0.25">
      <c r="A76" s="147">
        <v>15</v>
      </c>
      <c r="B76" s="160" t="s">
        <v>211</v>
      </c>
      <c r="C76" s="157">
        <v>108856</v>
      </c>
      <c r="D76" s="157">
        <v>28503</v>
      </c>
      <c r="E76" s="157">
        <f t="shared" si="2"/>
        <v>-80353</v>
      </c>
      <c r="F76" s="161">
        <f t="shared" si="3"/>
        <v>-0.7381586683324759</v>
      </c>
    </row>
    <row r="77" spans="1:6" ht="15" customHeight="1" x14ac:dyDescent="0.25">
      <c r="A77" s="147">
        <v>16</v>
      </c>
      <c r="B77" s="160" t="s">
        <v>212</v>
      </c>
      <c r="C77" s="157">
        <v>5336948</v>
      </c>
      <c r="D77" s="157">
        <v>14604453</v>
      </c>
      <c r="E77" s="157">
        <f t="shared" si="2"/>
        <v>9267505</v>
      </c>
      <c r="F77" s="161">
        <f t="shared" si="3"/>
        <v>1.7364802879848182</v>
      </c>
    </row>
    <row r="78" spans="1:6" ht="15" customHeight="1" x14ac:dyDescent="0.25">
      <c r="A78" s="147">
        <v>17</v>
      </c>
      <c r="B78" s="160" t="s">
        <v>213</v>
      </c>
      <c r="C78" s="157">
        <v>0</v>
      </c>
      <c r="D78" s="157">
        <v>0</v>
      </c>
      <c r="E78" s="157">
        <f t="shared" si="2"/>
        <v>0</v>
      </c>
      <c r="F78" s="161">
        <f t="shared" si="3"/>
        <v>0</v>
      </c>
    </row>
    <row r="79" spans="1:6" ht="15" customHeight="1" x14ac:dyDescent="0.25">
      <c r="A79" s="147">
        <v>18</v>
      </c>
      <c r="B79" s="160" t="s">
        <v>214</v>
      </c>
      <c r="C79" s="157">
        <v>15196</v>
      </c>
      <c r="D79" s="157">
        <v>961</v>
      </c>
      <c r="E79" s="157">
        <f t="shared" si="2"/>
        <v>-14235</v>
      </c>
      <c r="F79" s="161">
        <f t="shared" si="3"/>
        <v>-0.93675967359831536</v>
      </c>
    </row>
    <row r="80" spans="1:6" ht="15" customHeight="1" x14ac:dyDescent="0.25">
      <c r="A80" s="147">
        <v>19</v>
      </c>
      <c r="B80" s="160" t="s">
        <v>215</v>
      </c>
      <c r="C80" s="157">
        <v>129840</v>
      </c>
      <c r="D80" s="157">
        <v>137549</v>
      </c>
      <c r="E80" s="157">
        <f t="shared" si="2"/>
        <v>7709</v>
      </c>
      <c r="F80" s="161">
        <f t="shared" si="3"/>
        <v>5.9373074553296365E-2</v>
      </c>
    </row>
    <row r="81" spans="1:6" ht="15" customHeight="1" x14ac:dyDescent="0.25">
      <c r="A81" s="147">
        <v>20</v>
      </c>
      <c r="B81" s="160" t="s">
        <v>216</v>
      </c>
      <c r="C81" s="157">
        <v>1300511</v>
      </c>
      <c r="D81" s="157">
        <v>2028946</v>
      </c>
      <c r="E81" s="157">
        <f t="shared" si="2"/>
        <v>728435</v>
      </c>
      <c r="F81" s="161">
        <f t="shared" si="3"/>
        <v>0.5601144473210915</v>
      </c>
    </row>
    <row r="82" spans="1:6" ht="15" customHeight="1" x14ac:dyDescent="0.25">
      <c r="A82" s="147">
        <v>21</v>
      </c>
      <c r="B82" s="160" t="s">
        <v>217</v>
      </c>
      <c r="C82" s="157">
        <v>2092680</v>
      </c>
      <c r="D82" s="157">
        <v>1875509</v>
      </c>
      <c r="E82" s="157">
        <f t="shared" si="2"/>
        <v>-217171</v>
      </c>
      <c r="F82" s="161">
        <f t="shared" si="3"/>
        <v>-0.103776497123306</v>
      </c>
    </row>
    <row r="83" spans="1:6" ht="15" customHeight="1" x14ac:dyDescent="0.25">
      <c r="A83" s="147">
        <v>22</v>
      </c>
      <c r="B83" s="160" t="s">
        <v>218</v>
      </c>
      <c r="C83" s="157">
        <v>1547675</v>
      </c>
      <c r="D83" s="157">
        <v>821975</v>
      </c>
      <c r="E83" s="157">
        <f t="shared" si="2"/>
        <v>-725700</v>
      </c>
      <c r="F83" s="161">
        <f t="shared" si="3"/>
        <v>-0.46889689372768828</v>
      </c>
    </row>
    <row r="84" spans="1:6" ht="15" customHeight="1" x14ac:dyDescent="0.25">
      <c r="A84" s="147">
        <v>23</v>
      </c>
      <c r="B84" s="160" t="s">
        <v>219</v>
      </c>
      <c r="C84" s="157">
        <v>0</v>
      </c>
      <c r="D84" s="157">
        <v>0</v>
      </c>
      <c r="E84" s="157">
        <f t="shared" si="2"/>
        <v>0</v>
      </c>
      <c r="F84" s="161">
        <f t="shared" si="3"/>
        <v>0</v>
      </c>
    </row>
    <row r="85" spans="1:6" ht="15" customHeight="1" x14ac:dyDescent="0.25">
      <c r="A85" s="147">
        <v>24</v>
      </c>
      <c r="B85" s="160" t="s">
        <v>220</v>
      </c>
      <c r="C85" s="157">
        <v>6496272</v>
      </c>
      <c r="D85" s="157">
        <v>0</v>
      </c>
      <c r="E85" s="157">
        <f t="shared" si="2"/>
        <v>-6496272</v>
      </c>
      <c r="F85" s="161">
        <f t="shared" si="3"/>
        <v>-1</v>
      </c>
    </row>
    <row r="86" spans="1:6" ht="15" customHeight="1" x14ac:dyDescent="0.25">
      <c r="A86" s="147">
        <v>25</v>
      </c>
      <c r="B86" s="160" t="s">
        <v>221</v>
      </c>
      <c r="C86" s="157">
        <v>89089</v>
      </c>
      <c r="D86" s="157">
        <v>95307</v>
      </c>
      <c r="E86" s="157">
        <f t="shared" si="2"/>
        <v>6218</v>
      </c>
      <c r="F86" s="161">
        <f t="shared" si="3"/>
        <v>6.9795373166159677E-2</v>
      </c>
    </row>
    <row r="87" spans="1:6" ht="15" customHeight="1" x14ac:dyDescent="0.25">
      <c r="A87" s="147">
        <v>26</v>
      </c>
      <c r="B87" s="160" t="s">
        <v>222</v>
      </c>
      <c r="C87" s="157">
        <v>0</v>
      </c>
      <c r="D87" s="157">
        <v>0</v>
      </c>
      <c r="E87" s="157">
        <f t="shared" si="2"/>
        <v>0</v>
      </c>
      <c r="F87" s="161">
        <f t="shared" si="3"/>
        <v>0</v>
      </c>
    </row>
    <row r="88" spans="1:6" ht="15" customHeight="1" x14ac:dyDescent="0.25">
      <c r="A88" s="147">
        <v>27</v>
      </c>
      <c r="B88" s="160" t="s">
        <v>223</v>
      </c>
      <c r="C88" s="157">
        <v>14465831</v>
      </c>
      <c r="D88" s="157">
        <v>16740756</v>
      </c>
      <c r="E88" s="157">
        <f t="shared" si="2"/>
        <v>2274925</v>
      </c>
      <c r="F88" s="161">
        <f t="shared" si="3"/>
        <v>0.15726196441808285</v>
      </c>
    </row>
    <row r="89" spans="1:6" ht="15" customHeight="1" x14ac:dyDescent="0.25">
      <c r="A89" s="147">
        <v>28</v>
      </c>
      <c r="B89" s="160" t="s">
        <v>224</v>
      </c>
      <c r="C89" s="157">
        <v>32413061</v>
      </c>
      <c r="D89" s="157">
        <v>45435404</v>
      </c>
      <c r="E89" s="157">
        <f t="shared" si="2"/>
        <v>13022343</v>
      </c>
      <c r="F89" s="161">
        <f t="shared" si="3"/>
        <v>0.40176220937602902</v>
      </c>
    </row>
    <row r="90" spans="1:6" ht="15.75" customHeight="1" x14ac:dyDescent="0.3">
      <c r="A90" s="147"/>
      <c r="B90" s="162" t="s">
        <v>225</v>
      </c>
      <c r="C90" s="158">
        <f>SUM(C62:C89)</f>
        <v>93936467</v>
      </c>
      <c r="D90" s="158">
        <f>SUM(D62:D89)</f>
        <v>107267273</v>
      </c>
      <c r="E90" s="158">
        <f t="shared" si="2"/>
        <v>13330806</v>
      </c>
      <c r="F90" s="159">
        <f t="shared" si="3"/>
        <v>0.1419130016886839</v>
      </c>
    </row>
    <row r="91" spans="1:6" ht="15.75" customHeight="1" x14ac:dyDescent="0.3">
      <c r="A91" s="147"/>
      <c r="B91" s="163"/>
      <c r="C91" s="157"/>
      <c r="D91" s="157"/>
      <c r="E91" s="158"/>
      <c r="F91" s="159"/>
    </row>
    <row r="92" spans="1:6" ht="15.75" customHeight="1" x14ac:dyDescent="0.3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5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3">
      <c r="A94" s="147"/>
      <c r="B94" s="163"/>
      <c r="C94" s="157"/>
      <c r="D94" s="157"/>
      <c r="E94" s="158"/>
      <c r="F94" s="159"/>
    </row>
    <row r="95" spans="1:6" ht="15.75" customHeight="1" x14ac:dyDescent="0.3">
      <c r="A95" s="164"/>
      <c r="B95" s="165" t="s">
        <v>229</v>
      </c>
      <c r="C95" s="158">
        <f>+C93+C90+C59+C50+C47+C44+C41+C35+C30+C24+C18</f>
        <v>354816000</v>
      </c>
      <c r="D95" s="158">
        <f>+D93+D90+D59+D50+D47+D44+D41+D35+D30+D24+D18</f>
        <v>382146747</v>
      </c>
      <c r="E95" s="158">
        <f>+D95-C95</f>
        <v>27330747</v>
      </c>
      <c r="F95" s="159">
        <f>IF(C95=0,0,E95/C95)</f>
        <v>7.7027944061147186E-2</v>
      </c>
    </row>
    <row r="96" spans="1:6" ht="15.75" customHeight="1" x14ac:dyDescent="0.3">
      <c r="A96" s="164"/>
      <c r="B96" s="165"/>
      <c r="C96" s="157"/>
      <c r="D96" s="157"/>
      <c r="E96" s="157"/>
      <c r="F96" s="166"/>
    </row>
    <row r="97" spans="1:6" ht="15.75" customHeight="1" x14ac:dyDescent="0.3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3">
      <c r="A98" s="164"/>
      <c r="B98" s="167"/>
      <c r="C98" s="157"/>
      <c r="D98" s="157"/>
      <c r="E98" s="157"/>
      <c r="F98" s="166"/>
    </row>
    <row r="99" spans="1:6" ht="15.75" customHeight="1" x14ac:dyDescent="0.3">
      <c r="A99" s="164"/>
      <c r="B99" s="167"/>
      <c r="C99" s="157"/>
      <c r="D99" s="157"/>
      <c r="E99" s="157"/>
      <c r="F99" s="166"/>
    </row>
    <row r="100" spans="1:6" ht="15.75" customHeight="1" x14ac:dyDescent="0.3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3">
      <c r="A101" s="147"/>
      <c r="B101" s="148"/>
      <c r="C101" s="149"/>
      <c r="D101" s="149"/>
      <c r="E101" s="150"/>
      <c r="F101" s="151"/>
    </row>
    <row r="102" spans="1:6" ht="15.75" customHeight="1" x14ac:dyDescent="0.3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5">
      <c r="A103" s="147">
        <v>1</v>
      </c>
      <c r="B103" s="169" t="s">
        <v>233</v>
      </c>
      <c r="C103" s="157">
        <v>94877823</v>
      </c>
      <c r="D103" s="157">
        <v>103583466</v>
      </c>
      <c r="E103" s="157">
        <f t="shared" ref="E103:E121" si="4">D103-C103</f>
        <v>8705643</v>
      </c>
      <c r="F103" s="161">
        <f t="shared" ref="F103:F121" si="5">IF(C103=0,0,E103/C103)</f>
        <v>9.1756352799115135E-2</v>
      </c>
    </row>
    <row r="104" spans="1:6" ht="15" customHeight="1" x14ac:dyDescent="0.25">
      <c r="A104" s="147">
        <v>2</v>
      </c>
      <c r="B104" s="169" t="s">
        <v>234</v>
      </c>
      <c r="C104" s="157">
        <v>2828706</v>
      </c>
      <c r="D104" s="157">
        <v>2741491</v>
      </c>
      <c r="E104" s="157">
        <f t="shared" si="4"/>
        <v>-87215</v>
      </c>
      <c r="F104" s="161">
        <f t="shared" si="5"/>
        <v>-3.0832118997166903E-2</v>
      </c>
    </row>
    <row r="105" spans="1:6" ht="15" customHeight="1" x14ac:dyDescent="0.25">
      <c r="A105" s="147">
        <v>3</v>
      </c>
      <c r="B105" s="169" t="s">
        <v>235</v>
      </c>
      <c r="C105" s="157">
        <v>3067768</v>
      </c>
      <c r="D105" s="157">
        <v>2867195</v>
      </c>
      <c r="E105" s="157">
        <f t="shared" si="4"/>
        <v>-200573</v>
      </c>
      <c r="F105" s="161">
        <f t="shared" si="5"/>
        <v>-6.5380758910060996E-2</v>
      </c>
    </row>
    <row r="106" spans="1:6" ht="15" customHeight="1" x14ac:dyDescent="0.25">
      <c r="A106" s="147">
        <v>4</v>
      </c>
      <c r="B106" s="169" t="s">
        <v>236</v>
      </c>
      <c r="C106" s="157">
        <v>3262680</v>
      </c>
      <c r="D106" s="157">
        <v>3182824</v>
      </c>
      <c r="E106" s="157">
        <f t="shared" si="4"/>
        <v>-79856</v>
      </c>
      <c r="F106" s="161">
        <f t="shared" si="5"/>
        <v>-2.4475584488825138E-2</v>
      </c>
    </row>
    <row r="107" spans="1:6" ht="15" customHeight="1" x14ac:dyDescent="0.25">
      <c r="A107" s="147">
        <v>5</v>
      </c>
      <c r="B107" s="169" t="s">
        <v>237</v>
      </c>
      <c r="C107" s="157">
        <v>13770060</v>
      </c>
      <c r="D107" s="157">
        <v>15267040</v>
      </c>
      <c r="E107" s="157">
        <f t="shared" si="4"/>
        <v>1496980</v>
      </c>
      <c r="F107" s="161">
        <f t="shared" si="5"/>
        <v>0.1087126708235113</v>
      </c>
    </row>
    <row r="108" spans="1:6" ht="15" customHeight="1" x14ac:dyDescent="0.25">
      <c r="A108" s="147">
        <v>6</v>
      </c>
      <c r="B108" s="169" t="s">
        <v>238</v>
      </c>
      <c r="C108" s="157">
        <v>135971</v>
      </c>
      <c r="D108" s="157">
        <v>789311</v>
      </c>
      <c r="E108" s="157">
        <f t="shared" si="4"/>
        <v>653340</v>
      </c>
      <c r="F108" s="161">
        <f t="shared" si="5"/>
        <v>4.8049951827963318</v>
      </c>
    </row>
    <row r="109" spans="1:6" ht="15" customHeight="1" x14ac:dyDescent="0.25">
      <c r="A109" s="147">
        <v>7</v>
      </c>
      <c r="B109" s="169" t="s">
        <v>239</v>
      </c>
      <c r="C109" s="157">
        <v>5136453</v>
      </c>
      <c r="D109" s="157">
        <v>5279626</v>
      </c>
      <c r="E109" s="157">
        <f t="shared" si="4"/>
        <v>143173</v>
      </c>
      <c r="F109" s="161">
        <f t="shared" si="5"/>
        <v>2.7873904423928342E-2</v>
      </c>
    </row>
    <row r="110" spans="1:6" ht="15" customHeight="1" x14ac:dyDescent="0.25">
      <c r="A110" s="147">
        <v>8</v>
      </c>
      <c r="B110" s="169" t="s">
        <v>240</v>
      </c>
      <c r="C110" s="157">
        <v>2951739</v>
      </c>
      <c r="D110" s="157">
        <v>2816129</v>
      </c>
      <c r="E110" s="157">
        <f t="shared" si="4"/>
        <v>-135610</v>
      </c>
      <c r="F110" s="161">
        <f t="shared" si="5"/>
        <v>-4.5942408864740415E-2</v>
      </c>
    </row>
    <row r="111" spans="1:6" ht="15" customHeight="1" x14ac:dyDescent="0.25">
      <c r="A111" s="147">
        <v>9</v>
      </c>
      <c r="B111" s="169" t="s">
        <v>241</v>
      </c>
      <c r="C111" s="157">
        <v>2043397</v>
      </c>
      <c r="D111" s="157">
        <v>1849135</v>
      </c>
      <c r="E111" s="157">
        <f t="shared" si="4"/>
        <v>-194262</v>
      </c>
      <c r="F111" s="161">
        <f t="shared" si="5"/>
        <v>-9.5068163455265919E-2</v>
      </c>
    </row>
    <row r="112" spans="1:6" ht="15" customHeight="1" x14ac:dyDescent="0.25">
      <c r="A112" s="147">
        <v>10</v>
      </c>
      <c r="B112" s="169" t="s">
        <v>242</v>
      </c>
      <c r="C112" s="157">
        <v>6167483</v>
      </c>
      <c r="D112" s="157">
        <v>5900800</v>
      </c>
      <c r="E112" s="157">
        <f t="shared" si="4"/>
        <v>-266683</v>
      </c>
      <c r="F112" s="161">
        <f t="shared" si="5"/>
        <v>-4.3240167828593933E-2</v>
      </c>
    </row>
    <row r="113" spans="1:6" ht="15" customHeight="1" x14ac:dyDescent="0.25">
      <c r="A113" s="147">
        <v>11</v>
      </c>
      <c r="B113" s="169" t="s">
        <v>243</v>
      </c>
      <c r="C113" s="157">
        <v>4515206</v>
      </c>
      <c r="D113" s="157">
        <v>4510447</v>
      </c>
      <c r="E113" s="157">
        <f t="shared" si="4"/>
        <v>-4759</v>
      </c>
      <c r="F113" s="161">
        <f t="shared" si="5"/>
        <v>-1.0539939927436313E-3</v>
      </c>
    </row>
    <row r="114" spans="1:6" ht="15" customHeight="1" x14ac:dyDescent="0.25">
      <c r="A114" s="147">
        <v>12</v>
      </c>
      <c r="B114" s="169" t="s">
        <v>244</v>
      </c>
      <c r="C114" s="157">
        <v>1366437</v>
      </c>
      <c r="D114" s="157">
        <v>1302142</v>
      </c>
      <c r="E114" s="157">
        <f t="shared" si="4"/>
        <v>-64295</v>
      </c>
      <c r="F114" s="161">
        <f t="shared" si="5"/>
        <v>-4.7053029155387331E-2</v>
      </c>
    </row>
    <row r="115" spans="1:6" ht="15" customHeight="1" x14ac:dyDescent="0.25">
      <c r="A115" s="147">
        <v>13</v>
      </c>
      <c r="B115" s="169" t="s">
        <v>245</v>
      </c>
      <c r="C115" s="157">
        <v>4174031</v>
      </c>
      <c r="D115" s="157">
        <v>3299978</v>
      </c>
      <c r="E115" s="157">
        <f t="shared" si="4"/>
        <v>-874053</v>
      </c>
      <c r="F115" s="161">
        <f t="shared" si="5"/>
        <v>-0.20940261344489297</v>
      </c>
    </row>
    <row r="116" spans="1:6" ht="15" customHeight="1" x14ac:dyDescent="0.25">
      <c r="A116" s="147">
        <v>14</v>
      </c>
      <c r="B116" s="169" t="s">
        <v>246</v>
      </c>
      <c r="C116" s="157">
        <v>5318009</v>
      </c>
      <c r="D116" s="157">
        <v>4891595</v>
      </c>
      <c r="E116" s="157">
        <f t="shared" si="4"/>
        <v>-426414</v>
      </c>
      <c r="F116" s="161">
        <f t="shared" si="5"/>
        <v>-8.0183015861763296E-2</v>
      </c>
    </row>
    <row r="117" spans="1:6" ht="15" customHeight="1" x14ac:dyDescent="0.25">
      <c r="A117" s="147">
        <v>15</v>
      </c>
      <c r="B117" s="169" t="s">
        <v>203</v>
      </c>
      <c r="C117" s="157">
        <v>4937053</v>
      </c>
      <c r="D117" s="157">
        <v>5846275</v>
      </c>
      <c r="E117" s="157">
        <f t="shared" si="4"/>
        <v>909222</v>
      </c>
      <c r="F117" s="161">
        <f t="shared" si="5"/>
        <v>0.18416290041852904</v>
      </c>
    </row>
    <row r="118" spans="1:6" ht="15" customHeight="1" x14ac:dyDescent="0.25">
      <c r="A118" s="147">
        <v>16</v>
      </c>
      <c r="B118" s="169" t="s">
        <v>247</v>
      </c>
      <c r="C118" s="157">
        <v>1684328</v>
      </c>
      <c r="D118" s="157">
        <v>1712714</v>
      </c>
      <c r="E118" s="157">
        <f t="shared" si="4"/>
        <v>28386</v>
      </c>
      <c r="F118" s="161">
        <f t="shared" si="5"/>
        <v>1.6853012002412831E-2</v>
      </c>
    </row>
    <row r="119" spans="1:6" ht="15" customHeight="1" x14ac:dyDescent="0.25">
      <c r="A119" s="147">
        <v>17</v>
      </c>
      <c r="B119" s="169" t="s">
        <v>248</v>
      </c>
      <c r="C119" s="157">
        <v>12088670</v>
      </c>
      <c r="D119" s="157">
        <v>10283132</v>
      </c>
      <c r="E119" s="157">
        <f t="shared" si="4"/>
        <v>-1805538</v>
      </c>
      <c r="F119" s="161">
        <f t="shared" si="5"/>
        <v>-0.14935786980701765</v>
      </c>
    </row>
    <row r="120" spans="1:6" ht="15" customHeight="1" x14ac:dyDescent="0.25">
      <c r="A120" s="147">
        <v>18</v>
      </c>
      <c r="B120" s="169" t="s">
        <v>249</v>
      </c>
      <c r="C120" s="157">
        <v>9269408</v>
      </c>
      <c r="D120" s="157">
        <v>14650995</v>
      </c>
      <c r="E120" s="157">
        <f t="shared" si="4"/>
        <v>5381587</v>
      </c>
      <c r="F120" s="161">
        <f t="shared" si="5"/>
        <v>0.58057504858994236</v>
      </c>
    </row>
    <row r="121" spans="1:6" ht="15.75" customHeight="1" x14ac:dyDescent="0.3">
      <c r="A121" s="147"/>
      <c r="B121" s="165" t="s">
        <v>250</v>
      </c>
      <c r="C121" s="158">
        <f>SUM(C103:C120)</f>
        <v>177595222</v>
      </c>
      <c r="D121" s="158">
        <f>SUM(D103:D120)</f>
        <v>190774295</v>
      </c>
      <c r="E121" s="158">
        <f t="shared" si="4"/>
        <v>13179073</v>
      </c>
      <c r="F121" s="159">
        <f t="shared" si="5"/>
        <v>7.42084885594501E-2</v>
      </c>
    </row>
    <row r="122" spans="1:6" ht="15.75" customHeight="1" x14ac:dyDescent="0.3">
      <c r="A122" s="147"/>
      <c r="B122" s="170"/>
      <c r="C122" s="157"/>
      <c r="D122" s="157"/>
      <c r="E122" s="158"/>
      <c r="F122" s="151"/>
    </row>
    <row r="123" spans="1:6" ht="15.75" customHeight="1" x14ac:dyDescent="0.3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5">
      <c r="A124" s="147">
        <v>1</v>
      </c>
      <c r="B124" s="169" t="s">
        <v>252</v>
      </c>
      <c r="C124" s="157">
        <v>3864635</v>
      </c>
      <c r="D124" s="157">
        <v>5824585</v>
      </c>
      <c r="E124" s="157">
        <f t="shared" ref="E124:E130" si="6">D124-C124</f>
        <v>1959950</v>
      </c>
      <c r="F124" s="161">
        <f t="shared" ref="F124:F130" si="7">IF(C124=0,0,E124/C124)</f>
        <v>0.50715009308770431</v>
      </c>
    </row>
    <row r="125" spans="1:6" ht="15" customHeight="1" x14ac:dyDescent="0.25">
      <c r="A125" s="147">
        <v>2</v>
      </c>
      <c r="B125" s="169" t="s">
        <v>253</v>
      </c>
      <c r="C125" s="157">
        <v>5140934</v>
      </c>
      <c r="D125" s="157">
        <v>7191231</v>
      </c>
      <c r="E125" s="157">
        <f t="shared" si="6"/>
        <v>2050297</v>
      </c>
      <c r="F125" s="161">
        <f t="shared" si="7"/>
        <v>0.39881799688539088</v>
      </c>
    </row>
    <row r="126" spans="1:6" ht="15" customHeight="1" x14ac:dyDescent="0.25">
      <c r="A126" s="147">
        <v>3</v>
      </c>
      <c r="B126" s="169" t="s">
        <v>254</v>
      </c>
      <c r="C126" s="157">
        <v>4311708</v>
      </c>
      <c r="D126" s="157">
        <v>4132250</v>
      </c>
      <c r="E126" s="157">
        <f t="shared" si="6"/>
        <v>-179458</v>
      </c>
      <c r="F126" s="161">
        <f t="shared" si="7"/>
        <v>-4.1621093079587022E-2</v>
      </c>
    </row>
    <row r="127" spans="1:6" ht="15" customHeight="1" x14ac:dyDescent="0.25">
      <c r="A127" s="147">
        <v>4</v>
      </c>
      <c r="B127" s="169" t="s">
        <v>255</v>
      </c>
      <c r="C127" s="157">
        <v>3595831</v>
      </c>
      <c r="D127" s="157">
        <v>2650036</v>
      </c>
      <c r="E127" s="157">
        <f t="shared" si="6"/>
        <v>-945795</v>
      </c>
      <c r="F127" s="161">
        <f t="shared" si="7"/>
        <v>-0.26302543139541318</v>
      </c>
    </row>
    <row r="128" spans="1:6" ht="15" customHeight="1" x14ac:dyDescent="0.25">
      <c r="A128" s="147">
        <v>5</v>
      </c>
      <c r="B128" s="169" t="s">
        <v>256</v>
      </c>
      <c r="C128" s="157">
        <v>2458539</v>
      </c>
      <c r="D128" s="157">
        <v>2530600</v>
      </c>
      <c r="E128" s="157">
        <f t="shared" si="6"/>
        <v>72061</v>
      </c>
      <c r="F128" s="161">
        <f t="shared" si="7"/>
        <v>2.9310497006555518E-2</v>
      </c>
    </row>
    <row r="129" spans="1:6" ht="15" customHeight="1" x14ac:dyDescent="0.25">
      <c r="A129" s="147">
        <v>6</v>
      </c>
      <c r="B129" s="169" t="s">
        <v>257</v>
      </c>
      <c r="C129" s="157">
        <v>993052</v>
      </c>
      <c r="D129" s="157">
        <v>835837</v>
      </c>
      <c r="E129" s="157">
        <f t="shared" si="6"/>
        <v>-157215</v>
      </c>
      <c r="F129" s="161">
        <f t="shared" si="7"/>
        <v>-0.15831497242843276</v>
      </c>
    </row>
    <row r="130" spans="1:6" ht="15.75" customHeight="1" x14ac:dyDescent="0.3">
      <c r="A130" s="147"/>
      <c r="B130" s="165" t="s">
        <v>258</v>
      </c>
      <c r="C130" s="158">
        <f>SUM(C124:C129)</f>
        <v>20364699</v>
      </c>
      <c r="D130" s="158">
        <f>SUM(D124:D129)</f>
        <v>23164539</v>
      </c>
      <c r="E130" s="158">
        <f t="shared" si="6"/>
        <v>2799840</v>
      </c>
      <c r="F130" s="159">
        <f t="shared" si="7"/>
        <v>0.13748496847412278</v>
      </c>
    </row>
    <row r="131" spans="1:6" ht="15.75" customHeight="1" x14ac:dyDescent="0.3">
      <c r="A131" s="147"/>
      <c r="B131" s="170"/>
      <c r="C131" s="157"/>
      <c r="D131" s="157"/>
      <c r="E131" s="158"/>
      <c r="F131" s="151"/>
    </row>
    <row r="132" spans="1:6" ht="15.75" customHeight="1" x14ac:dyDescent="0.3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5">
      <c r="A133" s="147">
        <v>1</v>
      </c>
      <c r="B133" s="169" t="s">
        <v>260</v>
      </c>
      <c r="C133" s="157">
        <v>11039053</v>
      </c>
      <c r="D133" s="157">
        <v>11714941</v>
      </c>
      <c r="E133" s="157">
        <f t="shared" ref="E133:E167" si="8">D133-C133</f>
        <v>675888</v>
      </c>
      <c r="F133" s="161">
        <f t="shared" ref="F133:F167" si="9">IF(C133=0,0,E133/C133)</f>
        <v>6.1226991119618684E-2</v>
      </c>
    </row>
    <row r="134" spans="1:6" ht="15" customHeight="1" x14ac:dyDescent="0.25">
      <c r="A134" s="147">
        <v>2</v>
      </c>
      <c r="B134" s="169" t="s">
        <v>261</v>
      </c>
      <c r="C134" s="157">
        <v>1991870</v>
      </c>
      <c r="D134" s="157">
        <v>1902474</v>
      </c>
      <c r="E134" s="157">
        <f t="shared" si="8"/>
        <v>-89396</v>
      </c>
      <c r="F134" s="161">
        <f t="shared" si="9"/>
        <v>-4.4880438984471881E-2</v>
      </c>
    </row>
    <row r="135" spans="1:6" ht="15" customHeight="1" x14ac:dyDescent="0.25">
      <c r="A135" s="147">
        <v>3</v>
      </c>
      <c r="B135" s="169" t="s">
        <v>262</v>
      </c>
      <c r="C135" s="157">
        <v>1304450</v>
      </c>
      <c r="D135" s="157">
        <v>888334</v>
      </c>
      <c r="E135" s="157">
        <f t="shared" si="8"/>
        <v>-416116</v>
      </c>
      <c r="F135" s="161">
        <f t="shared" si="9"/>
        <v>-0.31899727854651383</v>
      </c>
    </row>
    <row r="136" spans="1:6" ht="15" customHeight="1" x14ac:dyDescent="0.25">
      <c r="A136" s="147">
        <v>4</v>
      </c>
      <c r="B136" s="169" t="s">
        <v>263</v>
      </c>
      <c r="C136" s="157">
        <v>3612492</v>
      </c>
      <c r="D136" s="157">
        <v>3529744</v>
      </c>
      <c r="E136" s="157">
        <f t="shared" si="8"/>
        <v>-82748</v>
      </c>
      <c r="F136" s="161">
        <f t="shared" si="9"/>
        <v>-2.2906071487493952E-2</v>
      </c>
    </row>
    <row r="137" spans="1:6" ht="15" customHeight="1" x14ac:dyDescent="0.25">
      <c r="A137" s="147">
        <v>5</v>
      </c>
      <c r="B137" s="169" t="s">
        <v>264</v>
      </c>
      <c r="C137" s="157">
        <v>16683853</v>
      </c>
      <c r="D137" s="157">
        <v>14703266</v>
      </c>
      <c r="E137" s="157">
        <f t="shared" si="8"/>
        <v>-1980587</v>
      </c>
      <c r="F137" s="161">
        <f t="shared" si="9"/>
        <v>-0.11871280572898839</v>
      </c>
    </row>
    <row r="138" spans="1:6" ht="15" customHeight="1" x14ac:dyDescent="0.25">
      <c r="A138" s="147">
        <v>6</v>
      </c>
      <c r="B138" s="169" t="s">
        <v>265</v>
      </c>
      <c r="C138" s="157">
        <v>808822</v>
      </c>
      <c r="D138" s="157">
        <v>1111932</v>
      </c>
      <c r="E138" s="157">
        <f t="shared" si="8"/>
        <v>303110</v>
      </c>
      <c r="F138" s="161">
        <f t="shared" si="9"/>
        <v>0.374754890445611</v>
      </c>
    </row>
    <row r="139" spans="1:6" ht="15" customHeight="1" x14ac:dyDescent="0.25">
      <c r="A139" s="147">
        <v>7</v>
      </c>
      <c r="B139" s="169" t="s">
        <v>266</v>
      </c>
      <c r="C139" s="157">
        <v>2233595</v>
      </c>
      <c r="D139" s="157">
        <v>2172888</v>
      </c>
      <c r="E139" s="157">
        <f t="shared" si="8"/>
        <v>-60707</v>
      </c>
      <c r="F139" s="161">
        <f t="shared" si="9"/>
        <v>-2.7179054394373195E-2</v>
      </c>
    </row>
    <row r="140" spans="1:6" ht="15" customHeight="1" x14ac:dyDescent="0.25">
      <c r="A140" s="147">
        <v>8</v>
      </c>
      <c r="B140" s="169" t="s">
        <v>267</v>
      </c>
      <c r="C140" s="157">
        <v>1051983</v>
      </c>
      <c r="D140" s="157">
        <v>821854</v>
      </c>
      <c r="E140" s="157">
        <f t="shared" si="8"/>
        <v>-230129</v>
      </c>
      <c r="F140" s="161">
        <f t="shared" si="9"/>
        <v>-0.21875733733339797</v>
      </c>
    </row>
    <row r="141" spans="1:6" ht="15" customHeight="1" x14ac:dyDescent="0.25">
      <c r="A141" s="147">
        <v>9</v>
      </c>
      <c r="B141" s="169" t="s">
        <v>268</v>
      </c>
      <c r="C141" s="157">
        <v>1319241</v>
      </c>
      <c r="D141" s="157">
        <v>1233379</v>
      </c>
      <c r="E141" s="157">
        <f t="shared" si="8"/>
        <v>-85862</v>
      </c>
      <c r="F141" s="161">
        <f t="shared" si="9"/>
        <v>-6.5084393223072967E-2</v>
      </c>
    </row>
    <row r="142" spans="1:6" ht="15" customHeight="1" x14ac:dyDescent="0.25">
      <c r="A142" s="147">
        <v>10</v>
      </c>
      <c r="B142" s="169" t="s">
        <v>269</v>
      </c>
      <c r="C142" s="157">
        <v>12464652</v>
      </c>
      <c r="D142" s="157">
        <v>13056812</v>
      </c>
      <c r="E142" s="157">
        <f t="shared" si="8"/>
        <v>592160</v>
      </c>
      <c r="F142" s="161">
        <f t="shared" si="9"/>
        <v>4.7507142598124684E-2</v>
      </c>
    </row>
    <row r="143" spans="1:6" ht="15" customHeight="1" x14ac:dyDescent="0.25">
      <c r="A143" s="147">
        <v>11</v>
      </c>
      <c r="B143" s="169" t="s">
        <v>270</v>
      </c>
      <c r="C143" s="157">
        <v>1093572</v>
      </c>
      <c r="D143" s="157">
        <v>875495</v>
      </c>
      <c r="E143" s="157">
        <f t="shared" si="8"/>
        <v>-218077</v>
      </c>
      <c r="F143" s="161">
        <f t="shared" si="9"/>
        <v>-0.19941713942931968</v>
      </c>
    </row>
    <row r="144" spans="1:6" ht="15" customHeight="1" x14ac:dyDescent="0.25">
      <c r="A144" s="147">
        <v>12</v>
      </c>
      <c r="B144" s="169" t="s">
        <v>271</v>
      </c>
      <c r="C144" s="157">
        <v>0</v>
      </c>
      <c r="D144" s="157">
        <v>0</v>
      </c>
      <c r="E144" s="157">
        <f t="shared" si="8"/>
        <v>0</v>
      </c>
      <c r="F144" s="161">
        <f t="shared" si="9"/>
        <v>0</v>
      </c>
    </row>
    <row r="145" spans="1:6" ht="15" customHeight="1" x14ac:dyDescent="0.25">
      <c r="A145" s="147">
        <v>13</v>
      </c>
      <c r="B145" s="169" t="s">
        <v>272</v>
      </c>
      <c r="C145" s="157">
        <v>1393724</v>
      </c>
      <c r="D145" s="157">
        <v>1415652</v>
      </c>
      <c r="E145" s="157">
        <f t="shared" si="8"/>
        <v>21928</v>
      </c>
      <c r="F145" s="161">
        <f t="shared" si="9"/>
        <v>1.5733387672164648E-2</v>
      </c>
    </row>
    <row r="146" spans="1:6" ht="15" customHeight="1" x14ac:dyDescent="0.25">
      <c r="A146" s="147">
        <v>14</v>
      </c>
      <c r="B146" s="169" t="s">
        <v>273</v>
      </c>
      <c r="C146" s="157">
        <v>493058</v>
      </c>
      <c r="D146" s="157">
        <v>461894</v>
      </c>
      <c r="E146" s="157">
        <f t="shared" si="8"/>
        <v>-31164</v>
      </c>
      <c r="F146" s="161">
        <f t="shared" si="9"/>
        <v>-6.3205545797857449E-2</v>
      </c>
    </row>
    <row r="147" spans="1:6" ht="15" customHeight="1" x14ac:dyDescent="0.25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5">
      <c r="A148" s="147">
        <v>16</v>
      </c>
      <c r="B148" s="169" t="s">
        <v>275</v>
      </c>
      <c r="C148" s="157">
        <v>192130</v>
      </c>
      <c r="D148" s="157">
        <v>223299</v>
      </c>
      <c r="E148" s="157">
        <f t="shared" si="8"/>
        <v>31169</v>
      </c>
      <c r="F148" s="161">
        <f t="shared" si="9"/>
        <v>0.16222869931816999</v>
      </c>
    </row>
    <row r="149" spans="1:6" ht="15" customHeight="1" x14ac:dyDescent="0.25">
      <c r="A149" s="147">
        <v>17</v>
      </c>
      <c r="B149" s="169" t="s">
        <v>276</v>
      </c>
      <c r="C149" s="157">
        <v>302488</v>
      </c>
      <c r="D149" s="157">
        <v>265120</v>
      </c>
      <c r="E149" s="157">
        <f t="shared" si="8"/>
        <v>-37368</v>
      </c>
      <c r="F149" s="161">
        <f t="shared" si="9"/>
        <v>-0.12353547909338553</v>
      </c>
    </row>
    <row r="150" spans="1:6" ht="15" customHeight="1" x14ac:dyDescent="0.25">
      <c r="A150" s="147">
        <v>18</v>
      </c>
      <c r="B150" s="169" t="s">
        <v>277</v>
      </c>
      <c r="C150" s="157">
        <v>2081553</v>
      </c>
      <c r="D150" s="157">
        <v>2109471</v>
      </c>
      <c r="E150" s="157">
        <f t="shared" si="8"/>
        <v>27918</v>
      </c>
      <c r="F150" s="161">
        <f t="shared" si="9"/>
        <v>1.341210144541119E-2</v>
      </c>
    </row>
    <row r="151" spans="1:6" ht="15" customHeight="1" x14ac:dyDescent="0.25">
      <c r="A151" s="147">
        <v>19</v>
      </c>
      <c r="B151" s="169" t="s">
        <v>278</v>
      </c>
      <c r="C151" s="157">
        <v>834869</v>
      </c>
      <c r="D151" s="157">
        <v>1365579</v>
      </c>
      <c r="E151" s="157">
        <f t="shared" si="8"/>
        <v>530710</v>
      </c>
      <c r="F151" s="161">
        <f t="shared" si="9"/>
        <v>0.63568056784956684</v>
      </c>
    </row>
    <row r="152" spans="1:6" ht="15" customHeight="1" x14ac:dyDescent="0.25">
      <c r="A152" s="147">
        <v>20</v>
      </c>
      <c r="B152" s="169" t="s">
        <v>279</v>
      </c>
      <c r="C152" s="157">
        <v>7578269</v>
      </c>
      <c r="D152" s="157">
        <v>22091198</v>
      </c>
      <c r="E152" s="157">
        <f t="shared" si="8"/>
        <v>14512929</v>
      </c>
      <c r="F152" s="161">
        <f t="shared" si="9"/>
        <v>1.9150717663888679</v>
      </c>
    </row>
    <row r="153" spans="1:6" ht="15" customHeight="1" x14ac:dyDescent="0.25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5">
      <c r="A154" s="147">
        <v>22</v>
      </c>
      <c r="B154" s="169" t="s">
        <v>281</v>
      </c>
      <c r="C154" s="157">
        <v>3974004</v>
      </c>
      <c r="D154" s="157">
        <v>2920491</v>
      </c>
      <c r="E154" s="157">
        <f t="shared" si="8"/>
        <v>-1053513</v>
      </c>
      <c r="F154" s="161">
        <f t="shared" si="9"/>
        <v>-0.26510114232396342</v>
      </c>
    </row>
    <row r="155" spans="1:6" ht="15" customHeight="1" x14ac:dyDescent="0.25">
      <c r="A155" s="147">
        <v>23</v>
      </c>
      <c r="B155" s="169" t="s">
        <v>282</v>
      </c>
      <c r="C155" s="157">
        <v>658295</v>
      </c>
      <c r="D155" s="157">
        <v>643408</v>
      </c>
      <c r="E155" s="157">
        <f t="shared" si="8"/>
        <v>-14887</v>
      </c>
      <c r="F155" s="161">
        <f t="shared" si="9"/>
        <v>-2.2614481349546935E-2</v>
      </c>
    </row>
    <row r="156" spans="1:6" ht="15" customHeight="1" x14ac:dyDescent="0.25">
      <c r="A156" s="147">
        <v>24</v>
      </c>
      <c r="B156" s="169" t="s">
        <v>283</v>
      </c>
      <c r="C156" s="157">
        <v>16887712</v>
      </c>
      <c r="D156" s="157">
        <v>16773458</v>
      </c>
      <c r="E156" s="157">
        <f t="shared" si="8"/>
        <v>-114254</v>
      </c>
      <c r="F156" s="161">
        <f t="shared" si="9"/>
        <v>-6.7655109229716849E-3</v>
      </c>
    </row>
    <row r="157" spans="1:6" ht="15" customHeight="1" x14ac:dyDescent="0.25">
      <c r="A157" s="147">
        <v>25</v>
      </c>
      <c r="B157" s="169" t="s">
        <v>284</v>
      </c>
      <c r="C157" s="157">
        <v>1186938</v>
      </c>
      <c r="D157" s="157">
        <v>1133009</v>
      </c>
      <c r="E157" s="157">
        <f t="shared" si="8"/>
        <v>-53929</v>
      </c>
      <c r="F157" s="161">
        <f t="shared" si="9"/>
        <v>-4.5435397636607811E-2</v>
      </c>
    </row>
    <row r="158" spans="1:6" ht="15" customHeight="1" x14ac:dyDescent="0.25">
      <c r="A158" s="147">
        <v>26</v>
      </c>
      <c r="B158" s="169" t="s">
        <v>285</v>
      </c>
      <c r="C158" s="157">
        <v>322260</v>
      </c>
      <c r="D158" s="157">
        <v>5476</v>
      </c>
      <c r="E158" s="157">
        <f t="shared" si="8"/>
        <v>-316784</v>
      </c>
      <c r="F158" s="161">
        <f t="shared" si="9"/>
        <v>-0.98300750946440763</v>
      </c>
    </row>
    <row r="159" spans="1:6" ht="15" customHeight="1" x14ac:dyDescent="0.25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5">
      <c r="A160" s="147">
        <v>28</v>
      </c>
      <c r="B160" s="169" t="s">
        <v>287</v>
      </c>
      <c r="C160" s="157">
        <v>3402511</v>
      </c>
      <c r="D160" s="157">
        <v>3998142</v>
      </c>
      <c r="E160" s="157">
        <f t="shared" si="8"/>
        <v>595631</v>
      </c>
      <c r="F160" s="161">
        <f t="shared" si="9"/>
        <v>0.17505630400607081</v>
      </c>
    </row>
    <row r="161" spans="1:6" ht="15" customHeight="1" x14ac:dyDescent="0.25">
      <c r="A161" s="147">
        <v>29</v>
      </c>
      <c r="B161" s="169" t="s">
        <v>288</v>
      </c>
      <c r="C161" s="157">
        <v>1223486</v>
      </c>
      <c r="D161" s="157">
        <v>1231260</v>
      </c>
      <c r="E161" s="157">
        <f t="shared" si="8"/>
        <v>7774</v>
      </c>
      <c r="F161" s="161">
        <f t="shared" si="9"/>
        <v>6.3539754439364245E-3</v>
      </c>
    </row>
    <row r="162" spans="1:6" ht="15" customHeight="1" x14ac:dyDescent="0.25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5">
      <c r="A163" s="147">
        <v>31</v>
      </c>
      <c r="B163" s="169" t="s">
        <v>290</v>
      </c>
      <c r="C163" s="157">
        <v>5583940</v>
      </c>
      <c r="D163" s="157">
        <v>4788183</v>
      </c>
      <c r="E163" s="157">
        <f t="shared" si="8"/>
        <v>-795757</v>
      </c>
      <c r="F163" s="161">
        <f t="shared" si="9"/>
        <v>-0.14250815732260733</v>
      </c>
    </row>
    <row r="164" spans="1:6" ht="15" customHeight="1" x14ac:dyDescent="0.25">
      <c r="A164" s="147">
        <v>32</v>
      </c>
      <c r="B164" s="169" t="s">
        <v>291</v>
      </c>
      <c r="C164" s="157">
        <v>4867709</v>
      </c>
      <c r="D164" s="157">
        <v>4853919</v>
      </c>
      <c r="E164" s="157">
        <f t="shared" si="8"/>
        <v>-13790</v>
      </c>
      <c r="F164" s="161">
        <f t="shared" si="9"/>
        <v>-2.8329548869909849E-3</v>
      </c>
    </row>
    <row r="165" spans="1:6" ht="15" customHeight="1" x14ac:dyDescent="0.25">
      <c r="A165" s="147">
        <v>33</v>
      </c>
      <c r="B165" s="169" t="s">
        <v>292</v>
      </c>
      <c r="C165" s="157">
        <v>359317</v>
      </c>
      <c r="D165" s="157">
        <v>329370</v>
      </c>
      <c r="E165" s="157">
        <f t="shared" si="8"/>
        <v>-29947</v>
      </c>
      <c r="F165" s="161">
        <f t="shared" si="9"/>
        <v>-8.3344233643273216E-2</v>
      </c>
    </row>
    <row r="166" spans="1:6" ht="15" customHeight="1" x14ac:dyDescent="0.25">
      <c r="A166" s="147">
        <v>34</v>
      </c>
      <c r="B166" s="169" t="s">
        <v>293</v>
      </c>
      <c r="C166" s="157">
        <v>14022454</v>
      </c>
      <c r="D166" s="157">
        <v>15504745</v>
      </c>
      <c r="E166" s="157">
        <f t="shared" si="8"/>
        <v>1482291</v>
      </c>
      <c r="F166" s="161">
        <f t="shared" si="9"/>
        <v>0.10570838741920636</v>
      </c>
    </row>
    <row r="167" spans="1:6" ht="15.75" customHeight="1" x14ac:dyDescent="0.3">
      <c r="A167" s="147"/>
      <c r="B167" s="165" t="s">
        <v>294</v>
      </c>
      <c r="C167" s="158">
        <f>SUM(C133:C166)</f>
        <v>118968300</v>
      </c>
      <c r="D167" s="158">
        <f>SUM(D133:D166)</f>
        <v>132124793</v>
      </c>
      <c r="E167" s="158">
        <f t="shared" si="8"/>
        <v>13156493</v>
      </c>
      <c r="F167" s="159">
        <f t="shared" si="9"/>
        <v>0.11058822392183464</v>
      </c>
    </row>
    <row r="168" spans="1:6" ht="15.75" customHeight="1" x14ac:dyDescent="0.3">
      <c r="A168" s="147"/>
      <c r="B168" s="170"/>
      <c r="C168" s="157"/>
      <c r="D168" s="157"/>
      <c r="E168" s="158"/>
      <c r="F168" s="151"/>
    </row>
    <row r="169" spans="1:6" ht="15.75" customHeight="1" x14ac:dyDescent="0.3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5">
      <c r="A170" s="147">
        <v>1</v>
      </c>
      <c r="B170" s="169" t="s">
        <v>296</v>
      </c>
      <c r="C170" s="157">
        <v>15899700</v>
      </c>
      <c r="D170" s="157">
        <v>15090854</v>
      </c>
      <c r="E170" s="157">
        <f t="shared" ref="E170:E183" si="10">D170-C170</f>
        <v>-808846</v>
      </c>
      <c r="F170" s="161">
        <f t="shared" ref="F170:F183" si="11">IF(C170=0,0,E170/C170)</f>
        <v>-5.0871777454920532E-2</v>
      </c>
    </row>
    <row r="171" spans="1:6" ht="15" customHeight="1" x14ac:dyDescent="0.25">
      <c r="A171" s="147">
        <v>2</v>
      </c>
      <c r="B171" s="169" t="s">
        <v>297</v>
      </c>
      <c r="C171" s="157">
        <v>4306593</v>
      </c>
      <c r="D171" s="157">
        <v>4085919</v>
      </c>
      <c r="E171" s="157">
        <f t="shared" si="10"/>
        <v>-220674</v>
      </c>
      <c r="F171" s="161">
        <f t="shared" si="11"/>
        <v>-5.12409693695225E-2</v>
      </c>
    </row>
    <row r="172" spans="1:6" ht="15" customHeight="1" x14ac:dyDescent="0.25">
      <c r="A172" s="147">
        <v>3</v>
      </c>
      <c r="B172" s="169" t="s">
        <v>298</v>
      </c>
      <c r="C172" s="157">
        <v>4980454</v>
      </c>
      <c r="D172" s="157">
        <v>4932482</v>
      </c>
      <c r="E172" s="157">
        <f t="shared" si="10"/>
        <v>-47972</v>
      </c>
      <c r="F172" s="161">
        <f t="shared" si="11"/>
        <v>-9.6320536240270468E-3</v>
      </c>
    </row>
    <row r="173" spans="1:6" ht="15" customHeight="1" x14ac:dyDescent="0.25">
      <c r="A173" s="147">
        <v>4</v>
      </c>
      <c r="B173" s="169" t="s">
        <v>299</v>
      </c>
      <c r="C173" s="157">
        <v>2265565</v>
      </c>
      <c r="D173" s="157">
        <v>2308927</v>
      </c>
      <c r="E173" s="157">
        <f t="shared" si="10"/>
        <v>43362</v>
      </c>
      <c r="F173" s="161">
        <f t="shared" si="11"/>
        <v>1.9139596524487268E-2</v>
      </c>
    </row>
    <row r="174" spans="1:6" ht="15" customHeight="1" x14ac:dyDescent="0.25">
      <c r="A174" s="147">
        <v>5</v>
      </c>
      <c r="B174" s="169" t="s">
        <v>300</v>
      </c>
      <c r="C174" s="157">
        <v>1796955</v>
      </c>
      <c r="D174" s="157">
        <v>1956442</v>
      </c>
      <c r="E174" s="157">
        <f t="shared" si="10"/>
        <v>159487</v>
      </c>
      <c r="F174" s="161">
        <f t="shared" si="11"/>
        <v>8.8754031124875135E-2</v>
      </c>
    </row>
    <row r="175" spans="1:6" ht="15" customHeight="1" x14ac:dyDescent="0.25">
      <c r="A175" s="147">
        <v>6</v>
      </c>
      <c r="B175" s="169" t="s">
        <v>301</v>
      </c>
      <c r="C175" s="157">
        <v>3597389</v>
      </c>
      <c r="D175" s="157">
        <v>3646602</v>
      </c>
      <c r="E175" s="157">
        <f t="shared" si="10"/>
        <v>49213</v>
      </c>
      <c r="F175" s="161">
        <f t="shared" si="11"/>
        <v>1.3680199722632165E-2</v>
      </c>
    </row>
    <row r="176" spans="1:6" ht="15" customHeight="1" x14ac:dyDescent="0.25">
      <c r="A176" s="147">
        <v>7</v>
      </c>
      <c r="B176" s="169" t="s">
        <v>302</v>
      </c>
      <c r="C176" s="157">
        <v>122058</v>
      </c>
      <c r="D176" s="157">
        <v>141603</v>
      </c>
      <c r="E176" s="157">
        <f t="shared" si="10"/>
        <v>19545</v>
      </c>
      <c r="F176" s="161">
        <f t="shared" si="11"/>
        <v>0.16012879123039866</v>
      </c>
    </row>
    <row r="177" spans="1:6" ht="15" customHeight="1" x14ac:dyDescent="0.25">
      <c r="A177" s="147">
        <v>8</v>
      </c>
      <c r="B177" s="169" t="s">
        <v>303</v>
      </c>
      <c r="C177" s="157">
        <v>1684554</v>
      </c>
      <c r="D177" s="157">
        <v>1533754</v>
      </c>
      <c r="E177" s="157">
        <f t="shared" si="10"/>
        <v>-150800</v>
      </c>
      <c r="F177" s="161">
        <f t="shared" si="11"/>
        <v>-8.95192436692442E-2</v>
      </c>
    </row>
    <row r="178" spans="1:6" ht="15" customHeight="1" x14ac:dyDescent="0.25">
      <c r="A178" s="147">
        <v>9</v>
      </c>
      <c r="B178" s="169" t="s">
        <v>304</v>
      </c>
      <c r="C178" s="157">
        <v>907242</v>
      </c>
      <c r="D178" s="157">
        <v>0</v>
      </c>
      <c r="E178" s="157">
        <f t="shared" si="10"/>
        <v>-907242</v>
      </c>
      <c r="F178" s="161">
        <f t="shared" si="11"/>
        <v>-1</v>
      </c>
    </row>
    <row r="179" spans="1:6" ht="15" customHeight="1" x14ac:dyDescent="0.25">
      <c r="A179" s="147">
        <v>10</v>
      </c>
      <c r="B179" s="169" t="s">
        <v>305</v>
      </c>
      <c r="C179" s="157">
        <v>1790141</v>
      </c>
      <c r="D179" s="157">
        <v>1854332</v>
      </c>
      <c r="E179" s="157">
        <f t="shared" si="10"/>
        <v>64191</v>
      </c>
      <c r="F179" s="161">
        <f t="shared" si="11"/>
        <v>3.5858069280576221E-2</v>
      </c>
    </row>
    <row r="180" spans="1:6" ht="15" customHeight="1" x14ac:dyDescent="0.25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5">
      <c r="A181" s="147">
        <v>12</v>
      </c>
      <c r="B181" s="169" t="s">
        <v>307</v>
      </c>
      <c r="C181" s="157">
        <v>537128</v>
      </c>
      <c r="D181" s="157">
        <v>532205</v>
      </c>
      <c r="E181" s="157">
        <f t="shared" si="10"/>
        <v>-4923</v>
      </c>
      <c r="F181" s="161">
        <f t="shared" si="11"/>
        <v>-9.1654130858938657E-3</v>
      </c>
    </row>
    <row r="182" spans="1:6" ht="15" customHeight="1" x14ac:dyDescent="0.25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3">
      <c r="A183" s="147"/>
      <c r="B183" s="165" t="s">
        <v>309</v>
      </c>
      <c r="C183" s="158">
        <f>SUM(C170:C182)</f>
        <v>37887779</v>
      </c>
      <c r="D183" s="158">
        <f>SUM(D170:D182)</f>
        <v>36083120</v>
      </c>
      <c r="E183" s="158">
        <f t="shared" si="10"/>
        <v>-1804659</v>
      </c>
      <c r="F183" s="159">
        <f t="shared" si="11"/>
        <v>-4.7631691474974029E-2</v>
      </c>
    </row>
    <row r="184" spans="1:6" ht="15.75" customHeight="1" x14ac:dyDescent="0.3">
      <c r="A184" s="147"/>
      <c r="B184" s="170"/>
      <c r="C184" s="157"/>
      <c r="D184" s="157"/>
      <c r="E184" s="158"/>
      <c r="F184" s="151"/>
    </row>
    <row r="185" spans="1:6" ht="15.75" customHeight="1" x14ac:dyDescent="0.3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5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3">
      <c r="A187" s="147"/>
      <c r="B187" s="170"/>
      <c r="C187" s="157"/>
      <c r="D187" s="157"/>
      <c r="E187" s="158"/>
      <c r="F187" s="151"/>
    </row>
    <row r="188" spans="1:6" ht="15.75" customHeight="1" x14ac:dyDescent="0.3">
      <c r="A188" s="164"/>
      <c r="B188" s="165" t="s">
        <v>312</v>
      </c>
      <c r="C188" s="158">
        <f>+C186+C183+C167+C130+C121</f>
        <v>354816000</v>
      </c>
      <c r="D188" s="158">
        <f>+D186+D183+D167+D130+D121</f>
        <v>382146747</v>
      </c>
      <c r="E188" s="158">
        <f>D188-C188</f>
        <v>27330747</v>
      </c>
      <c r="F188" s="159">
        <f>IF(C188=0,0,E188/C188)</f>
        <v>7.7027944061147186E-2</v>
      </c>
    </row>
    <row r="189" spans="1:6" ht="15.75" customHeight="1" x14ac:dyDescent="0.3">
      <c r="A189" s="164"/>
      <c r="B189" s="170"/>
      <c r="C189" s="157"/>
      <c r="D189" s="157"/>
      <c r="E189" s="158"/>
      <c r="F189" s="159"/>
    </row>
    <row r="190" spans="1:6" ht="15.75" customHeight="1" x14ac:dyDescent="0.3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5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75" fitToHeight="0" orientation="portrait" horizontalDpi="300" verticalDpi="300" r:id="rId1"/>
  <headerFooter>
    <oddHeader>&amp;LOFFICE OF HEALTH CARE ACCESS&amp;CTWELVE MONTHS ACTUAL FILING&amp;RNORWALK HOSPITAL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B30" sqref="B30"/>
    </sheetView>
  </sheetViews>
  <sheetFormatPr defaultColWidth="9.109375" defaultRowHeight="24" customHeight="1" x14ac:dyDescent="0.25"/>
  <cols>
    <col min="1" max="1" width="8.6640625" style="70" customWidth="1"/>
    <col min="2" max="2" width="60.88671875" style="70" customWidth="1"/>
    <col min="3" max="3" width="21.88671875" style="70" customWidth="1"/>
    <col min="4" max="5" width="21.88671875" style="222" customWidth="1"/>
    <col min="6" max="16384" width="9.109375" style="70"/>
  </cols>
  <sheetData>
    <row r="1" spans="1:6" ht="24" customHeight="1" x14ac:dyDescent="0.3">
      <c r="A1" s="173"/>
      <c r="B1" s="174" t="s">
        <v>0</v>
      </c>
      <c r="C1" s="174"/>
      <c r="D1" s="174"/>
      <c r="E1" s="175"/>
      <c r="F1" s="176"/>
    </row>
    <row r="2" spans="1:6" ht="24" customHeight="1" x14ac:dyDescent="0.3">
      <c r="A2" s="177"/>
      <c r="B2" s="174" t="s">
        <v>1</v>
      </c>
      <c r="C2" s="174"/>
      <c r="D2" s="174"/>
      <c r="E2" s="175"/>
      <c r="F2" s="176"/>
    </row>
    <row r="3" spans="1:6" ht="24" customHeight="1" x14ac:dyDescent="0.3">
      <c r="A3" s="177"/>
      <c r="B3" s="174" t="s">
        <v>314</v>
      </c>
      <c r="C3" s="174"/>
      <c r="D3" s="174"/>
      <c r="E3" s="175"/>
      <c r="F3" s="176"/>
    </row>
    <row r="4" spans="1:6" ht="24" customHeight="1" x14ac:dyDescent="0.3">
      <c r="A4" s="177"/>
      <c r="B4" s="174" t="s">
        <v>315</v>
      </c>
      <c r="C4" s="175"/>
      <c r="D4" s="175"/>
      <c r="E4" s="175"/>
      <c r="F4" s="176"/>
    </row>
    <row r="5" spans="1:6" ht="24" customHeight="1" x14ac:dyDescent="0.3">
      <c r="A5" s="177"/>
      <c r="B5" s="174"/>
      <c r="C5" s="174"/>
      <c r="D5" s="174"/>
      <c r="E5" s="175"/>
      <c r="F5" s="176"/>
    </row>
    <row r="6" spans="1:6" ht="24" customHeight="1" x14ac:dyDescent="0.3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3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3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3">
      <c r="A9" s="181"/>
      <c r="B9" s="182"/>
      <c r="C9" s="181"/>
      <c r="D9" s="181"/>
      <c r="E9" s="181"/>
      <c r="F9" s="181"/>
    </row>
    <row r="10" spans="1:6" ht="24" customHeight="1" x14ac:dyDescent="0.3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3">
      <c r="A11" s="85">
        <v>1</v>
      </c>
      <c r="B11" s="75" t="s">
        <v>75</v>
      </c>
      <c r="C11" s="76">
        <v>324018792</v>
      </c>
      <c r="D11" s="183">
        <v>355511000</v>
      </c>
      <c r="E11" s="76">
        <v>372223726</v>
      </c>
      <c r="F11" s="181"/>
    </row>
    <row r="12" spans="1:6" ht="24" customHeight="1" x14ac:dyDescent="0.3">
      <c r="A12" s="85">
        <v>2</v>
      </c>
      <c r="B12" s="184" t="s">
        <v>320</v>
      </c>
      <c r="C12" s="185">
        <v>15796662</v>
      </c>
      <c r="D12" s="185">
        <v>16016000</v>
      </c>
      <c r="E12" s="185">
        <v>13954080</v>
      </c>
      <c r="F12" s="181"/>
    </row>
    <row r="13" spans="1:6" ht="24" customHeight="1" x14ac:dyDescent="0.3">
      <c r="A13" s="85">
        <v>3</v>
      </c>
      <c r="B13" s="75" t="s">
        <v>80</v>
      </c>
      <c r="C13" s="76">
        <f>+C11+C12</f>
        <v>339815454</v>
      </c>
      <c r="D13" s="76">
        <f>+D11+D12</f>
        <v>371527000</v>
      </c>
      <c r="E13" s="76">
        <f>+E11+E12</f>
        <v>386177806</v>
      </c>
      <c r="F13" s="181"/>
    </row>
    <row r="14" spans="1:6" ht="24" customHeight="1" x14ac:dyDescent="0.3">
      <c r="A14" s="85">
        <v>4</v>
      </c>
      <c r="B14" s="186" t="s">
        <v>91</v>
      </c>
      <c r="C14" s="185">
        <v>311061228</v>
      </c>
      <c r="D14" s="185">
        <v>354816000</v>
      </c>
      <c r="E14" s="185">
        <v>382146747</v>
      </c>
      <c r="F14" s="181"/>
    </row>
    <row r="15" spans="1:6" ht="24" customHeight="1" x14ac:dyDescent="0.3">
      <c r="A15" s="85">
        <v>5</v>
      </c>
      <c r="B15" s="75" t="s">
        <v>92</v>
      </c>
      <c r="C15" s="76">
        <f>+C13-C14</f>
        <v>28754226</v>
      </c>
      <c r="D15" s="76">
        <f>+D13-D14</f>
        <v>16711000</v>
      </c>
      <c r="E15" s="76">
        <f>+E13-E14</f>
        <v>4031059</v>
      </c>
      <c r="F15" s="181"/>
    </row>
    <row r="16" spans="1:6" ht="24" customHeight="1" x14ac:dyDescent="0.3">
      <c r="A16" s="85">
        <v>6</v>
      </c>
      <c r="B16" s="186" t="s">
        <v>97</v>
      </c>
      <c r="C16" s="185">
        <v>8793292</v>
      </c>
      <c r="D16" s="185">
        <v>23036000</v>
      </c>
      <c r="E16" s="185">
        <v>34584936</v>
      </c>
      <c r="F16" s="181"/>
    </row>
    <row r="17" spans="1:6" ht="24" customHeight="1" x14ac:dyDescent="0.3">
      <c r="A17" s="85">
        <v>7</v>
      </c>
      <c r="B17" s="82" t="s">
        <v>321</v>
      </c>
      <c r="C17" s="76">
        <f>C15+C16</f>
        <v>37547518</v>
      </c>
      <c r="D17" s="76">
        <f>D15+D16</f>
        <v>39747000</v>
      </c>
      <c r="E17" s="76">
        <f>E15+E16</f>
        <v>38615995</v>
      </c>
      <c r="F17" s="181"/>
    </row>
    <row r="18" spans="1:6" ht="24" customHeight="1" x14ac:dyDescent="0.3">
      <c r="A18" s="85"/>
      <c r="B18" s="72"/>
      <c r="C18" s="187"/>
      <c r="D18" s="187"/>
      <c r="E18" s="188"/>
      <c r="F18" s="181"/>
    </row>
    <row r="19" spans="1:6" ht="24" customHeight="1" x14ac:dyDescent="0.3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3">
      <c r="A20" s="74">
        <v>1</v>
      </c>
      <c r="B20" s="75" t="s">
        <v>323</v>
      </c>
      <c r="C20" s="189">
        <f>IF(+C27=0,0,+C24/+C27)</f>
        <v>8.248280150722323E-2</v>
      </c>
      <c r="D20" s="189">
        <f>IF(+D27=0,0,+D24/+D27)</f>
        <v>4.235318567630518E-2</v>
      </c>
      <c r="E20" s="189">
        <f>IF(+E27=0,0,+E24/+E27)</f>
        <v>9.5803610862484588E-3</v>
      </c>
      <c r="F20" s="181"/>
    </row>
    <row r="21" spans="1:6" ht="24" customHeight="1" x14ac:dyDescent="0.3">
      <c r="A21" s="74">
        <v>2</v>
      </c>
      <c r="B21" s="75" t="s">
        <v>324</v>
      </c>
      <c r="C21" s="189">
        <f>IF(C27=0,0,+C26/C27)</f>
        <v>2.5223956945704396E-2</v>
      </c>
      <c r="D21" s="189">
        <f>IF(D27=0,0,+D26/D27)</f>
        <v>5.8383578794767882E-2</v>
      </c>
      <c r="E21" s="189">
        <f>IF(E27=0,0,+E26/E27)</f>
        <v>8.2195813810910096E-2</v>
      </c>
      <c r="F21" s="181"/>
    </row>
    <row r="22" spans="1:6" ht="24" customHeight="1" x14ac:dyDescent="0.3">
      <c r="A22" s="74">
        <v>3</v>
      </c>
      <c r="B22" s="75" t="s">
        <v>325</v>
      </c>
      <c r="C22" s="189">
        <f>IF(C27=0,0,+C28/C27)</f>
        <v>0.10770675845292763</v>
      </c>
      <c r="D22" s="189">
        <f>IF(D27=0,0,+D28/D27)</f>
        <v>0.10073676447107306</v>
      </c>
      <c r="E22" s="189">
        <f>IF(E27=0,0,+E28/E27)</f>
        <v>9.1776174897158558E-2</v>
      </c>
      <c r="F22" s="181"/>
    </row>
    <row r="23" spans="1:6" ht="24" customHeight="1" x14ac:dyDescent="0.3">
      <c r="A23" s="173"/>
      <c r="B23" s="75"/>
      <c r="C23" s="189"/>
      <c r="D23" s="189"/>
      <c r="E23" s="189"/>
      <c r="F23" s="181"/>
    </row>
    <row r="24" spans="1:6" ht="24" customHeight="1" x14ac:dyDescent="0.3">
      <c r="A24" s="173">
        <v>4</v>
      </c>
      <c r="B24" s="75" t="s">
        <v>92</v>
      </c>
      <c r="C24" s="76">
        <f>+C15</f>
        <v>28754226</v>
      </c>
      <c r="D24" s="76">
        <f>+D15</f>
        <v>16711000</v>
      </c>
      <c r="E24" s="76">
        <f>+E15</f>
        <v>4031059</v>
      </c>
      <c r="F24" s="181"/>
    </row>
    <row r="25" spans="1:6" ht="24" customHeight="1" x14ac:dyDescent="0.3">
      <c r="A25" s="173">
        <v>5</v>
      </c>
      <c r="B25" s="75" t="s">
        <v>80</v>
      </c>
      <c r="C25" s="76">
        <f>+C13</f>
        <v>339815454</v>
      </c>
      <c r="D25" s="76">
        <f>+D13</f>
        <v>371527000</v>
      </c>
      <c r="E25" s="76">
        <f>+E13</f>
        <v>386177806</v>
      </c>
      <c r="F25" s="181"/>
    </row>
    <row r="26" spans="1:6" ht="24" customHeight="1" x14ac:dyDescent="0.3">
      <c r="A26" s="173">
        <v>6</v>
      </c>
      <c r="B26" s="75" t="s">
        <v>97</v>
      </c>
      <c r="C26" s="76">
        <f>+C16</f>
        <v>8793292</v>
      </c>
      <c r="D26" s="76">
        <f>+D16</f>
        <v>23036000</v>
      </c>
      <c r="E26" s="76">
        <f>+E16</f>
        <v>34584936</v>
      </c>
      <c r="F26" s="181"/>
    </row>
    <row r="27" spans="1:6" ht="24" customHeight="1" x14ac:dyDescent="0.3">
      <c r="A27" s="173">
        <v>7</v>
      </c>
      <c r="B27" s="75" t="s">
        <v>326</v>
      </c>
      <c r="C27" s="76">
        <f>+C25+C26</f>
        <v>348608746</v>
      </c>
      <c r="D27" s="76">
        <f>+D25+D26</f>
        <v>394563000</v>
      </c>
      <c r="E27" s="76">
        <f>+E25+E26</f>
        <v>420762742</v>
      </c>
      <c r="F27" s="181"/>
    </row>
    <row r="28" spans="1:6" ht="24" customHeight="1" x14ac:dyDescent="0.3">
      <c r="A28" s="173">
        <v>8</v>
      </c>
      <c r="B28" s="82" t="s">
        <v>321</v>
      </c>
      <c r="C28" s="76">
        <f>+C17</f>
        <v>37547518</v>
      </c>
      <c r="D28" s="76">
        <f>+D17</f>
        <v>39747000</v>
      </c>
      <c r="E28" s="76">
        <f>+E17</f>
        <v>38615995</v>
      </c>
      <c r="F28" s="181"/>
    </row>
    <row r="29" spans="1:6" ht="24" customHeight="1" x14ac:dyDescent="0.3">
      <c r="A29" s="190"/>
      <c r="B29" s="75"/>
      <c r="C29" s="76"/>
      <c r="D29" s="76"/>
      <c r="E29" s="76"/>
      <c r="F29" s="181"/>
    </row>
    <row r="30" spans="1:6" ht="24" customHeight="1" x14ac:dyDescent="0.3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3">
      <c r="A31" s="74">
        <v>1</v>
      </c>
      <c r="B31" s="192" t="s">
        <v>328</v>
      </c>
      <c r="C31" s="76">
        <v>265968153</v>
      </c>
      <c r="D31" s="76">
        <v>280584110</v>
      </c>
      <c r="E31" s="76">
        <v>370197000</v>
      </c>
      <c r="F31" s="181"/>
    </row>
    <row r="32" spans="1:6" ht="24" customHeight="1" x14ac:dyDescent="0.3">
      <c r="A32" s="74">
        <v>2</v>
      </c>
      <c r="B32" s="75" t="s">
        <v>329</v>
      </c>
      <c r="C32" s="76">
        <v>313160208</v>
      </c>
      <c r="D32" s="76">
        <v>349714145</v>
      </c>
      <c r="E32" s="76">
        <v>417270000</v>
      </c>
      <c r="F32" s="181"/>
    </row>
    <row r="33" spans="1:6" ht="24" customHeight="1" x14ac:dyDescent="0.25">
      <c r="A33" s="74">
        <v>3</v>
      </c>
      <c r="B33" s="75" t="s">
        <v>330</v>
      </c>
      <c r="C33" s="76">
        <v>65947092</v>
      </c>
      <c r="D33" s="76">
        <f>+D32-C32</f>
        <v>36553937</v>
      </c>
      <c r="E33" s="76">
        <f>+E32-D32</f>
        <v>67555855</v>
      </c>
      <c r="F33" s="176"/>
    </row>
    <row r="34" spans="1:6" ht="24" customHeight="1" x14ac:dyDescent="0.25">
      <c r="A34" s="74">
        <v>4</v>
      </c>
      <c r="B34" s="75" t="s">
        <v>331</v>
      </c>
      <c r="C34" s="193">
        <v>1.2666999999999999</v>
      </c>
      <c r="D34" s="193">
        <f>IF(C32=0,0,+D33/C32)</f>
        <v>0.11672599540488235</v>
      </c>
      <c r="E34" s="193">
        <f>IF(D32=0,0,+E33/D32)</f>
        <v>0.19317449970460873</v>
      </c>
      <c r="F34" s="176"/>
    </row>
    <row r="35" spans="1:6" ht="24" customHeight="1" x14ac:dyDescent="0.3">
      <c r="A35" s="190"/>
      <c r="B35" s="194"/>
      <c r="C35" s="79"/>
      <c r="D35" s="79"/>
      <c r="E35" s="88"/>
      <c r="F35" s="176"/>
    </row>
    <row r="36" spans="1:6" ht="24" customHeight="1" x14ac:dyDescent="0.3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3">
      <c r="A37" s="83"/>
      <c r="B37" s="191"/>
      <c r="C37" s="175"/>
      <c r="D37" s="175"/>
      <c r="E37" s="175"/>
      <c r="F37" s="176"/>
    </row>
    <row r="38" spans="1:6" ht="24" customHeight="1" x14ac:dyDescent="0.3">
      <c r="A38" s="71">
        <v>1</v>
      </c>
      <c r="B38" s="72" t="s">
        <v>333</v>
      </c>
      <c r="C38" s="195">
        <f>IF((C40+C41)=0,0,+C39/(C40+C41))</f>
        <v>0.33956504524630149</v>
      </c>
      <c r="D38" s="195">
        <f>IF((D40+D41)=0,0,+D39/(D40+D41))</f>
        <v>0.36975725930303682</v>
      </c>
      <c r="E38" s="195">
        <f>IF((E40+E41)=0,0,+E39/(E40+E41))</f>
        <v>0.37197542747662715</v>
      </c>
      <c r="F38" s="176"/>
    </row>
    <row r="39" spans="1:6" ht="24" customHeight="1" x14ac:dyDescent="0.25">
      <c r="A39" s="173">
        <v>2</v>
      </c>
      <c r="B39" s="75" t="s">
        <v>334</v>
      </c>
      <c r="C39" s="76">
        <v>311061228</v>
      </c>
      <c r="D39" s="76">
        <v>354816000</v>
      </c>
      <c r="E39" s="196">
        <v>382146747</v>
      </c>
      <c r="F39" s="176"/>
    </row>
    <row r="40" spans="1:6" ht="24" customHeight="1" x14ac:dyDescent="0.25">
      <c r="A40" s="173">
        <v>3</v>
      </c>
      <c r="B40" s="75" t="s">
        <v>335</v>
      </c>
      <c r="C40" s="76">
        <v>900265499</v>
      </c>
      <c r="D40" s="76">
        <v>945067227</v>
      </c>
      <c r="E40" s="196">
        <v>1014406936</v>
      </c>
      <c r="F40" s="176"/>
    </row>
    <row r="41" spans="1:6" ht="24" customHeight="1" x14ac:dyDescent="0.25">
      <c r="A41" s="173">
        <v>4</v>
      </c>
      <c r="B41" s="75" t="s">
        <v>336</v>
      </c>
      <c r="C41" s="76">
        <v>15792359</v>
      </c>
      <c r="D41" s="76">
        <v>14524481</v>
      </c>
      <c r="E41" s="196">
        <v>12937127</v>
      </c>
      <c r="F41" s="176"/>
    </row>
    <row r="42" spans="1:6" ht="24" customHeight="1" x14ac:dyDescent="0.3">
      <c r="A42" s="190"/>
      <c r="B42" s="75"/>
      <c r="C42" s="174"/>
      <c r="D42" s="174"/>
      <c r="E42" s="175"/>
      <c r="F42" s="176"/>
    </row>
    <row r="43" spans="1:6" ht="24" customHeight="1" x14ac:dyDescent="0.3">
      <c r="A43" s="71">
        <v>5</v>
      </c>
      <c r="B43" s="72" t="s">
        <v>337</v>
      </c>
      <c r="C43" s="197">
        <f>IF(C38=0,0,IF((C46-C47)=0,0,((+C44-C45)/(C46-C47)/C38)))</f>
        <v>1.6667234112164386</v>
      </c>
      <c r="D43" s="197">
        <f>IF(D38=0,0,IF((D46-D47)=0,0,((+D44-D45)/(D46-D47)/D38)))</f>
        <v>1.5839339182671326</v>
      </c>
      <c r="E43" s="197">
        <f>IF(E38=0,0,IF((E46-E47)=0,0,((+E44-E45)/(E46-E47)/E38)))</f>
        <v>1.508540775965604</v>
      </c>
      <c r="F43" s="176"/>
    </row>
    <row r="44" spans="1:6" ht="24" customHeight="1" x14ac:dyDescent="0.25">
      <c r="A44" s="173">
        <v>6</v>
      </c>
      <c r="B44" s="75" t="s">
        <v>338</v>
      </c>
      <c r="C44" s="76">
        <v>194645274</v>
      </c>
      <c r="D44" s="76">
        <v>204763434</v>
      </c>
      <c r="E44" s="196">
        <v>215122053</v>
      </c>
      <c r="F44" s="176"/>
    </row>
    <row r="45" spans="1:6" ht="24" customHeight="1" x14ac:dyDescent="0.25">
      <c r="A45" s="173">
        <v>7</v>
      </c>
      <c r="B45" s="75" t="s">
        <v>339</v>
      </c>
      <c r="C45" s="76">
        <v>2737112</v>
      </c>
      <c r="D45" s="76">
        <v>1941594</v>
      </c>
      <c r="E45" s="196">
        <v>4784675</v>
      </c>
      <c r="F45" s="176"/>
    </row>
    <row r="46" spans="1:6" ht="24" customHeight="1" x14ac:dyDescent="0.25">
      <c r="A46" s="173">
        <v>8</v>
      </c>
      <c r="B46" s="75" t="s">
        <v>340</v>
      </c>
      <c r="C46" s="76">
        <v>374660379</v>
      </c>
      <c r="D46" s="76">
        <v>379988841</v>
      </c>
      <c r="E46" s="196">
        <v>411719402</v>
      </c>
      <c r="F46" s="176"/>
    </row>
    <row r="47" spans="1:6" ht="24" customHeight="1" x14ac:dyDescent="0.25">
      <c r="A47" s="173">
        <v>9</v>
      </c>
      <c r="B47" s="75" t="s">
        <v>341</v>
      </c>
      <c r="C47" s="76">
        <v>35576664</v>
      </c>
      <c r="D47" s="76">
        <v>33682096</v>
      </c>
      <c r="E47" s="76">
        <v>36880074</v>
      </c>
      <c r="F47" s="176"/>
    </row>
    <row r="48" spans="1:6" ht="24" customHeight="1" x14ac:dyDescent="0.3">
      <c r="A48" s="190"/>
      <c r="B48" s="75"/>
      <c r="C48" s="174"/>
      <c r="D48" s="174"/>
      <c r="E48" s="175"/>
      <c r="F48" s="176"/>
    </row>
    <row r="49" spans="1:6" ht="24" customHeight="1" x14ac:dyDescent="0.3">
      <c r="A49" s="71">
        <v>10</v>
      </c>
      <c r="B49" s="72" t="s">
        <v>342</v>
      </c>
      <c r="C49" s="198">
        <f>IF(C38=0,0,IF(C51=0,0,(C50/C51)/C38))</f>
        <v>0.75537871398532486</v>
      </c>
      <c r="D49" s="198">
        <f>IF(D38=0,0,IF(D51=0,0,(D50/D51)/D38))</f>
        <v>0.71998016280151678</v>
      </c>
      <c r="E49" s="198">
        <f>IF(E38=0,0,IF(E51=0,0,(E50/E51)/E38))</f>
        <v>0.68702333691272832</v>
      </c>
      <c r="F49" s="178"/>
    </row>
    <row r="50" spans="1:6" ht="24" customHeight="1" x14ac:dyDescent="0.3">
      <c r="A50" s="173">
        <v>11</v>
      </c>
      <c r="B50" s="75" t="s">
        <v>343</v>
      </c>
      <c r="C50" s="199">
        <v>96022685</v>
      </c>
      <c r="D50" s="199">
        <v>107132787</v>
      </c>
      <c r="E50" s="199">
        <v>108234318</v>
      </c>
      <c r="F50" s="179"/>
    </row>
    <row r="51" spans="1:6" ht="24" customHeight="1" x14ac:dyDescent="0.3">
      <c r="A51" s="173">
        <v>12</v>
      </c>
      <c r="B51" s="75" t="s">
        <v>344</v>
      </c>
      <c r="C51" s="199">
        <v>374357144</v>
      </c>
      <c r="D51" s="199">
        <v>402425195</v>
      </c>
      <c r="E51" s="199">
        <v>423525188</v>
      </c>
      <c r="F51" s="179"/>
    </row>
    <row r="52" spans="1:6" ht="24" customHeight="1" x14ac:dyDescent="0.3">
      <c r="A52" s="190"/>
      <c r="B52" s="75"/>
      <c r="C52" s="179"/>
      <c r="D52" s="179"/>
      <c r="E52" s="179"/>
      <c r="F52" s="179"/>
    </row>
    <row r="53" spans="1:6" ht="24" customHeight="1" x14ac:dyDescent="0.3">
      <c r="A53" s="71">
        <v>13</v>
      </c>
      <c r="B53" s="72" t="s">
        <v>345</v>
      </c>
      <c r="C53" s="198">
        <f>IF(C38=0,0,IF(C55=0,0,(C54/C55)/C38))</f>
        <v>0.73958453925011025</v>
      </c>
      <c r="D53" s="198">
        <f>IF(D38=0,0,IF(D55=0,0,(D54/D55)/D38))</f>
        <v>0.68320447909659598</v>
      </c>
      <c r="E53" s="198">
        <f>IF(E38=0,0,IF(E55=0,0,(E54/E55)/E38))</f>
        <v>0.63889496042748761</v>
      </c>
      <c r="F53" s="181"/>
    </row>
    <row r="54" spans="1:6" ht="24" customHeight="1" x14ac:dyDescent="0.3">
      <c r="A54" s="173">
        <v>14</v>
      </c>
      <c r="B54" s="75" t="s">
        <v>346</v>
      </c>
      <c r="C54" s="199">
        <v>37410847</v>
      </c>
      <c r="D54" s="199">
        <v>40411069</v>
      </c>
      <c r="E54" s="199">
        <v>41856062</v>
      </c>
      <c r="F54" s="181"/>
    </row>
    <row r="55" spans="1:6" ht="24" customHeight="1" x14ac:dyDescent="0.3">
      <c r="A55" s="173">
        <v>15</v>
      </c>
      <c r="B55" s="75" t="s">
        <v>347</v>
      </c>
      <c r="C55" s="199">
        <v>148965857</v>
      </c>
      <c r="D55" s="199">
        <v>159967930</v>
      </c>
      <c r="E55" s="199">
        <v>176122423</v>
      </c>
      <c r="F55" s="181"/>
    </row>
    <row r="56" spans="1:6" ht="24" customHeight="1" x14ac:dyDescent="0.3">
      <c r="A56" s="190"/>
      <c r="B56" s="200"/>
      <c r="C56" s="181"/>
      <c r="D56" s="181"/>
      <c r="E56" s="181"/>
      <c r="F56" s="181"/>
    </row>
    <row r="57" spans="1:6" ht="24" customHeight="1" x14ac:dyDescent="0.3">
      <c r="A57" s="71">
        <v>16</v>
      </c>
      <c r="B57" s="72" t="s">
        <v>348</v>
      </c>
      <c r="C57" s="88">
        <f>+C60*C38</f>
        <v>14043914.166855924</v>
      </c>
      <c r="D57" s="88">
        <f>+D60*D38</f>
        <v>10661184.804719049</v>
      </c>
      <c r="E57" s="88">
        <f>+E60*E38</f>
        <v>11696962.604101965</v>
      </c>
      <c r="F57" s="181"/>
    </row>
    <row r="58" spans="1:6" ht="24" customHeight="1" x14ac:dyDescent="0.3">
      <c r="A58" s="173">
        <v>17</v>
      </c>
      <c r="B58" s="75" t="s">
        <v>349</v>
      </c>
      <c r="C58" s="199">
        <v>16801601</v>
      </c>
      <c r="D58" s="199">
        <v>15719561</v>
      </c>
      <c r="E58" s="199">
        <v>18588723</v>
      </c>
      <c r="F58" s="181"/>
    </row>
    <row r="59" spans="1:6" ht="24" customHeight="1" x14ac:dyDescent="0.3">
      <c r="A59" s="173">
        <v>18</v>
      </c>
      <c r="B59" s="75" t="s">
        <v>87</v>
      </c>
      <c r="C59" s="199">
        <v>24556938</v>
      </c>
      <c r="D59" s="199">
        <v>13113368</v>
      </c>
      <c r="E59" s="199">
        <v>12856802</v>
      </c>
      <c r="F59" s="181"/>
    </row>
    <row r="60" spans="1:6" ht="24" customHeight="1" x14ac:dyDescent="0.3">
      <c r="A60" s="173">
        <v>19</v>
      </c>
      <c r="B60" s="75" t="s">
        <v>350</v>
      </c>
      <c r="C60" s="76">
        <v>41358539</v>
      </c>
      <c r="D60" s="76">
        <v>28832929</v>
      </c>
      <c r="E60" s="201">
        <v>31445525</v>
      </c>
      <c r="F60" s="80"/>
    </row>
    <row r="61" spans="1:6" ht="24" customHeight="1" x14ac:dyDescent="0.3">
      <c r="A61" s="190"/>
      <c r="B61" s="182"/>
      <c r="C61" s="181"/>
      <c r="D61" s="181"/>
      <c r="E61" s="181"/>
      <c r="F61" s="181"/>
    </row>
    <row r="62" spans="1:6" ht="24" customHeight="1" x14ac:dyDescent="0.3">
      <c r="A62" s="71">
        <v>20</v>
      </c>
      <c r="B62" s="72" t="s">
        <v>351</v>
      </c>
      <c r="C62" s="202">
        <f>IF(C63=0,0,+C57/C63)</f>
        <v>4.5148391707808481E-2</v>
      </c>
      <c r="D62" s="202">
        <f>IF(D63=0,0,+D57/D63)</f>
        <v>3.0047080190067667E-2</v>
      </c>
      <c r="E62" s="202">
        <f>IF(E63=0,0,+E57/E63)</f>
        <v>3.060856253763156E-2</v>
      </c>
      <c r="F62" s="181"/>
    </row>
    <row r="63" spans="1:6" ht="24" customHeight="1" x14ac:dyDescent="0.3">
      <c r="A63" s="173">
        <v>21</v>
      </c>
      <c r="B63" s="82" t="s">
        <v>334</v>
      </c>
      <c r="C63" s="199">
        <v>311061228</v>
      </c>
      <c r="D63" s="199">
        <v>354816000</v>
      </c>
      <c r="E63" s="199">
        <v>382146747</v>
      </c>
      <c r="F63" s="181"/>
    </row>
    <row r="64" spans="1:6" ht="24" customHeight="1" x14ac:dyDescent="0.3">
      <c r="A64" s="190"/>
      <c r="B64" s="75"/>
      <c r="C64" s="85"/>
      <c r="D64" s="85"/>
      <c r="E64" s="85"/>
      <c r="F64" s="181"/>
    </row>
    <row r="65" spans="1:6" ht="24" customHeight="1" x14ac:dyDescent="0.3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3">
      <c r="A66" s="71"/>
      <c r="B66" s="191"/>
      <c r="C66" s="79"/>
      <c r="D66" s="79"/>
      <c r="E66" s="88"/>
      <c r="F66" s="80"/>
    </row>
    <row r="67" spans="1:6" ht="24" customHeight="1" x14ac:dyDescent="0.3">
      <c r="A67" s="71">
        <v>1</v>
      </c>
      <c r="B67" s="72" t="s">
        <v>353</v>
      </c>
      <c r="C67" s="203">
        <f>IF(C69=0,0,C68/C69)</f>
        <v>1.3577814725268444</v>
      </c>
      <c r="D67" s="203">
        <f>IF(D69=0,0,D68/D69)</f>
        <v>1.221245774215292</v>
      </c>
      <c r="E67" s="203">
        <f>IF(E69=0,0,E68/E69)</f>
        <v>1.1517531246543524</v>
      </c>
      <c r="F67" s="80"/>
    </row>
    <row r="68" spans="1:6" ht="24" customHeight="1" x14ac:dyDescent="0.3">
      <c r="A68" s="173">
        <v>2</v>
      </c>
      <c r="B68" s="75" t="s">
        <v>25</v>
      </c>
      <c r="C68" s="204">
        <v>129669077</v>
      </c>
      <c r="D68" s="204">
        <v>103797452</v>
      </c>
      <c r="E68" s="204">
        <v>83304000</v>
      </c>
      <c r="F68" s="80"/>
    </row>
    <row r="69" spans="1:6" ht="24" customHeight="1" x14ac:dyDescent="0.3">
      <c r="A69" s="173">
        <v>3</v>
      </c>
      <c r="B69" s="75" t="s">
        <v>54</v>
      </c>
      <c r="C69" s="204">
        <v>95500697</v>
      </c>
      <c r="D69" s="204">
        <v>84993090</v>
      </c>
      <c r="E69" s="204">
        <v>72328000</v>
      </c>
      <c r="F69" s="80"/>
    </row>
    <row r="70" spans="1:6" ht="24" customHeight="1" x14ac:dyDescent="0.3">
      <c r="A70" s="173"/>
      <c r="B70" s="194"/>
      <c r="C70" s="79"/>
      <c r="D70" s="79"/>
      <c r="E70" s="88"/>
      <c r="F70" s="80"/>
    </row>
    <row r="71" spans="1:6" ht="24" customHeight="1" x14ac:dyDescent="0.3">
      <c r="A71" s="71">
        <v>4</v>
      </c>
      <c r="B71" s="72" t="s">
        <v>354</v>
      </c>
      <c r="C71" s="203">
        <f>IF((C77/365)=0,0,+C74/(C77/365))</f>
        <v>103.99350658033131</v>
      </c>
      <c r="D71" s="203">
        <f>IF((D77/365)=0,0,+D74/(D77/365))</f>
        <v>57.020647552547885</v>
      </c>
      <c r="E71" s="203">
        <f>IF((E77/365)=0,0,+E74/(E77/365))</f>
        <v>31.001892981064035</v>
      </c>
      <c r="F71" s="80"/>
    </row>
    <row r="72" spans="1:6" ht="24" customHeight="1" x14ac:dyDescent="0.3">
      <c r="A72" s="173">
        <v>5</v>
      </c>
      <c r="B72" s="192" t="s">
        <v>16</v>
      </c>
      <c r="C72" s="183">
        <v>74550518</v>
      </c>
      <c r="D72" s="183">
        <v>43468380</v>
      </c>
      <c r="E72" s="183">
        <v>14673000</v>
      </c>
      <c r="F72" s="80"/>
    </row>
    <row r="73" spans="1:6" ht="24" customHeight="1" x14ac:dyDescent="0.3">
      <c r="A73" s="173">
        <v>6</v>
      </c>
      <c r="B73" s="205" t="s">
        <v>17</v>
      </c>
      <c r="C73" s="206">
        <v>8764926</v>
      </c>
      <c r="D73" s="206">
        <v>8795652</v>
      </c>
      <c r="E73" s="206">
        <v>15836000</v>
      </c>
      <c r="F73" s="80"/>
    </row>
    <row r="74" spans="1:6" ht="24" customHeight="1" x14ac:dyDescent="0.3">
      <c r="A74" s="173">
        <v>7</v>
      </c>
      <c r="B74" s="75" t="s">
        <v>355</v>
      </c>
      <c r="C74" s="204">
        <f>+C72+C73</f>
        <v>83315444</v>
      </c>
      <c r="D74" s="204">
        <f>+D72+D73</f>
        <v>52264032</v>
      </c>
      <c r="E74" s="204">
        <f>+E72+E73</f>
        <v>30509000</v>
      </c>
      <c r="F74" s="80"/>
    </row>
    <row r="75" spans="1:6" ht="24" customHeight="1" x14ac:dyDescent="0.3">
      <c r="A75" s="173">
        <v>8</v>
      </c>
      <c r="B75" s="75" t="s">
        <v>334</v>
      </c>
      <c r="C75" s="204">
        <f>+C14</f>
        <v>311061228</v>
      </c>
      <c r="D75" s="204">
        <f>+D14</f>
        <v>354816000</v>
      </c>
      <c r="E75" s="204">
        <f>+E14</f>
        <v>382146747</v>
      </c>
      <c r="F75" s="80"/>
    </row>
    <row r="76" spans="1:6" ht="24" customHeight="1" x14ac:dyDescent="0.3">
      <c r="A76" s="173">
        <v>9</v>
      </c>
      <c r="B76" s="82" t="s">
        <v>356</v>
      </c>
      <c r="C76" s="204">
        <v>18637806</v>
      </c>
      <c r="D76" s="204">
        <v>20264000</v>
      </c>
      <c r="E76" s="204">
        <v>22949810</v>
      </c>
      <c r="F76" s="80"/>
    </row>
    <row r="77" spans="1:6" ht="24" customHeight="1" x14ac:dyDescent="0.3">
      <c r="A77" s="173">
        <v>10</v>
      </c>
      <c r="B77" s="82" t="s">
        <v>357</v>
      </c>
      <c r="C77" s="204">
        <f>+C75-C76</f>
        <v>292423422</v>
      </c>
      <c r="D77" s="204">
        <f>+D75-D76</f>
        <v>334552000</v>
      </c>
      <c r="E77" s="204">
        <f>+E75-E76</f>
        <v>359196937</v>
      </c>
      <c r="F77" s="80"/>
    </row>
    <row r="78" spans="1:6" ht="24" customHeight="1" x14ac:dyDescent="0.3">
      <c r="A78" s="190"/>
      <c r="B78" s="207"/>
      <c r="C78" s="208"/>
      <c r="D78" s="208"/>
      <c r="E78" s="209"/>
      <c r="F78" s="80"/>
    </row>
    <row r="79" spans="1:6" ht="24" customHeight="1" x14ac:dyDescent="0.3">
      <c r="A79" s="71">
        <v>11</v>
      </c>
      <c r="B79" s="210" t="s">
        <v>358</v>
      </c>
      <c r="C79" s="203">
        <f>IF((C84/365)=0,0,+C83/(C84/365))</f>
        <v>4.927496967521563</v>
      </c>
      <c r="D79" s="203">
        <f>IF((D84/365)=0,0,+D83/(D84/365))</f>
        <v>17.017654390440804</v>
      </c>
      <c r="E79" s="203">
        <f>IF((E84/365)=0,0,+E83/(E84/365))</f>
        <v>32.301715769725007</v>
      </c>
      <c r="F79" s="80"/>
    </row>
    <row r="80" spans="1:6" ht="24" customHeight="1" x14ac:dyDescent="0.3">
      <c r="A80" s="173">
        <v>12</v>
      </c>
      <c r="B80" s="211" t="s">
        <v>359</v>
      </c>
      <c r="C80" s="212">
        <v>40426872</v>
      </c>
      <c r="D80" s="212">
        <v>44469740</v>
      </c>
      <c r="E80" s="212">
        <v>46916000</v>
      </c>
      <c r="F80" s="80"/>
    </row>
    <row r="81" spans="1:6" ht="24" customHeight="1" x14ac:dyDescent="0.3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3">
      <c r="A82" s="173">
        <v>14</v>
      </c>
      <c r="B82" s="211" t="s">
        <v>49</v>
      </c>
      <c r="C82" s="212">
        <v>36052621</v>
      </c>
      <c r="D82" s="212">
        <v>27894498</v>
      </c>
      <c r="E82" s="212">
        <v>13975000</v>
      </c>
      <c r="F82" s="80"/>
    </row>
    <row r="83" spans="1:6" ht="33.9" customHeight="1" x14ac:dyDescent="0.3">
      <c r="A83" s="173">
        <v>15</v>
      </c>
      <c r="B83" s="82" t="s">
        <v>360</v>
      </c>
      <c r="C83" s="212">
        <f>+C80+C81-C82</f>
        <v>4374251</v>
      </c>
      <c r="D83" s="212">
        <f>+D80+D81-D82</f>
        <v>16575242</v>
      </c>
      <c r="E83" s="212">
        <f>+E80+E81-E82</f>
        <v>32941000</v>
      </c>
      <c r="F83" s="80"/>
    </row>
    <row r="84" spans="1:6" ht="24" customHeight="1" x14ac:dyDescent="0.3">
      <c r="A84" s="173">
        <v>16</v>
      </c>
      <c r="B84" s="75" t="s">
        <v>75</v>
      </c>
      <c r="C84" s="204">
        <f>+C11</f>
        <v>324018792</v>
      </c>
      <c r="D84" s="204">
        <f>+D11</f>
        <v>355511000</v>
      </c>
      <c r="E84" s="204">
        <f>+E11</f>
        <v>372223726</v>
      </c>
      <c r="F84" s="80"/>
    </row>
    <row r="85" spans="1:6" ht="24" customHeight="1" x14ac:dyDescent="0.3">
      <c r="A85" s="190"/>
      <c r="B85" s="75"/>
      <c r="C85" s="76"/>
      <c r="D85" s="213"/>
      <c r="E85" s="213"/>
      <c r="F85" s="80"/>
    </row>
    <row r="86" spans="1:6" ht="24" customHeight="1" x14ac:dyDescent="0.3">
      <c r="A86" s="71">
        <v>17</v>
      </c>
      <c r="B86" s="72" t="s">
        <v>361</v>
      </c>
      <c r="C86" s="203">
        <f>IF((C90/365)=0,0,+C87/(C90/365))</f>
        <v>119.20301789300585</v>
      </c>
      <c r="D86" s="203">
        <f>IF((D90/365)=0,0,+D87/(D90/365))</f>
        <v>92.728418452138982</v>
      </c>
      <c r="E86" s="203">
        <f>IF((E90/365)=0,0,+E87/(E90/365))</f>
        <v>73.496506458238528</v>
      </c>
      <c r="F86" s="181"/>
    </row>
    <row r="87" spans="1:6" ht="24" customHeight="1" x14ac:dyDescent="0.3">
      <c r="A87" s="173">
        <v>18</v>
      </c>
      <c r="B87" s="75" t="s">
        <v>54</v>
      </c>
      <c r="C87" s="76">
        <f>+C69</f>
        <v>95500697</v>
      </c>
      <c r="D87" s="76">
        <f>+D69</f>
        <v>84993090</v>
      </c>
      <c r="E87" s="76">
        <f>+E69</f>
        <v>72328000</v>
      </c>
      <c r="F87" s="80"/>
    </row>
    <row r="88" spans="1:6" ht="24" customHeight="1" x14ac:dyDescent="0.3">
      <c r="A88" s="173">
        <v>19</v>
      </c>
      <c r="B88" s="75" t="s">
        <v>334</v>
      </c>
      <c r="C88" s="76">
        <f t="shared" ref="C88:E89" si="0">+C75</f>
        <v>311061228</v>
      </c>
      <c r="D88" s="76">
        <f t="shared" si="0"/>
        <v>354816000</v>
      </c>
      <c r="E88" s="76">
        <f t="shared" si="0"/>
        <v>382146747</v>
      </c>
      <c r="F88" s="80"/>
    </row>
    <row r="89" spans="1:6" ht="24" customHeight="1" x14ac:dyDescent="0.3">
      <c r="A89" s="173">
        <v>20</v>
      </c>
      <c r="B89" s="75" t="s">
        <v>356</v>
      </c>
      <c r="C89" s="201">
        <f t="shared" si="0"/>
        <v>18637806</v>
      </c>
      <c r="D89" s="201">
        <f t="shared" si="0"/>
        <v>20264000</v>
      </c>
      <c r="E89" s="201">
        <f t="shared" si="0"/>
        <v>22949810</v>
      </c>
      <c r="F89" s="80"/>
    </row>
    <row r="90" spans="1:6" ht="24" customHeight="1" x14ac:dyDescent="0.3">
      <c r="A90" s="173">
        <v>21</v>
      </c>
      <c r="B90" s="75" t="s">
        <v>362</v>
      </c>
      <c r="C90" s="76">
        <f>+C88-C89</f>
        <v>292423422</v>
      </c>
      <c r="D90" s="76">
        <f>+D88-D89</f>
        <v>334552000</v>
      </c>
      <c r="E90" s="76">
        <f>+E88-E89</f>
        <v>359196937</v>
      </c>
      <c r="F90" s="80"/>
    </row>
    <row r="91" spans="1:6" ht="24" customHeight="1" x14ac:dyDescent="0.3">
      <c r="A91" s="190"/>
      <c r="B91" s="75"/>
      <c r="C91" s="76"/>
      <c r="D91" s="76"/>
      <c r="E91" s="88"/>
      <c r="F91" s="80"/>
    </row>
    <row r="92" spans="1:6" ht="24" customHeight="1" x14ac:dyDescent="0.3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3">
      <c r="A93" s="71"/>
      <c r="B93" s="191"/>
      <c r="C93" s="76"/>
      <c r="D93" s="76"/>
      <c r="E93" s="88"/>
      <c r="F93" s="80"/>
    </row>
    <row r="94" spans="1:6" ht="24" customHeight="1" x14ac:dyDescent="0.3">
      <c r="A94" s="71">
        <v>1</v>
      </c>
      <c r="B94" s="72" t="s">
        <v>364</v>
      </c>
      <c r="C94" s="214">
        <f>IF(C96=0,0,(C95/C96)*100)</f>
        <v>51.380149033703383</v>
      </c>
      <c r="D94" s="214">
        <f>IF(D96=0,0,(D95/D96)*100)</f>
        <v>54.68170308168078</v>
      </c>
      <c r="E94" s="214">
        <f>IF(E96=0,0,(E95/E96)*100)</f>
        <v>65.350991220129501</v>
      </c>
      <c r="F94" s="80"/>
    </row>
    <row r="95" spans="1:6" ht="24" customHeight="1" x14ac:dyDescent="0.3">
      <c r="A95" s="173">
        <v>2</v>
      </c>
      <c r="B95" s="75" t="s">
        <v>67</v>
      </c>
      <c r="C95" s="76">
        <f>+C32</f>
        <v>313160208</v>
      </c>
      <c r="D95" s="76">
        <f>+D32</f>
        <v>349714145</v>
      </c>
      <c r="E95" s="76">
        <f>+E32</f>
        <v>417270000</v>
      </c>
      <c r="F95" s="80"/>
    </row>
    <row r="96" spans="1:6" ht="24" customHeight="1" x14ac:dyDescent="0.3">
      <c r="A96" s="173">
        <v>3</v>
      </c>
      <c r="B96" s="75" t="s">
        <v>43</v>
      </c>
      <c r="C96" s="76">
        <v>609496496</v>
      </c>
      <c r="D96" s="76">
        <v>639545086</v>
      </c>
      <c r="E96" s="76">
        <v>638506000</v>
      </c>
      <c r="F96" s="80"/>
    </row>
    <row r="97" spans="1:6" ht="24" customHeight="1" x14ac:dyDescent="0.3">
      <c r="A97" s="190"/>
      <c r="B97" s="72"/>
      <c r="C97" s="215"/>
      <c r="D97" s="215"/>
      <c r="E97" s="88"/>
      <c r="F97" s="80"/>
    </row>
    <row r="98" spans="1:6" ht="24" customHeight="1" x14ac:dyDescent="0.3">
      <c r="A98" s="71">
        <v>4</v>
      </c>
      <c r="B98" s="72" t="s">
        <v>365</v>
      </c>
      <c r="C98" s="214">
        <f>IF(C104=0,0,(C101/C104)*100)</f>
        <v>26.071473131220017</v>
      </c>
      <c r="D98" s="214">
        <f>IF(D104=0,0,(D101/D104)*100)</f>
        <v>30.718739049177245</v>
      </c>
      <c r="E98" s="214">
        <f>IF(E104=0,0,(E101/E104)*100)</f>
        <v>35.010409439863523</v>
      </c>
      <c r="F98" s="80"/>
    </row>
    <row r="99" spans="1:6" ht="24" customHeight="1" x14ac:dyDescent="0.3">
      <c r="A99" s="173">
        <v>5</v>
      </c>
      <c r="B99" s="75" t="s">
        <v>366</v>
      </c>
      <c r="C99" s="76">
        <f>+C28</f>
        <v>37547518</v>
      </c>
      <c r="D99" s="76">
        <f>+D28</f>
        <v>39747000</v>
      </c>
      <c r="E99" s="76">
        <f>+E28</f>
        <v>38615995</v>
      </c>
      <c r="F99" s="80"/>
    </row>
    <row r="100" spans="1:6" ht="24" customHeight="1" x14ac:dyDescent="0.3">
      <c r="A100" s="173">
        <v>6</v>
      </c>
      <c r="B100" s="75" t="s">
        <v>356</v>
      </c>
      <c r="C100" s="201">
        <f>+C76</f>
        <v>18637806</v>
      </c>
      <c r="D100" s="201">
        <f>+D76</f>
        <v>20264000</v>
      </c>
      <c r="E100" s="201">
        <f>+E76</f>
        <v>22949810</v>
      </c>
      <c r="F100" s="80"/>
    </row>
    <row r="101" spans="1:6" ht="24" customHeight="1" x14ac:dyDescent="0.3">
      <c r="A101" s="173">
        <v>7</v>
      </c>
      <c r="B101" s="75" t="s">
        <v>367</v>
      </c>
      <c r="C101" s="76">
        <f>+C99+C100</f>
        <v>56185324</v>
      </c>
      <c r="D101" s="76">
        <f>+D99+D100</f>
        <v>60011000</v>
      </c>
      <c r="E101" s="76">
        <f>+E99+E100</f>
        <v>61565805</v>
      </c>
      <c r="F101" s="80"/>
    </row>
    <row r="102" spans="1:6" ht="24" customHeight="1" x14ac:dyDescent="0.3">
      <c r="A102" s="173">
        <v>8</v>
      </c>
      <c r="B102" s="75" t="s">
        <v>54</v>
      </c>
      <c r="C102" s="204">
        <f>+C69</f>
        <v>95500697</v>
      </c>
      <c r="D102" s="204">
        <f>+D69</f>
        <v>84993090</v>
      </c>
      <c r="E102" s="204">
        <f>+E69</f>
        <v>72328000</v>
      </c>
      <c r="F102" s="80"/>
    </row>
    <row r="103" spans="1:6" ht="24" customHeight="1" x14ac:dyDescent="0.3">
      <c r="A103" s="173">
        <v>9</v>
      </c>
      <c r="B103" s="75" t="s">
        <v>58</v>
      </c>
      <c r="C103" s="216">
        <v>120004287</v>
      </c>
      <c r="D103" s="216">
        <v>110363236</v>
      </c>
      <c r="E103" s="216">
        <v>103522000</v>
      </c>
      <c r="F103" s="80"/>
    </row>
    <row r="104" spans="1:6" ht="24" customHeight="1" x14ac:dyDescent="0.3">
      <c r="A104" s="173">
        <v>10</v>
      </c>
      <c r="B104" s="91" t="s">
        <v>368</v>
      </c>
      <c r="C104" s="204">
        <f>+C102+C103</f>
        <v>215504984</v>
      </c>
      <c r="D104" s="204">
        <f>+D102+D103</f>
        <v>195356326</v>
      </c>
      <c r="E104" s="204">
        <f>+E102+E103</f>
        <v>175850000</v>
      </c>
      <c r="F104" s="80"/>
    </row>
    <row r="105" spans="1:6" ht="24" customHeight="1" x14ac:dyDescent="0.3">
      <c r="A105" s="190"/>
      <c r="B105" s="72"/>
      <c r="C105" s="215"/>
      <c r="D105" s="215"/>
      <c r="E105" s="209"/>
      <c r="F105" s="80"/>
    </row>
    <row r="106" spans="1:6" ht="24" customHeight="1" x14ac:dyDescent="0.3">
      <c r="A106" s="83">
        <v>11</v>
      </c>
      <c r="B106" s="72" t="s">
        <v>369</v>
      </c>
      <c r="C106" s="214">
        <f>IF(C109=0,0,(C107/C109)*100)</f>
        <v>27.704091259834211</v>
      </c>
      <c r="D106" s="214">
        <f>IF(D109=0,0,(D107/D109)*100)</f>
        <v>23.987972579769139</v>
      </c>
      <c r="E106" s="214">
        <f>IF(E109=0,0,(E107/E109)*100)</f>
        <v>19.877801502327223</v>
      </c>
      <c r="F106" s="80"/>
    </row>
    <row r="107" spans="1:6" ht="24" customHeight="1" x14ac:dyDescent="0.3">
      <c r="A107" s="217">
        <v>12</v>
      </c>
      <c r="B107" s="75" t="s">
        <v>58</v>
      </c>
      <c r="C107" s="204">
        <f>+C103</f>
        <v>120004287</v>
      </c>
      <c r="D107" s="204">
        <f>+D103</f>
        <v>110363236</v>
      </c>
      <c r="E107" s="204">
        <f>+E103</f>
        <v>103522000</v>
      </c>
      <c r="F107" s="80"/>
    </row>
    <row r="108" spans="1:6" ht="24" customHeight="1" x14ac:dyDescent="0.3">
      <c r="A108" s="217">
        <v>13</v>
      </c>
      <c r="B108" s="75" t="s">
        <v>67</v>
      </c>
      <c r="C108" s="204">
        <f>+C32</f>
        <v>313160208</v>
      </c>
      <c r="D108" s="204">
        <f>+D32</f>
        <v>349714145</v>
      </c>
      <c r="E108" s="204">
        <f>+E32</f>
        <v>417270000</v>
      </c>
      <c r="F108" s="80"/>
    </row>
    <row r="109" spans="1:6" ht="24" customHeight="1" x14ac:dyDescent="0.3">
      <c r="A109" s="217">
        <v>14</v>
      </c>
      <c r="B109" s="75" t="s">
        <v>370</v>
      </c>
      <c r="C109" s="204">
        <f>+C107+C108</f>
        <v>433164495</v>
      </c>
      <c r="D109" s="204">
        <f>+D107+D108</f>
        <v>460077381</v>
      </c>
      <c r="E109" s="204">
        <f>+E107+E108</f>
        <v>520792000</v>
      </c>
      <c r="F109" s="80"/>
    </row>
    <row r="110" spans="1:6" ht="24" customHeight="1" x14ac:dyDescent="0.3">
      <c r="A110" s="190"/>
      <c r="B110" s="75"/>
      <c r="C110" s="76"/>
      <c r="D110" s="76"/>
      <c r="E110" s="88"/>
      <c r="F110" s="80"/>
    </row>
    <row r="111" spans="1:6" ht="24" customHeight="1" x14ac:dyDescent="0.3">
      <c r="A111" s="83" t="s">
        <v>371</v>
      </c>
      <c r="B111" s="72" t="s">
        <v>372</v>
      </c>
      <c r="C111" s="214">
        <f>IF((+C113+C115)=0,0,((+C112+C113+C114)/(+C113+C115)))</f>
        <v>8.4191536806524443</v>
      </c>
      <c r="D111" s="214">
        <f>IF((+D113+D115)=0,0,((+D112+D113+D114)/(+D113+D115)))</f>
        <v>7.4942692056447164</v>
      </c>
      <c r="E111" s="214">
        <f>IF((+E113+E115)=0,0,((+E112+E113+E114)/(+E113+E115)))</f>
        <v>7.230105357632354</v>
      </c>
    </row>
    <row r="112" spans="1:6" ht="24" customHeight="1" x14ac:dyDescent="0.25">
      <c r="A112" s="85">
        <v>16</v>
      </c>
      <c r="B112" s="75" t="s">
        <v>373</v>
      </c>
      <c r="C112" s="218">
        <f>+C17</f>
        <v>37547518</v>
      </c>
      <c r="D112" s="76">
        <f>+D17</f>
        <v>39747000</v>
      </c>
      <c r="E112" s="76">
        <f>+E17</f>
        <v>38615995</v>
      </c>
    </row>
    <row r="113" spans="1:8" ht="24" customHeight="1" x14ac:dyDescent="0.25">
      <c r="A113" s="85">
        <v>17</v>
      </c>
      <c r="B113" s="75" t="s">
        <v>88</v>
      </c>
      <c r="C113" s="218">
        <v>2456725</v>
      </c>
      <c r="D113" s="76">
        <v>1952000</v>
      </c>
      <c r="E113" s="76">
        <v>2026377</v>
      </c>
    </row>
    <row r="114" spans="1:8" ht="24" customHeight="1" x14ac:dyDescent="0.25">
      <c r="A114" s="85">
        <v>18</v>
      </c>
      <c r="B114" s="75" t="s">
        <v>374</v>
      </c>
      <c r="C114" s="218">
        <v>18637806</v>
      </c>
      <c r="D114" s="76">
        <v>20264000</v>
      </c>
      <c r="E114" s="76">
        <v>22949810</v>
      </c>
    </row>
    <row r="115" spans="1:8" ht="24" customHeight="1" x14ac:dyDescent="0.25">
      <c r="A115" s="85">
        <v>19</v>
      </c>
      <c r="B115" s="75" t="s">
        <v>104</v>
      </c>
      <c r="C115" s="218">
        <v>4508589</v>
      </c>
      <c r="D115" s="76">
        <v>6316051</v>
      </c>
      <c r="E115" s="76">
        <v>6769094</v>
      </c>
    </row>
    <row r="116" spans="1:8" ht="24" customHeight="1" x14ac:dyDescent="0.3">
      <c r="A116" s="190"/>
      <c r="B116" s="75"/>
      <c r="C116" s="76"/>
      <c r="D116" s="76"/>
      <c r="E116" s="88"/>
      <c r="F116" s="80"/>
    </row>
    <row r="117" spans="1:8" ht="24" customHeight="1" x14ac:dyDescent="0.3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3">
      <c r="A118" s="190"/>
      <c r="B118" s="75"/>
      <c r="C118" s="76"/>
      <c r="D118" s="76"/>
      <c r="E118" s="88"/>
      <c r="F118" s="80"/>
    </row>
    <row r="119" spans="1:8" ht="24" customHeight="1" x14ac:dyDescent="0.3">
      <c r="A119" s="83" t="s">
        <v>376</v>
      </c>
      <c r="B119" s="72" t="s">
        <v>377</v>
      </c>
      <c r="C119" s="214">
        <f>IF(+C121=0,0,(+C120)/(+C121))</f>
        <v>17.651208355747453</v>
      </c>
      <c r="D119" s="214">
        <f>IF(+D121=0,0,(+D120)/(+D121))</f>
        <v>17.234769245953416</v>
      </c>
      <c r="E119" s="214">
        <f>IF(+E121=0,0,(+E120)/(+E121))</f>
        <v>16.217781323679805</v>
      </c>
    </row>
    <row r="120" spans="1:8" ht="24" customHeight="1" x14ac:dyDescent="0.25">
      <c r="A120" s="85">
        <v>21</v>
      </c>
      <c r="B120" s="75" t="s">
        <v>378</v>
      </c>
      <c r="C120" s="218">
        <v>328979797</v>
      </c>
      <c r="D120" s="218">
        <v>349245364</v>
      </c>
      <c r="E120" s="218">
        <v>372195000</v>
      </c>
    </row>
    <row r="121" spans="1:8" ht="24" customHeight="1" x14ac:dyDescent="0.25">
      <c r="A121" s="85">
        <v>22</v>
      </c>
      <c r="B121" s="75" t="s">
        <v>374</v>
      </c>
      <c r="C121" s="218">
        <v>18637806</v>
      </c>
      <c r="D121" s="218">
        <v>20264000</v>
      </c>
      <c r="E121" s="218">
        <v>22949810</v>
      </c>
    </row>
    <row r="122" spans="1:8" ht="24" customHeight="1" x14ac:dyDescent="0.3">
      <c r="A122" s="190"/>
      <c r="B122" s="75"/>
      <c r="C122" s="76"/>
      <c r="D122" s="76"/>
      <c r="E122" s="88"/>
      <c r="F122" s="80"/>
    </row>
    <row r="123" spans="1:8" ht="24" customHeight="1" x14ac:dyDescent="0.3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5">
      <c r="A124" s="85">
        <v>1</v>
      </c>
      <c r="B124" s="75" t="s">
        <v>380</v>
      </c>
      <c r="C124" s="218">
        <v>59071</v>
      </c>
      <c r="D124" s="218">
        <v>58011</v>
      </c>
      <c r="E124" s="218">
        <v>54050</v>
      </c>
    </row>
    <row r="125" spans="1:8" ht="24" customHeight="1" x14ac:dyDescent="0.25">
      <c r="A125" s="85">
        <v>2</v>
      </c>
      <c r="B125" s="75" t="s">
        <v>381</v>
      </c>
      <c r="C125" s="218">
        <v>13110</v>
      </c>
      <c r="D125" s="218">
        <v>12877</v>
      </c>
      <c r="E125" s="218">
        <v>12647</v>
      </c>
    </row>
    <row r="126" spans="1:8" ht="24" customHeight="1" x14ac:dyDescent="0.25">
      <c r="A126" s="85">
        <v>3</v>
      </c>
      <c r="B126" s="75" t="s">
        <v>382</v>
      </c>
      <c r="C126" s="219">
        <f>IF(C125=0,0,C124/C125)</f>
        <v>4.505797101449275</v>
      </c>
      <c r="D126" s="219">
        <f>IF(D125=0,0,D124/D125)</f>
        <v>4.5050089306515488</v>
      </c>
      <c r="E126" s="219">
        <f>IF(E125=0,0,E124/E125)</f>
        <v>4.2737408080967816</v>
      </c>
    </row>
    <row r="127" spans="1:8" ht="24" customHeight="1" x14ac:dyDescent="0.25">
      <c r="A127" s="85">
        <v>4</v>
      </c>
      <c r="B127" s="75" t="s">
        <v>383</v>
      </c>
      <c r="C127" s="218">
        <v>192</v>
      </c>
      <c r="D127" s="218">
        <v>190</v>
      </c>
      <c r="E127" s="218">
        <v>161</v>
      </c>
    </row>
    <row r="128" spans="1:8" ht="24" customHeight="1" x14ac:dyDescent="0.25">
      <c r="A128" s="85">
        <v>5</v>
      </c>
      <c r="B128" s="75" t="s">
        <v>384</v>
      </c>
      <c r="C128" s="218">
        <v>0</v>
      </c>
      <c r="D128" s="218">
        <v>331</v>
      </c>
      <c r="E128" s="218">
        <v>333</v>
      </c>
      <c r="G128" s="220"/>
      <c r="H128" s="221"/>
    </row>
    <row r="129" spans="1:7" ht="24" customHeight="1" x14ac:dyDescent="0.25">
      <c r="A129" s="85">
        <v>6</v>
      </c>
      <c r="B129" s="75" t="s">
        <v>385</v>
      </c>
      <c r="C129" s="218">
        <v>333</v>
      </c>
      <c r="D129" s="218">
        <v>366</v>
      </c>
      <c r="E129" s="218">
        <v>366</v>
      </c>
    </row>
    <row r="130" spans="1:7" ht="24" customHeight="1" x14ac:dyDescent="0.25">
      <c r="A130" s="85">
        <v>7</v>
      </c>
      <c r="B130" s="75" t="s">
        <v>386</v>
      </c>
      <c r="C130" s="193">
        <v>0.84289999999999998</v>
      </c>
      <c r="D130" s="193">
        <v>0.83640000000000003</v>
      </c>
      <c r="E130" s="193">
        <v>0.91969999999999996</v>
      </c>
    </row>
    <row r="131" spans="1:7" ht="24" customHeight="1" x14ac:dyDescent="0.25">
      <c r="A131" s="85">
        <v>8</v>
      </c>
      <c r="B131" s="75" t="s">
        <v>387</v>
      </c>
      <c r="C131" s="193">
        <v>0.48599999999999999</v>
      </c>
      <c r="D131" s="193">
        <v>0.48010000000000003</v>
      </c>
      <c r="E131" s="193">
        <v>0.4446</v>
      </c>
    </row>
    <row r="132" spans="1:7" ht="24" customHeight="1" x14ac:dyDescent="0.25">
      <c r="A132" s="85">
        <v>9</v>
      </c>
      <c r="B132" s="75" t="s">
        <v>388</v>
      </c>
      <c r="C132" s="219">
        <v>1651</v>
      </c>
      <c r="D132" s="219">
        <v>1664.9</v>
      </c>
      <c r="E132" s="219">
        <v>1652.7</v>
      </c>
    </row>
    <row r="133" spans="1:7" ht="24" customHeight="1" x14ac:dyDescent="0.25">
      <c r="B133" s="56"/>
    </row>
    <row r="134" spans="1:7" ht="20.100000000000001" customHeight="1" x14ac:dyDescent="0.3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5">
      <c r="A135" s="226">
        <v>1</v>
      </c>
      <c r="B135" s="91" t="s">
        <v>390</v>
      </c>
      <c r="C135" s="227">
        <f>IF(C149=0,0,C143/C149)</f>
        <v>0.37664857242296695</v>
      </c>
      <c r="D135" s="227">
        <f>IF(D149=0,0,D143/D149)</f>
        <v>0.36643609587363252</v>
      </c>
      <c r="E135" s="227">
        <f>IF(E149=0,0,E143/E149)</f>
        <v>0.36951573840579499</v>
      </c>
      <c r="G135" s="220"/>
    </row>
    <row r="136" spans="1:7" ht="20.100000000000001" customHeight="1" x14ac:dyDescent="0.25">
      <c r="A136" s="226">
        <v>2</v>
      </c>
      <c r="B136" s="91" t="s">
        <v>391</v>
      </c>
      <c r="C136" s="227">
        <f>IF(C149=0,0,C144/C149)</f>
        <v>0.41582971291894416</v>
      </c>
      <c r="D136" s="227">
        <f>IF(D149=0,0,D144/D149)</f>
        <v>0.42581647474693352</v>
      </c>
      <c r="E136" s="227">
        <f>IF(E149=0,0,E144/E149)</f>
        <v>0.41751014604655662</v>
      </c>
    </row>
    <row r="137" spans="1:7" ht="20.100000000000001" customHeight="1" x14ac:dyDescent="0.25">
      <c r="A137" s="226">
        <v>3</v>
      </c>
      <c r="B137" s="91" t="s">
        <v>392</v>
      </c>
      <c r="C137" s="227">
        <f>IF(C149=0,0,C145/C149)</f>
        <v>0.16546880577503947</v>
      </c>
      <c r="D137" s="227">
        <f>IF(D149=0,0,D145/D149)</f>
        <v>0.16926619126112177</v>
      </c>
      <c r="E137" s="227">
        <f>IF(E149=0,0,E145/E149)</f>
        <v>0.17362107528018716</v>
      </c>
      <c r="G137" s="220"/>
    </row>
    <row r="138" spans="1:7" ht="20.100000000000001" customHeight="1" x14ac:dyDescent="0.25">
      <c r="A138" s="226">
        <v>4</v>
      </c>
      <c r="B138" s="91" t="s">
        <v>393</v>
      </c>
      <c r="C138" s="227">
        <f>IF(C149=0,0,C146/C149)</f>
        <v>1.6698607262744833E-3</v>
      </c>
      <c r="D138" s="227">
        <f>IF(D149=0,0,D146/D149)</f>
        <v>2.1652703019824429E-3</v>
      </c>
      <c r="E138" s="227">
        <f>IF(E149=0,0,E146/E149)</f>
        <v>2.1177605591608454E-3</v>
      </c>
      <c r="G138" s="220"/>
    </row>
    <row r="139" spans="1:7" ht="20.100000000000001" customHeight="1" x14ac:dyDescent="0.25">
      <c r="A139" s="226">
        <v>5</v>
      </c>
      <c r="B139" s="91" t="s">
        <v>394</v>
      </c>
      <c r="C139" s="227">
        <f>IF(C149=0,0,C147/C149)</f>
        <v>3.9517968909747146E-2</v>
      </c>
      <c r="D139" s="227">
        <f>IF(D149=0,0,D147/D149)</f>
        <v>3.563989421886915E-2</v>
      </c>
      <c r="E139" s="227">
        <f>IF(E149=0,0,E147/E149)</f>
        <v>3.635629123892347E-2</v>
      </c>
    </row>
    <row r="140" spans="1:7" ht="20.100000000000001" customHeight="1" x14ac:dyDescent="0.25">
      <c r="A140" s="226">
        <v>6</v>
      </c>
      <c r="B140" s="91" t="s">
        <v>395</v>
      </c>
      <c r="C140" s="227">
        <f>IF(C149=0,0,C148/C149)</f>
        <v>8.6507924702777046E-4</v>
      </c>
      <c r="D140" s="227">
        <f>IF(D149=0,0,D148/D149)</f>
        <v>6.7607359746059631E-4</v>
      </c>
      <c r="E140" s="227">
        <f>IF(E149=0,0,E148/E149)</f>
        <v>8.7898846937694837E-4</v>
      </c>
    </row>
    <row r="141" spans="1:7" ht="20.100000000000001" customHeight="1" x14ac:dyDescent="0.25">
      <c r="A141" s="226">
        <v>7</v>
      </c>
      <c r="B141" s="91" t="s">
        <v>396</v>
      </c>
      <c r="C141" s="227">
        <f>SUM(C135:C140)</f>
        <v>0.99999999999999989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5">
      <c r="A142" s="56"/>
      <c r="B142" s="56"/>
      <c r="C142" s="224"/>
      <c r="D142" s="224"/>
      <c r="E142" s="224"/>
    </row>
    <row r="143" spans="1:7" ht="20.100000000000001" customHeight="1" x14ac:dyDescent="0.25">
      <c r="A143" s="226">
        <v>8</v>
      </c>
      <c r="B143" s="224" t="s">
        <v>397</v>
      </c>
      <c r="C143" s="228">
        <f>+C46-C147</f>
        <v>339083715</v>
      </c>
      <c r="D143" s="229">
        <f>+D46-D147</f>
        <v>346306745</v>
      </c>
      <c r="E143" s="229">
        <f>+E46-E147</f>
        <v>374839328</v>
      </c>
    </row>
    <row r="144" spans="1:7" ht="20.100000000000001" customHeight="1" x14ac:dyDescent="0.25">
      <c r="A144" s="226">
        <v>9</v>
      </c>
      <c r="B144" s="224" t="s">
        <v>398</v>
      </c>
      <c r="C144" s="230">
        <f>+C51</f>
        <v>374357144</v>
      </c>
      <c r="D144" s="229">
        <f>+D51</f>
        <v>402425195</v>
      </c>
      <c r="E144" s="229">
        <f>+E51</f>
        <v>423525188</v>
      </c>
    </row>
    <row r="145" spans="1:7" ht="20.100000000000001" customHeight="1" x14ac:dyDescent="0.25">
      <c r="A145" s="226">
        <v>10</v>
      </c>
      <c r="B145" s="224" t="s">
        <v>399</v>
      </c>
      <c r="C145" s="230">
        <f>+C55</f>
        <v>148965857</v>
      </c>
      <c r="D145" s="229">
        <f>+D55</f>
        <v>159967930</v>
      </c>
      <c r="E145" s="229">
        <f>+E55</f>
        <v>176122423</v>
      </c>
    </row>
    <row r="146" spans="1:7" ht="20.100000000000001" customHeight="1" x14ac:dyDescent="0.25">
      <c r="A146" s="226">
        <v>11</v>
      </c>
      <c r="B146" s="224" t="s">
        <v>400</v>
      </c>
      <c r="C146" s="228">
        <v>1503318</v>
      </c>
      <c r="D146" s="229">
        <v>2046326</v>
      </c>
      <c r="E146" s="229">
        <v>2148271</v>
      </c>
    </row>
    <row r="147" spans="1:7" ht="20.100000000000001" customHeight="1" x14ac:dyDescent="0.25">
      <c r="A147" s="226">
        <v>12</v>
      </c>
      <c r="B147" s="224" t="s">
        <v>401</v>
      </c>
      <c r="C147" s="230">
        <f>+C47</f>
        <v>35576664</v>
      </c>
      <c r="D147" s="229">
        <f>+D47</f>
        <v>33682096</v>
      </c>
      <c r="E147" s="229">
        <f>+E47</f>
        <v>36880074</v>
      </c>
    </row>
    <row r="148" spans="1:7" ht="20.100000000000001" customHeight="1" x14ac:dyDescent="0.25">
      <c r="A148" s="226">
        <v>13</v>
      </c>
      <c r="B148" s="224" t="s">
        <v>402</v>
      </c>
      <c r="C148" s="230">
        <v>778801</v>
      </c>
      <c r="D148" s="229">
        <v>638935</v>
      </c>
      <c r="E148" s="229">
        <v>891652</v>
      </c>
    </row>
    <row r="149" spans="1:7" ht="20.100000000000001" customHeight="1" x14ac:dyDescent="0.25">
      <c r="A149" s="226">
        <v>14</v>
      </c>
      <c r="B149" s="224" t="s">
        <v>403</v>
      </c>
      <c r="C149" s="228">
        <f>SUM(C143:C148)</f>
        <v>900265499</v>
      </c>
      <c r="D149" s="229">
        <f>SUM(D143:D148)</f>
        <v>945067227</v>
      </c>
      <c r="E149" s="229">
        <f>SUM(E143:E148)</f>
        <v>1014406936</v>
      </c>
    </row>
    <row r="150" spans="1:7" ht="20.100000000000001" customHeight="1" x14ac:dyDescent="0.25">
      <c r="A150" s="56"/>
      <c r="B150" s="56"/>
      <c r="C150" s="224"/>
      <c r="D150" s="224"/>
      <c r="E150" s="224"/>
    </row>
    <row r="151" spans="1:7" ht="20.100000000000001" customHeight="1" x14ac:dyDescent="0.3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5">
      <c r="A152" s="226">
        <v>1</v>
      </c>
      <c r="B152" s="91" t="s">
        <v>405</v>
      </c>
      <c r="C152" s="227">
        <f>IF(C166=0,0,C160/C166)</f>
        <v>0.58418309561517145</v>
      </c>
      <c r="D152" s="227">
        <f>IF(D166=0,0,D160/D166)</f>
        <v>0.5749642825602399</v>
      </c>
      <c r="E152" s="227">
        <f>IF(E166=0,0,E160/E166)</f>
        <v>0.57482991583569631</v>
      </c>
    </row>
    <row r="153" spans="1:7" ht="20.100000000000001" customHeight="1" x14ac:dyDescent="0.25">
      <c r="A153" s="226">
        <v>2</v>
      </c>
      <c r="B153" s="91" t="s">
        <v>406</v>
      </c>
      <c r="C153" s="227">
        <f>IF(C166=0,0,C161/C166)</f>
        <v>0.29230038362089306</v>
      </c>
      <c r="D153" s="227">
        <f>IF(D166=0,0,D161/D166)</f>
        <v>0.30370262894831246</v>
      </c>
      <c r="E153" s="227">
        <f>IF(E166=0,0,E161/E166)</f>
        <v>0.29579299931405434</v>
      </c>
    </row>
    <row r="154" spans="1:7" ht="20.100000000000001" customHeight="1" x14ac:dyDescent="0.25">
      <c r="A154" s="226">
        <v>3</v>
      </c>
      <c r="B154" s="91" t="s">
        <v>407</v>
      </c>
      <c r="C154" s="227">
        <f>IF(C166=0,0,C162/C166)</f>
        <v>0.11388147425457366</v>
      </c>
      <c r="D154" s="227">
        <f>IF(D166=0,0,D162/D166)</f>
        <v>0.11455828078020273</v>
      </c>
      <c r="E154" s="227">
        <f>IF(E166=0,0,E162/E166)</f>
        <v>0.1143882120498511</v>
      </c>
    </row>
    <row r="155" spans="1:7" ht="20.100000000000001" customHeight="1" x14ac:dyDescent="0.25">
      <c r="A155" s="226">
        <v>4</v>
      </c>
      <c r="B155" s="91" t="s">
        <v>408</v>
      </c>
      <c r="C155" s="227">
        <f>IF(C166=0,0,C163/C166)</f>
        <v>7.8372485071263637E-4</v>
      </c>
      <c r="D155" s="227">
        <f>IF(D166=0,0,D163/D166)</f>
        <v>8.580191086265186E-4</v>
      </c>
      <c r="E155" s="227">
        <f>IF(E166=0,0,E163/E166)</f>
        <v>1.3249756966402875E-3</v>
      </c>
      <c r="G155" s="220"/>
    </row>
    <row r="156" spans="1:7" ht="20.100000000000001" customHeight="1" x14ac:dyDescent="0.25">
      <c r="A156" s="226">
        <v>5</v>
      </c>
      <c r="B156" s="91" t="s">
        <v>409</v>
      </c>
      <c r="C156" s="227">
        <f>IF(C166=0,0,C164/C166)</f>
        <v>8.3319778822405332E-3</v>
      </c>
      <c r="D156" s="227">
        <f>IF(D166=0,0,D164/D166)</f>
        <v>5.504077870673427E-3</v>
      </c>
      <c r="E156" s="227">
        <f>IF(E166=0,0,E164/E166)</f>
        <v>1.3076013182740921E-2</v>
      </c>
    </row>
    <row r="157" spans="1:7" ht="20.100000000000001" customHeight="1" x14ac:dyDescent="0.25">
      <c r="A157" s="226">
        <v>6</v>
      </c>
      <c r="B157" s="91" t="s">
        <v>410</v>
      </c>
      <c r="C157" s="227">
        <f>IF(C166=0,0,C165/C166)</f>
        <v>5.1934377640859889E-4</v>
      </c>
      <c r="D157" s="227">
        <f>IF(D166=0,0,D165/D166)</f>
        <v>4.1271073194491819E-4</v>
      </c>
      <c r="E157" s="227">
        <f>IF(E166=0,0,E165/E166)</f>
        <v>5.8788392101702424E-4</v>
      </c>
    </row>
    <row r="158" spans="1:7" ht="20.100000000000001" customHeight="1" x14ac:dyDescent="0.25">
      <c r="A158" s="226">
        <v>7</v>
      </c>
      <c r="B158" s="91" t="s">
        <v>411</v>
      </c>
      <c r="C158" s="227">
        <f>SUM(C152:C157)</f>
        <v>0.99999999999999989</v>
      </c>
      <c r="D158" s="227">
        <f>SUM(D152:D157)</f>
        <v>0.99999999999999989</v>
      </c>
      <c r="E158" s="227">
        <f>SUM(E152:E157)</f>
        <v>0.99999999999999989</v>
      </c>
    </row>
    <row r="159" spans="1:7" ht="20.100000000000001" customHeight="1" x14ac:dyDescent="0.25">
      <c r="A159" s="225"/>
      <c r="B159" s="56"/>
      <c r="C159" s="56"/>
      <c r="D159" s="225"/>
      <c r="E159" s="225"/>
    </row>
    <row r="160" spans="1:7" ht="20.100000000000001" customHeight="1" x14ac:dyDescent="0.25">
      <c r="A160" s="226">
        <v>8</v>
      </c>
      <c r="B160" s="224" t="s">
        <v>412</v>
      </c>
      <c r="C160" s="228">
        <f>+C44-C164</f>
        <v>191908162</v>
      </c>
      <c r="D160" s="229">
        <f>+D44-D164</f>
        <v>202821840</v>
      </c>
      <c r="E160" s="229">
        <f>+E44-E164</f>
        <v>210337378</v>
      </c>
    </row>
    <row r="161" spans="1:6" ht="20.100000000000001" customHeight="1" x14ac:dyDescent="0.25">
      <c r="A161" s="226">
        <v>9</v>
      </c>
      <c r="B161" s="224" t="s">
        <v>413</v>
      </c>
      <c r="C161" s="230">
        <f>+C50</f>
        <v>96022685</v>
      </c>
      <c r="D161" s="229">
        <f>+D50</f>
        <v>107132787</v>
      </c>
      <c r="E161" s="229">
        <f>+E50</f>
        <v>108234318</v>
      </c>
    </row>
    <row r="162" spans="1:6" ht="20.100000000000001" customHeight="1" x14ac:dyDescent="0.25">
      <c r="A162" s="226">
        <v>10</v>
      </c>
      <c r="B162" s="224" t="s">
        <v>414</v>
      </c>
      <c r="C162" s="230">
        <f>+C54</f>
        <v>37410847</v>
      </c>
      <c r="D162" s="229">
        <f>+D54</f>
        <v>40411069</v>
      </c>
      <c r="E162" s="229">
        <f>+E54</f>
        <v>41856062</v>
      </c>
    </row>
    <row r="163" spans="1:6" ht="20.100000000000001" customHeight="1" x14ac:dyDescent="0.25">
      <c r="A163" s="226">
        <v>11</v>
      </c>
      <c r="B163" s="224" t="s">
        <v>415</v>
      </c>
      <c r="C163" s="228">
        <v>257459</v>
      </c>
      <c r="D163" s="229">
        <v>302671</v>
      </c>
      <c r="E163" s="229">
        <v>484825</v>
      </c>
    </row>
    <row r="164" spans="1:6" ht="20.100000000000001" customHeight="1" x14ac:dyDescent="0.25">
      <c r="A164" s="226">
        <v>12</v>
      </c>
      <c r="B164" s="224" t="s">
        <v>416</v>
      </c>
      <c r="C164" s="230">
        <f>+C45</f>
        <v>2737112</v>
      </c>
      <c r="D164" s="229">
        <f>+D45</f>
        <v>1941594</v>
      </c>
      <c r="E164" s="229">
        <f>+E45</f>
        <v>4784675</v>
      </c>
    </row>
    <row r="165" spans="1:6" ht="20.100000000000001" customHeight="1" x14ac:dyDescent="0.25">
      <c r="A165" s="226">
        <v>13</v>
      </c>
      <c r="B165" s="224" t="s">
        <v>417</v>
      </c>
      <c r="C165" s="230">
        <v>170608</v>
      </c>
      <c r="D165" s="229">
        <v>145586</v>
      </c>
      <c r="E165" s="229">
        <v>215114</v>
      </c>
    </row>
    <row r="166" spans="1:6" ht="20.100000000000001" customHeight="1" x14ac:dyDescent="0.25">
      <c r="A166" s="226">
        <v>14</v>
      </c>
      <c r="B166" s="224" t="s">
        <v>418</v>
      </c>
      <c r="C166" s="228">
        <f>SUM(C160:C165)</f>
        <v>328506873</v>
      </c>
      <c r="D166" s="229">
        <f>SUM(D160:D165)</f>
        <v>352755547</v>
      </c>
      <c r="E166" s="229">
        <f>SUM(E160:E165)</f>
        <v>365912372</v>
      </c>
    </row>
    <row r="167" spans="1:6" ht="20.100000000000001" customHeight="1" x14ac:dyDescent="0.25">
      <c r="A167" s="225"/>
      <c r="B167" s="56"/>
      <c r="C167" s="56"/>
      <c r="D167" s="56"/>
      <c r="E167" s="56"/>
      <c r="F167" s="225"/>
    </row>
    <row r="168" spans="1:6" ht="20.100000000000001" customHeight="1" x14ac:dyDescent="0.3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5">
      <c r="A169" s="226">
        <v>1</v>
      </c>
      <c r="B169" s="224" t="s">
        <v>419</v>
      </c>
      <c r="C169" s="218">
        <v>4782</v>
      </c>
      <c r="D169" s="218">
        <v>4515</v>
      </c>
      <c r="E169" s="218">
        <v>4433</v>
      </c>
    </row>
    <row r="170" spans="1:6" ht="20.100000000000001" customHeight="1" x14ac:dyDescent="0.25">
      <c r="A170" s="226">
        <v>2</v>
      </c>
      <c r="B170" s="224" t="s">
        <v>420</v>
      </c>
      <c r="C170" s="218">
        <v>5620</v>
      </c>
      <c r="D170" s="218">
        <v>5676</v>
      </c>
      <c r="E170" s="218">
        <v>5492</v>
      </c>
    </row>
    <row r="171" spans="1:6" ht="20.100000000000001" customHeight="1" x14ac:dyDescent="0.25">
      <c r="A171" s="226">
        <v>3</v>
      </c>
      <c r="B171" s="224" t="s">
        <v>421</v>
      </c>
      <c r="C171" s="218">
        <v>2698</v>
      </c>
      <c r="D171" s="218">
        <v>2671</v>
      </c>
      <c r="E171" s="218">
        <v>2713</v>
      </c>
    </row>
    <row r="172" spans="1:6" ht="20.100000000000001" customHeight="1" x14ac:dyDescent="0.25">
      <c r="A172" s="226">
        <v>4</v>
      </c>
      <c r="B172" s="224" t="s">
        <v>422</v>
      </c>
      <c r="C172" s="218">
        <v>2675</v>
      </c>
      <c r="D172" s="218">
        <v>2638</v>
      </c>
      <c r="E172" s="218">
        <v>2678</v>
      </c>
    </row>
    <row r="173" spans="1:6" ht="20.100000000000001" customHeight="1" x14ac:dyDescent="0.25">
      <c r="A173" s="226">
        <v>5</v>
      </c>
      <c r="B173" s="224" t="s">
        <v>423</v>
      </c>
      <c r="C173" s="218">
        <v>23</v>
      </c>
      <c r="D173" s="218">
        <v>33</v>
      </c>
      <c r="E173" s="218">
        <v>35</v>
      </c>
    </row>
    <row r="174" spans="1:6" ht="20.100000000000001" customHeight="1" x14ac:dyDescent="0.25">
      <c r="A174" s="226">
        <v>6</v>
      </c>
      <c r="B174" s="224" t="s">
        <v>424</v>
      </c>
      <c r="C174" s="218">
        <v>10</v>
      </c>
      <c r="D174" s="218">
        <v>15</v>
      </c>
      <c r="E174" s="218">
        <v>9</v>
      </c>
    </row>
    <row r="175" spans="1:6" ht="20.100000000000001" customHeight="1" x14ac:dyDescent="0.25">
      <c r="A175" s="226">
        <v>7</v>
      </c>
      <c r="B175" s="224" t="s">
        <v>425</v>
      </c>
      <c r="C175" s="218">
        <v>231</v>
      </c>
      <c r="D175" s="218">
        <v>203</v>
      </c>
      <c r="E175" s="218">
        <v>187</v>
      </c>
    </row>
    <row r="176" spans="1:6" ht="20.100000000000001" customHeight="1" x14ac:dyDescent="0.25">
      <c r="A176" s="226">
        <v>8</v>
      </c>
      <c r="B176" s="224" t="s">
        <v>426</v>
      </c>
      <c r="C176" s="218">
        <f>+C169+C170+C171+C174</f>
        <v>13110</v>
      </c>
      <c r="D176" s="218">
        <f>+D169+D170+D171+D174</f>
        <v>12877</v>
      </c>
      <c r="E176" s="218">
        <f>+E169+E170+E171+E174</f>
        <v>12647</v>
      </c>
    </row>
    <row r="177" spans="1:6" ht="20.100000000000001" customHeight="1" x14ac:dyDescent="0.25">
      <c r="A177" s="225"/>
      <c r="B177" s="56"/>
      <c r="C177" s="56"/>
      <c r="D177" s="56"/>
      <c r="E177" s="56"/>
      <c r="F177" s="225"/>
    </row>
    <row r="178" spans="1:6" ht="20.100000000000001" customHeight="1" x14ac:dyDescent="0.3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5">
      <c r="A179" s="226">
        <v>1</v>
      </c>
      <c r="B179" s="224" t="s">
        <v>419</v>
      </c>
      <c r="C179" s="231">
        <v>1.06088</v>
      </c>
      <c r="D179" s="231">
        <v>1.0504100000000001</v>
      </c>
      <c r="E179" s="231">
        <v>1.1152</v>
      </c>
    </row>
    <row r="180" spans="1:6" ht="20.100000000000001" customHeight="1" x14ac:dyDescent="0.25">
      <c r="A180" s="226">
        <v>2</v>
      </c>
      <c r="B180" s="224" t="s">
        <v>420</v>
      </c>
      <c r="C180" s="231">
        <v>1.4339</v>
      </c>
      <c r="D180" s="231">
        <v>1.41479</v>
      </c>
      <c r="E180" s="231">
        <v>1.4616</v>
      </c>
    </row>
    <row r="181" spans="1:6" ht="20.100000000000001" customHeight="1" x14ac:dyDescent="0.25">
      <c r="A181" s="226">
        <v>3</v>
      </c>
      <c r="B181" s="224" t="s">
        <v>421</v>
      </c>
      <c r="C181" s="231">
        <v>0.95825000000000005</v>
      </c>
      <c r="D181" s="231">
        <v>0.93491500000000005</v>
      </c>
      <c r="E181" s="231">
        <v>1.044743</v>
      </c>
    </row>
    <row r="182" spans="1:6" ht="20.100000000000001" customHeight="1" x14ac:dyDescent="0.25">
      <c r="A182" s="226">
        <v>4</v>
      </c>
      <c r="B182" s="224" t="s">
        <v>422</v>
      </c>
      <c r="C182" s="231">
        <v>0.95816000000000001</v>
      </c>
      <c r="D182" s="231">
        <v>0.93062</v>
      </c>
      <c r="E182" s="231">
        <v>1.0448999999999999</v>
      </c>
    </row>
    <row r="183" spans="1:6" ht="20.100000000000001" customHeight="1" x14ac:dyDescent="0.25">
      <c r="A183" s="226">
        <v>5</v>
      </c>
      <c r="B183" s="224" t="s">
        <v>423</v>
      </c>
      <c r="C183" s="231">
        <v>0.96879999999999999</v>
      </c>
      <c r="D183" s="231">
        <v>1.27826</v>
      </c>
      <c r="E183" s="231">
        <v>1.0327999999999999</v>
      </c>
    </row>
    <row r="184" spans="1:6" ht="20.100000000000001" customHeight="1" x14ac:dyDescent="0.25">
      <c r="A184" s="226">
        <v>6</v>
      </c>
      <c r="B184" s="224" t="s">
        <v>424</v>
      </c>
      <c r="C184" s="231">
        <v>1.3916299999999999</v>
      </c>
      <c r="D184" s="231">
        <v>0.68359999999999999</v>
      </c>
      <c r="E184" s="231">
        <v>2.1718000000000002</v>
      </c>
    </row>
    <row r="185" spans="1:6" ht="20.100000000000001" customHeight="1" x14ac:dyDescent="0.25">
      <c r="A185" s="226">
        <v>7</v>
      </c>
      <c r="B185" s="224" t="s">
        <v>425</v>
      </c>
      <c r="C185" s="231">
        <v>1.11775</v>
      </c>
      <c r="D185" s="231">
        <v>1.0284199999999999</v>
      </c>
      <c r="E185" s="231">
        <v>1.0905</v>
      </c>
    </row>
    <row r="186" spans="1:6" ht="20.100000000000001" customHeight="1" x14ac:dyDescent="0.25">
      <c r="A186" s="226">
        <v>8</v>
      </c>
      <c r="B186" s="224" t="s">
        <v>429</v>
      </c>
      <c r="C186" s="231">
        <v>1.1999169999999999</v>
      </c>
      <c r="D186" s="231">
        <v>1.186639</v>
      </c>
      <c r="E186" s="231">
        <v>1.251263</v>
      </c>
    </row>
    <row r="187" spans="1:6" ht="20.100000000000001" customHeight="1" x14ac:dyDescent="0.25">
      <c r="A187" s="225"/>
      <c r="B187" s="56"/>
      <c r="C187" s="56"/>
      <c r="D187" s="56"/>
      <c r="E187" s="56"/>
      <c r="F187" s="225"/>
    </row>
    <row r="188" spans="1:6" ht="20.100000000000001" customHeight="1" x14ac:dyDescent="0.3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5">
      <c r="A189" s="226">
        <v>1</v>
      </c>
      <c r="B189" s="224" t="s">
        <v>432</v>
      </c>
      <c r="C189" s="218">
        <v>8767</v>
      </c>
      <c r="D189" s="218">
        <v>8591</v>
      </c>
      <c r="E189" s="218">
        <v>8541</v>
      </c>
    </row>
    <row r="190" spans="1:6" ht="20.100000000000001" customHeight="1" x14ac:dyDescent="0.25">
      <c r="A190" s="226">
        <v>2</v>
      </c>
      <c r="B190" s="224" t="s">
        <v>433</v>
      </c>
      <c r="C190" s="218">
        <v>39091</v>
      </c>
      <c r="D190" s="218">
        <v>36759</v>
      </c>
      <c r="E190" s="218">
        <v>38061</v>
      </c>
    </row>
    <row r="191" spans="1:6" ht="20.100000000000001" customHeight="1" x14ac:dyDescent="0.25">
      <c r="A191" s="226">
        <v>3</v>
      </c>
      <c r="B191" s="224" t="s">
        <v>434</v>
      </c>
      <c r="C191" s="218">
        <f>+C190+C189</f>
        <v>47858</v>
      </c>
      <c r="D191" s="218">
        <f>+D190+D189</f>
        <v>45350</v>
      </c>
      <c r="E191" s="218">
        <f>+E190+E189</f>
        <v>46602</v>
      </c>
    </row>
    <row r="192" spans="1:6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</sheetData>
  <printOptions gridLines="1"/>
  <pageMargins left="0.25" right="0.25" top="0.5" bottom="0.5" header="0.25" footer="0.25"/>
  <pageSetup scale="76" fitToHeight="0" orientation="portrait" horizontalDpi="300" verticalDpi="300" r:id="rId1"/>
  <headerFooter>
    <oddHeader>&amp;LOFFICE OF HEALTH CARE ACCESS&amp;CTWELVE MONTHS ACTUAL FILING&amp;RNORWALK HOSPITAL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B30" sqref="B30"/>
    </sheetView>
  </sheetViews>
  <sheetFormatPr defaultColWidth="9.109375" defaultRowHeight="20.25" customHeight="1" x14ac:dyDescent="0.35"/>
  <cols>
    <col min="1" max="1" width="10.88671875" style="235" customWidth="1"/>
    <col min="2" max="2" width="77" style="235" customWidth="1"/>
    <col min="3" max="3" width="23.5546875" style="245" customWidth="1"/>
    <col min="4" max="4" width="21.33203125" style="235" customWidth="1"/>
    <col min="5" max="5" width="22.44140625" style="235" customWidth="1"/>
    <col min="6" max="6" width="22.33203125" style="235" bestFit="1" customWidth="1"/>
    <col min="7" max="16384" width="9.109375" style="235"/>
  </cols>
  <sheetData>
    <row r="1" spans="1:7" ht="20.25" customHeight="1" x14ac:dyDescent="0.4">
      <c r="A1" s="232"/>
      <c r="B1" s="232"/>
      <c r="C1" s="233"/>
      <c r="D1" s="234"/>
      <c r="E1" s="234"/>
      <c r="F1" s="234"/>
    </row>
    <row r="2" spans="1:7" ht="20.25" customHeight="1" x14ac:dyDescent="0.4">
      <c r="A2" s="802" t="s">
        <v>0</v>
      </c>
      <c r="B2" s="802"/>
      <c r="C2" s="802"/>
      <c r="D2" s="802"/>
      <c r="E2" s="802"/>
      <c r="F2" s="802"/>
    </row>
    <row r="3" spans="1:7" ht="20.25" customHeight="1" x14ac:dyDescent="0.4">
      <c r="A3" s="802" t="s">
        <v>1</v>
      </c>
      <c r="B3" s="802"/>
      <c r="C3" s="802"/>
      <c r="D3" s="802"/>
      <c r="E3" s="802"/>
      <c r="F3" s="802"/>
    </row>
    <row r="4" spans="1:7" ht="20.25" customHeight="1" x14ac:dyDescent="0.4">
      <c r="A4" s="802" t="s">
        <v>2</v>
      </c>
      <c r="B4" s="802"/>
      <c r="C4" s="802"/>
      <c r="D4" s="802"/>
      <c r="E4" s="802"/>
      <c r="F4" s="802"/>
    </row>
    <row r="5" spans="1:7" ht="20.25" customHeight="1" x14ac:dyDescent="0.4">
      <c r="A5" s="802" t="s">
        <v>435</v>
      </c>
      <c r="B5" s="802"/>
      <c r="C5" s="802"/>
      <c r="D5" s="802"/>
      <c r="E5" s="802"/>
      <c r="F5" s="802"/>
    </row>
    <row r="6" spans="1:7" ht="20.25" customHeight="1" thickBot="1" x14ac:dyDescent="0.45">
      <c r="A6" s="232"/>
      <c r="B6" s="232"/>
      <c r="C6" s="233"/>
    </row>
    <row r="7" spans="1:7" ht="20.25" customHeight="1" x14ac:dyDescent="0.4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4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4">
      <c r="A9" s="246"/>
      <c r="B9" s="247"/>
      <c r="C9" s="803"/>
      <c r="D9" s="804"/>
      <c r="E9" s="804"/>
      <c r="F9" s="805"/>
      <c r="G9" s="245"/>
    </row>
    <row r="10" spans="1:7" ht="20.25" customHeight="1" x14ac:dyDescent="0.35">
      <c r="A10" s="806" t="s">
        <v>12</v>
      </c>
      <c r="B10" s="786" t="s">
        <v>114</v>
      </c>
      <c r="C10" s="788"/>
      <c r="D10" s="789"/>
      <c r="E10" s="789"/>
      <c r="F10" s="790"/>
    </row>
    <row r="11" spans="1:7" ht="20.25" customHeight="1" x14ac:dyDescent="0.35">
      <c r="A11" s="795"/>
      <c r="B11" s="787"/>
      <c r="C11" s="791"/>
      <c r="D11" s="792"/>
      <c r="E11" s="792"/>
      <c r="F11" s="793"/>
    </row>
    <row r="12" spans="1:7" ht="20.25" customHeight="1" x14ac:dyDescent="0.4">
      <c r="A12" s="248"/>
      <c r="B12" s="249"/>
      <c r="C12" s="250"/>
      <c r="D12" s="250"/>
      <c r="E12" s="250"/>
      <c r="F12" s="250"/>
    </row>
    <row r="13" spans="1:7" ht="18.75" customHeight="1" x14ac:dyDescent="0.4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5">
      <c r="A14" s="256">
        <v>1</v>
      </c>
      <c r="B14" s="257" t="s">
        <v>441</v>
      </c>
      <c r="C14" s="258">
        <v>1052736</v>
      </c>
      <c r="D14" s="258">
        <v>1808194</v>
      </c>
      <c r="E14" s="258">
        <f t="shared" ref="E14:E24" si="0">D14-C14</f>
        <v>755458</v>
      </c>
      <c r="F14" s="259">
        <f t="shared" ref="F14:F24" si="1">IF(C14=0,0,E14/C14)</f>
        <v>0.71761391269986019</v>
      </c>
    </row>
    <row r="15" spans="1:7" ht="20.25" customHeight="1" x14ac:dyDescent="0.35">
      <c r="A15" s="256">
        <v>2</v>
      </c>
      <c r="B15" s="257" t="s">
        <v>442</v>
      </c>
      <c r="C15" s="258">
        <v>343646</v>
      </c>
      <c r="D15" s="258">
        <v>460620</v>
      </c>
      <c r="E15" s="258">
        <f t="shared" si="0"/>
        <v>116974</v>
      </c>
      <c r="F15" s="259">
        <f t="shared" si="1"/>
        <v>0.34039098374490029</v>
      </c>
    </row>
    <row r="16" spans="1:7" ht="20.25" customHeight="1" x14ac:dyDescent="0.35">
      <c r="A16" s="256">
        <v>3</v>
      </c>
      <c r="B16" s="257" t="s">
        <v>443</v>
      </c>
      <c r="C16" s="258">
        <v>409810</v>
      </c>
      <c r="D16" s="258">
        <v>1045266</v>
      </c>
      <c r="E16" s="258">
        <f t="shared" si="0"/>
        <v>635456</v>
      </c>
      <c r="F16" s="259">
        <f t="shared" si="1"/>
        <v>1.5506112588760645</v>
      </c>
    </row>
    <row r="17" spans="1:6" ht="20.25" customHeight="1" x14ac:dyDescent="0.35">
      <c r="A17" s="256">
        <v>4</v>
      </c>
      <c r="B17" s="257" t="s">
        <v>444</v>
      </c>
      <c r="C17" s="258">
        <v>53083</v>
      </c>
      <c r="D17" s="258">
        <v>214437</v>
      </c>
      <c r="E17" s="258">
        <f t="shared" si="0"/>
        <v>161354</v>
      </c>
      <c r="F17" s="259">
        <f t="shared" si="1"/>
        <v>3.0396548800934386</v>
      </c>
    </row>
    <row r="18" spans="1:6" ht="20.25" customHeight="1" x14ac:dyDescent="0.35">
      <c r="A18" s="256">
        <v>5</v>
      </c>
      <c r="B18" s="257" t="s">
        <v>381</v>
      </c>
      <c r="C18" s="260">
        <v>26</v>
      </c>
      <c r="D18" s="260">
        <v>42</v>
      </c>
      <c r="E18" s="260">
        <f t="shared" si="0"/>
        <v>16</v>
      </c>
      <c r="F18" s="259">
        <f t="shared" si="1"/>
        <v>0.61538461538461542</v>
      </c>
    </row>
    <row r="19" spans="1:6" ht="20.25" customHeight="1" x14ac:dyDescent="0.35">
      <c r="A19" s="256">
        <v>6</v>
      </c>
      <c r="B19" s="257" t="s">
        <v>380</v>
      </c>
      <c r="C19" s="260">
        <v>118</v>
      </c>
      <c r="D19" s="260">
        <v>218</v>
      </c>
      <c r="E19" s="260">
        <f t="shared" si="0"/>
        <v>100</v>
      </c>
      <c r="F19" s="259">
        <f t="shared" si="1"/>
        <v>0.84745762711864403</v>
      </c>
    </row>
    <row r="20" spans="1:6" ht="20.25" customHeight="1" x14ac:dyDescent="0.35">
      <c r="A20" s="256">
        <v>7</v>
      </c>
      <c r="B20" s="257" t="s">
        <v>445</v>
      </c>
      <c r="C20" s="260">
        <v>141</v>
      </c>
      <c r="D20" s="260">
        <v>395</v>
      </c>
      <c r="E20" s="260">
        <f t="shared" si="0"/>
        <v>254</v>
      </c>
      <c r="F20" s="259">
        <f t="shared" si="1"/>
        <v>1.801418439716312</v>
      </c>
    </row>
    <row r="21" spans="1:6" ht="20.25" customHeight="1" x14ac:dyDescent="0.35">
      <c r="A21" s="256">
        <v>8</v>
      </c>
      <c r="B21" s="257" t="s">
        <v>446</v>
      </c>
      <c r="C21" s="260">
        <v>19</v>
      </c>
      <c r="D21" s="260">
        <v>81</v>
      </c>
      <c r="E21" s="260">
        <f t="shared" si="0"/>
        <v>62</v>
      </c>
      <c r="F21" s="259">
        <f t="shared" si="1"/>
        <v>3.263157894736842</v>
      </c>
    </row>
    <row r="22" spans="1:6" ht="20.25" customHeight="1" x14ac:dyDescent="0.35">
      <c r="A22" s="256">
        <v>9</v>
      </c>
      <c r="B22" s="257" t="s">
        <v>447</v>
      </c>
      <c r="C22" s="260">
        <v>24</v>
      </c>
      <c r="D22" s="260">
        <v>39</v>
      </c>
      <c r="E22" s="260">
        <f t="shared" si="0"/>
        <v>15</v>
      </c>
      <c r="F22" s="259">
        <f t="shared" si="1"/>
        <v>0.625</v>
      </c>
    </row>
    <row r="23" spans="1:6" s="265" customFormat="1" ht="20.25" customHeight="1" x14ac:dyDescent="0.4">
      <c r="A23" s="261"/>
      <c r="B23" s="262" t="s">
        <v>448</v>
      </c>
      <c r="C23" s="263">
        <f>+C14+C16</f>
        <v>1462546</v>
      </c>
      <c r="D23" s="263">
        <f>+D14+D16</f>
        <v>2853460</v>
      </c>
      <c r="E23" s="263">
        <f t="shared" si="0"/>
        <v>1390914</v>
      </c>
      <c r="F23" s="264">
        <f t="shared" si="1"/>
        <v>0.9510223951930401</v>
      </c>
    </row>
    <row r="24" spans="1:6" s="265" customFormat="1" ht="20.25" customHeight="1" x14ac:dyDescent="0.4">
      <c r="A24" s="261"/>
      <c r="B24" s="262" t="s">
        <v>449</v>
      </c>
      <c r="C24" s="263">
        <f>+C15+C17</f>
        <v>396729</v>
      </c>
      <c r="D24" s="263">
        <f>+D15+D17</f>
        <v>675057</v>
      </c>
      <c r="E24" s="263">
        <f t="shared" si="0"/>
        <v>278328</v>
      </c>
      <c r="F24" s="264">
        <f t="shared" si="1"/>
        <v>0.70155698222212137</v>
      </c>
    </row>
    <row r="25" spans="1:6" s="265" customFormat="1" ht="20.25" customHeight="1" x14ac:dyDescent="0.4">
      <c r="A25" s="266"/>
      <c r="B25" s="262"/>
      <c r="C25" s="263"/>
      <c r="D25" s="263"/>
      <c r="E25" s="263"/>
      <c r="F25" s="264"/>
    </row>
    <row r="26" spans="1:6" ht="18.75" customHeight="1" x14ac:dyDescent="0.4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5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5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5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5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5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5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5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5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5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4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4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4">
      <c r="A38" s="266"/>
      <c r="B38" s="262"/>
      <c r="C38" s="263"/>
      <c r="D38" s="263"/>
      <c r="E38" s="263"/>
      <c r="F38" s="264"/>
    </row>
    <row r="39" spans="1:6" ht="18.75" customHeight="1" x14ac:dyDescent="0.4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5">
      <c r="A40" s="256">
        <v>1</v>
      </c>
      <c r="B40" s="257" t="s">
        <v>441</v>
      </c>
      <c r="C40" s="258">
        <v>5957226</v>
      </c>
      <c r="D40" s="258">
        <v>5422608</v>
      </c>
      <c r="E40" s="258">
        <f t="shared" ref="E40:E50" si="4">D40-C40</f>
        <v>-534618</v>
      </c>
      <c r="F40" s="259">
        <f t="shared" ref="F40:F50" si="5">IF(C40=0,0,E40/C40)</f>
        <v>-8.9742776251899789E-2</v>
      </c>
    </row>
    <row r="41" spans="1:6" ht="20.25" customHeight="1" x14ac:dyDescent="0.35">
      <c r="A41" s="256">
        <v>2</v>
      </c>
      <c r="B41" s="257" t="s">
        <v>442</v>
      </c>
      <c r="C41" s="258">
        <v>1764178</v>
      </c>
      <c r="D41" s="258">
        <v>1414157</v>
      </c>
      <c r="E41" s="258">
        <f t="shared" si="4"/>
        <v>-350021</v>
      </c>
      <c r="F41" s="259">
        <f t="shared" si="5"/>
        <v>-0.19840458275752221</v>
      </c>
    </row>
    <row r="42" spans="1:6" ht="20.25" customHeight="1" x14ac:dyDescent="0.35">
      <c r="A42" s="256">
        <v>3</v>
      </c>
      <c r="B42" s="257" t="s">
        <v>443</v>
      </c>
      <c r="C42" s="258">
        <v>5271169</v>
      </c>
      <c r="D42" s="258">
        <v>5931084</v>
      </c>
      <c r="E42" s="258">
        <f t="shared" si="4"/>
        <v>659915</v>
      </c>
      <c r="F42" s="259">
        <f t="shared" si="5"/>
        <v>0.12519329203825566</v>
      </c>
    </row>
    <row r="43" spans="1:6" ht="20.25" customHeight="1" x14ac:dyDescent="0.35">
      <c r="A43" s="256">
        <v>4</v>
      </c>
      <c r="B43" s="257" t="s">
        <v>444</v>
      </c>
      <c r="C43" s="258">
        <v>754104</v>
      </c>
      <c r="D43" s="258">
        <v>1335687</v>
      </c>
      <c r="E43" s="258">
        <f t="shared" si="4"/>
        <v>581583</v>
      </c>
      <c r="F43" s="259">
        <f t="shared" si="5"/>
        <v>0.77122386302154611</v>
      </c>
    </row>
    <row r="44" spans="1:6" ht="20.25" customHeight="1" x14ac:dyDescent="0.35">
      <c r="A44" s="256">
        <v>5</v>
      </c>
      <c r="B44" s="257" t="s">
        <v>381</v>
      </c>
      <c r="C44" s="260">
        <v>126</v>
      </c>
      <c r="D44" s="260">
        <v>123</v>
      </c>
      <c r="E44" s="260">
        <f t="shared" si="4"/>
        <v>-3</v>
      </c>
      <c r="F44" s="259">
        <f t="shared" si="5"/>
        <v>-2.3809523809523808E-2</v>
      </c>
    </row>
    <row r="45" spans="1:6" ht="20.25" customHeight="1" x14ac:dyDescent="0.35">
      <c r="A45" s="256">
        <v>6</v>
      </c>
      <c r="B45" s="257" t="s">
        <v>380</v>
      </c>
      <c r="C45" s="260">
        <v>744</v>
      </c>
      <c r="D45" s="260">
        <v>566</v>
      </c>
      <c r="E45" s="260">
        <f t="shared" si="4"/>
        <v>-178</v>
      </c>
      <c r="F45" s="259">
        <f t="shared" si="5"/>
        <v>-0.239247311827957</v>
      </c>
    </row>
    <row r="46" spans="1:6" ht="20.25" customHeight="1" x14ac:dyDescent="0.35">
      <c r="A46" s="256">
        <v>7</v>
      </c>
      <c r="B46" s="257" t="s">
        <v>445</v>
      </c>
      <c r="C46" s="260">
        <v>2341</v>
      </c>
      <c r="D46" s="260">
        <v>2079</v>
      </c>
      <c r="E46" s="260">
        <f t="shared" si="4"/>
        <v>-262</v>
      </c>
      <c r="F46" s="259">
        <f t="shared" si="5"/>
        <v>-0.11191798376762067</v>
      </c>
    </row>
    <row r="47" spans="1:6" ht="20.25" customHeight="1" x14ac:dyDescent="0.35">
      <c r="A47" s="256">
        <v>8</v>
      </c>
      <c r="B47" s="257" t="s">
        <v>446</v>
      </c>
      <c r="C47" s="260">
        <v>145</v>
      </c>
      <c r="D47" s="260">
        <v>162</v>
      </c>
      <c r="E47" s="260">
        <f t="shared" si="4"/>
        <v>17</v>
      </c>
      <c r="F47" s="259">
        <f t="shared" si="5"/>
        <v>0.11724137931034483</v>
      </c>
    </row>
    <row r="48" spans="1:6" ht="20.25" customHeight="1" x14ac:dyDescent="0.35">
      <c r="A48" s="256">
        <v>9</v>
      </c>
      <c r="B48" s="257" t="s">
        <v>447</v>
      </c>
      <c r="C48" s="260">
        <v>107</v>
      </c>
      <c r="D48" s="260">
        <v>104</v>
      </c>
      <c r="E48" s="260">
        <f t="shared" si="4"/>
        <v>-3</v>
      </c>
      <c r="F48" s="259">
        <f t="shared" si="5"/>
        <v>-2.8037383177570093E-2</v>
      </c>
    </row>
    <row r="49" spans="1:6" s="265" customFormat="1" ht="20.25" customHeight="1" x14ac:dyDescent="0.4">
      <c r="A49" s="261"/>
      <c r="B49" s="262" t="s">
        <v>448</v>
      </c>
      <c r="C49" s="263">
        <f>+C40+C42</f>
        <v>11228395</v>
      </c>
      <c r="D49" s="263">
        <f>+D40+D42</f>
        <v>11353692</v>
      </c>
      <c r="E49" s="263">
        <f t="shared" si="4"/>
        <v>125297</v>
      </c>
      <c r="F49" s="264">
        <f t="shared" si="5"/>
        <v>1.1158941237817159E-2</v>
      </c>
    </row>
    <row r="50" spans="1:6" s="265" customFormat="1" ht="20.25" customHeight="1" x14ac:dyDescent="0.4">
      <c r="A50" s="261"/>
      <c r="B50" s="262" t="s">
        <v>449</v>
      </c>
      <c r="C50" s="263">
        <f>+C41+C43</f>
        <v>2518282</v>
      </c>
      <c r="D50" s="263">
        <f>+D41+D43</f>
        <v>2749844</v>
      </c>
      <c r="E50" s="263">
        <f t="shared" si="4"/>
        <v>231562</v>
      </c>
      <c r="F50" s="264">
        <f t="shared" si="5"/>
        <v>9.1952370703519304E-2</v>
      </c>
    </row>
    <row r="51" spans="1:6" s="265" customFormat="1" ht="20.25" customHeight="1" x14ac:dyDescent="0.4">
      <c r="A51" s="266"/>
      <c r="B51" s="262"/>
      <c r="C51" s="263"/>
      <c r="D51" s="263"/>
      <c r="E51" s="263"/>
      <c r="F51" s="264"/>
    </row>
    <row r="52" spans="1:6" ht="18.75" customHeight="1" x14ac:dyDescent="0.4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5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5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5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5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5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5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5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5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5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4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4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4">
      <c r="A64" s="266"/>
      <c r="B64" s="262"/>
      <c r="C64" s="263"/>
      <c r="D64" s="263"/>
      <c r="E64" s="263"/>
      <c r="F64" s="264"/>
    </row>
    <row r="65" spans="1:6" ht="18.75" customHeight="1" x14ac:dyDescent="0.4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5">
      <c r="A66" s="256">
        <v>1</v>
      </c>
      <c r="B66" s="257" t="s">
        <v>441</v>
      </c>
      <c r="C66" s="258">
        <v>1110659</v>
      </c>
      <c r="D66" s="258">
        <v>413499</v>
      </c>
      <c r="E66" s="258">
        <f t="shared" ref="E66:E76" si="8">D66-C66</f>
        <v>-697160</v>
      </c>
      <c r="F66" s="259">
        <f t="shared" ref="F66:F76" si="9">IF(C66=0,0,E66/C66)</f>
        <v>-0.62769941089029124</v>
      </c>
    </row>
    <row r="67" spans="1:6" ht="20.25" customHeight="1" x14ac:dyDescent="0.35">
      <c r="A67" s="256">
        <v>2</v>
      </c>
      <c r="B67" s="257" t="s">
        <v>442</v>
      </c>
      <c r="C67" s="258">
        <v>279793</v>
      </c>
      <c r="D67" s="258">
        <v>93714</v>
      </c>
      <c r="E67" s="258">
        <f t="shared" si="8"/>
        <v>-186079</v>
      </c>
      <c r="F67" s="259">
        <f t="shared" si="9"/>
        <v>-0.66505952614968922</v>
      </c>
    </row>
    <row r="68" spans="1:6" ht="20.25" customHeight="1" x14ac:dyDescent="0.35">
      <c r="A68" s="256">
        <v>3</v>
      </c>
      <c r="B68" s="257" t="s">
        <v>443</v>
      </c>
      <c r="C68" s="258">
        <v>334439</v>
      </c>
      <c r="D68" s="258">
        <v>204618</v>
      </c>
      <c r="E68" s="258">
        <f t="shared" si="8"/>
        <v>-129821</v>
      </c>
      <c r="F68" s="259">
        <f t="shared" si="9"/>
        <v>-0.38817542212481199</v>
      </c>
    </row>
    <row r="69" spans="1:6" ht="20.25" customHeight="1" x14ac:dyDescent="0.35">
      <c r="A69" s="256">
        <v>4</v>
      </c>
      <c r="B69" s="257" t="s">
        <v>444</v>
      </c>
      <c r="C69" s="258">
        <v>38317</v>
      </c>
      <c r="D69" s="258">
        <v>32136</v>
      </c>
      <c r="E69" s="258">
        <f t="shared" si="8"/>
        <v>-6181</v>
      </c>
      <c r="F69" s="259">
        <f t="shared" si="9"/>
        <v>-0.16131221129002793</v>
      </c>
    </row>
    <row r="70" spans="1:6" ht="20.25" customHeight="1" x14ac:dyDescent="0.35">
      <c r="A70" s="256">
        <v>5</v>
      </c>
      <c r="B70" s="257" t="s">
        <v>381</v>
      </c>
      <c r="C70" s="260">
        <v>21</v>
      </c>
      <c r="D70" s="260">
        <v>11</v>
      </c>
      <c r="E70" s="260">
        <f t="shared" si="8"/>
        <v>-10</v>
      </c>
      <c r="F70" s="259">
        <f t="shared" si="9"/>
        <v>-0.47619047619047616</v>
      </c>
    </row>
    <row r="71" spans="1:6" ht="20.25" customHeight="1" x14ac:dyDescent="0.35">
      <c r="A71" s="256">
        <v>6</v>
      </c>
      <c r="B71" s="257" t="s">
        <v>380</v>
      </c>
      <c r="C71" s="260">
        <v>143</v>
      </c>
      <c r="D71" s="260">
        <v>55</v>
      </c>
      <c r="E71" s="260">
        <f t="shared" si="8"/>
        <v>-88</v>
      </c>
      <c r="F71" s="259">
        <f t="shared" si="9"/>
        <v>-0.61538461538461542</v>
      </c>
    </row>
    <row r="72" spans="1:6" ht="20.25" customHeight="1" x14ac:dyDescent="0.35">
      <c r="A72" s="256">
        <v>7</v>
      </c>
      <c r="B72" s="257" t="s">
        <v>445</v>
      </c>
      <c r="C72" s="260">
        <v>117</v>
      </c>
      <c r="D72" s="260">
        <v>45</v>
      </c>
      <c r="E72" s="260">
        <f t="shared" si="8"/>
        <v>-72</v>
      </c>
      <c r="F72" s="259">
        <f t="shared" si="9"/>
        <v>-0.61538461538461542</v>
      </c>
    </row>
    <row r="73" spans="1:6" ht="20.25" customHeight="1" x14ac:dyDescent="0.35">
      <c r="A73" s="256">
        <v>8</v>
      </c>
      <c r="B73" s="257" t="s">
        <v>446</v>
      </c>
      <c r="C73" s="260">
        <v>34</v>
      </c>
      <c r="D73" s="260">
        <v>29</v>
      </c>
      <c r="E73" s="260">
        <f t="shared" si="8"/>
        <v>-5</v>
      </c>
      <c r="F73" s="259">
        <f t="shared" si="9"/>
        <v>-0.14705882352941177</v>
      </c>
    </row>
    <row r="74" spans="1:6" ht="20.25" customHeight="1" x14ac:dyDescent="0.35">
      <c r="A74" s="256">
        <v>9</v>
      </c>
      <c r="B74" s="257" t="s">
        <v>447</v>
      </c>
      <c r="C74" s="260">
        <v>21</v>
      </c>
      <c r="D74" s="260">
        <v>9</v>
      </c>
      <c r="E74" s="260">
        <f t="shared" si="8"/>
        <v>-12</v>
      </c>
      <c r="F74" s="259">
        <f t="shared" si="9"/>
        <v>-0.5714285714285714</v>
      </c>
    </row>
    <row r="75" spans="1:6" s="265" customFormat="1" ht="20.25" customHeight="1" x14ac:dyDescent="0.4">
      <c r="A75" s="261"/>
      <c r="B75" s="262" t="s">
        <v>448</v>
      </c>
      <c r="C75" s="263">
        <f>+C66+C68</f>
        <v>1445098</v>
      </c>
      <c r="D75" s="263">
        <f>+D66+D68</f>
        <v>618117</v>
      </c>
      <c r="E75" s="263">
        <f t="shared" si="8"/>
        <v>-826981</v>
      </c>
      <c r="F75" s="264">
        <f t="shared" si="9"/>
        <v>-0.57226637916598044</v>
      </c>
    </row>
    <row r="76" spans="1:6" s="265" customFormat="1" ht="20.25" customHeight="1" x14ac:dyDescent="0.4">
      <c r="A76" s="261"/>
      <c r="B76" s="262" t="s">
        <v>449</v>
      </c>
      <c r="C76" s="263">
        <f>+C67+C69</f>
        <v>318110</v>
      </c>
      <c r="D76" s="263">
        <f>+D67+D69</f>
        <v>125850</v>
      </c>
      <c r="E76" s="263">
        <f t="shared" si="8"/>
        <v>-192260</v>
      </c>
      <c r="F76" s="264">
        <f t="shared" si="9"/>
        <v>-0.60438213196692969</v>
      </c>
    </row>
    <row r="77" spans="1:6" s="265" customFormat="1" ht="20.25" customHeight="1" x14ac:dyDescent="0.4">
      <c r="A77" s="266"/>
      <c r="B77" s="262"/>
      <c r="C77" s="263"/>
      <c r="D77" s="263"/>
      <c r="E77" s="263"/>
      <c r="F77" s="264"/>
    </row>
    <row r="78" spans="1:6" ht="18.75" customHeight="1" x14ac:dyDescent="0.4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5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5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5">
      <c r="A81" s="256">
        <v>3</v>
      </c>
      <c r="B81" s="257" t="s">
        <v>443</v>
      </c>
      <c r="C81" s="258">
        <v>7773</v>
      </c>
      <c r="D81" s="258">
        <v>10874</v>
      </c>
      <c r="E81" s="258">
        <f t="shared" si="10"/>
        <v>3101</v>
      </c>
      <c r="F81" s="259">
        <f t="shared" si="11"/>
        <v>0.39894506625498521</v>
      </c>
    </row>
    <row r="82" spans="1:6" ht="20.25" customHeight="1" x14ac:dyDescent="0.35">
      <c r="A82" s="256">
        <v>4</v>
      </c>
      <c r="B82" s="257" t="s">
        <v>444</v>
      </c>
      <c r="C82" s="258">
        <v>712</v>
      </c>
      <c r="D82" s="258">
        <v>1758</v>
      </c>
      <c r="E82" s="258">
        <f t="shared" si="10"/>
        <v>1046</v>
      </c>
      <c r="F82" s="259">
        <f t="shared" si="11"/>
        <v>1.4691011235955056</v>
      </c>
    </row>
    <row r="83" spans="1:6" ht="20.25" customHeight="1" x14ac:dyDescent="0.35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5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5">
      <c r="A85" s="256">
        <v>7</v>
      </c>
      <c r="B85" s="257" t="s">
        <v>445</v>
      </c>
      <c r="C85" s="260">
        <v>4</v>
      </c>
      <c r="D85" s="260">
        <v>12</v>
      </c>
      <c r="E85" s="260">
        <f t="shared" si="10"/>
        <v>8</v>
      </c>
      <c r="F85" s="259">
        <f t="shared" si="11"/>
        <v>2</v>
      </c>
    </row>
    <row r="86" spans="1:6" ht="20.25" customHeight="1" x14ac:dyDescent="0.35">
      <c r="A86" s="256">
        <v>8</v>
      </c>
      <c r="B86" s="257" t="s">
        <v>446</v>
      </c>
      <c r="C86" s="260">
        <v>1</v>
      </c>
      <c r="D86" s="260">
        <v>1</v>
      </c>
      <c r="E86" s="260">
        <f t="shared" si="10"/>
        <v>0</v>
      </c>
      <c r="F86" s="259">
        <f t="shared" si="11"/>
        <v>0</v>
      </c>
    </row>
    <row r="87" spans="1:6" ht="20.25" customHeight="1" x14ac:dyDescent="0.35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4">
      <c r="A88" s="261"/>
      <c r="B88" s="262" t="s">
        <v>448</v>
      </c>
      <c r="C88" s="263">
        <f>+C79+C81</f>
        <v>7773</v>
      </c>
      <c r="D88" s="263">
        <f>+D79+D81</f>
        <v>10874</v>
      </c>
      <c r="E88" s="263">
        <f t="shared" si="10"/>
        <v>3101</v>
      </c>
      <c r="F88" s="264">
        <f t="shared" si="11"/>
        <v>0.39894506625498521</v>
      </c>
    </row>
    <row r="89" spans="1:6" s="265" customFormat="1" ht="20.25" customHeight="1" x14ac:dyDescent="0.4">
      <c r="A89" s="261"/>
      <c r="B89" s="262" t="s">
        <v>449</v>
      </c>
      <c r="C89" s="263">
        <f>+C80+C82</f>
        <v>712</v>
      </c>
      <c r="D89" s="263">
        <f>+D80+D82</f>
        <v>1758</v>
      </c>
      <c r="E89" s="263">
        <f t="shared" si="10"/>
        <v>1046</v>
      </c>
      <c r="F89" s="264">
        <f t="shared" si="11"/>
        <v>1.4691011235955056</v>
      </c>
    </row>
    <row r="90" spans="1:6" s="265" customFormat="1" ht="20.25" customHeight="1" x14ac:dyDescent="0.4">
      <c r="A90" s="266"/>
      <c r="B90" s="262"/>
      <c r="C90" s="263"/>
      <c r="D90" s="263"/>
      <c r="E90" s="263"/>
      <c r="F90" s="264"/>
    </row>
    <row r="91" spans="1:6" ht="18.75" customHeight="1" x14ac:dyDescent="0.4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5">
      <c r="A92" s="256">
        <v>1</v>
      </c>
      <c r="B92" s="257" t="s">
        <v>441</v>
      </c>
      <c r="C92" s="258">
        <v>12324589</v>
      </c>
      <c r="D92" s="258">
        <v>16695631</v>
      </c>
      <c r="E92" s="258">
        <f t="shared" ref="E92:E102" si="12">D92-C92</f>
        <v>4371042</v>
      </c>
      <c r="F92" s="259">
        <f t="shared" ref="F92:F102" si="13">IF(C92=0,0,E92/C92)</f>
        <v>0.35466026493865233</v>
      </c>
    </row>
    <row r="93" spans="1:6" ht="20.25" customHeight="1" x14ac:dyDescent="0.35">
      <c r="A93" s="256">
        <v>2</v>
      </c>
      <c r="B93" s="257" t="s">
        <v>442</v>
      </c>
      <c r="C93" s="258">
        <v>3635726</v>
      </c>
      <c r="D93" s="258">
        <v>4249246</v>
      </c>
      <c r="E93" s="258">
        <f t="shared" si="12"/>
        <v>613520</v>
      </c>
      <c r="F93" s="259">
        <f t="shared" si="13"/>
        <v>0.1687475898898872</v>
      </c>
    </row>
    <row r="94" spans="1:6" ht="20.25" customHeight="1" x14ac:dyDescent="0.35">
      <c r="A94" s="256">
        <v>3</v>
      </c>
      <c r="B94" s="257" t="s">
        <v>443</v>
      </c>
      <c r="C94" s="258">
        <v>9359199</v>
      </c>
      <c r="D94" s="258">
        <v>12615039</v>
      </c>
      <c r="E94" s="258">
        <f t="shared" si="12"/>
        <v>3255840</v>
      </c>
      <c r="F94" s="259">
        <f t="shared" si="13"/>
        <v>0.34787592399734207</v>
      </c>
    </row>
    <row r="95" spans="1:6" ht="20.25" customHeight="1" x14ac:dyDescent="0.35">
      <c r="A95" s="256">
        <v>4</v>
      </c>
      <c r="B95" s="257" t="s">
        <v>444</v>
      </c>
      <c r="C95" s="258">
        <v>1654791</v>
      </c>
      <c r="D95" s="258">
        <v>2953090</v>
      </c>
      <c r="E95" s="258">
        <f t="shared" si="12"/>
        <v>1298299</v>
      </c>
      <c r="F95" s="259">
        <f t="shared" si="13"/>
        <v>0.78456977346383927</v>
      </c>
    </row>
    <row r="96" spans="1:6" ht="20.25" customHeight="1" x14ac:dyDescent="0.35">
      <c r="A96" s="256">
        <v>5</v>
      </c>
      <c r="B96" s="257" t="s">
        <v>381</v>
      </c>
      <c r="C96" s="260">
        <v>304</v>
      </c>
      <c r="D96" s="260">
        <v>363</v>
      </c>
      <c r="E96" s="260">
        <f t="shared" si="12"/>
        <v>59</v>
      </c>
      <c r="F96" s="259">
        <f t="shared" si="13"/>
        <v>0.19407894736842105</v>
      </c>
    </row>
    <row r="97" spans="1:6" ht="20.25" customHeight="1" x14ac:dyDescent="0.35">
      <c r="A97" s="256">
        <v>6</v>
      </c>
      <c r="B97" s="257" t="s">
        <v>380</v>
      </c>
      <c r="C97" s="260">
        <v>1578</v>
      </c>
      <c r="D97" s="260">
        <v>1803</v>
      </c>
      <c r="E97" s="260">
        <f t="shared" si="12"/>
        <v>225</v>
      </c>
      <c r="F97" s="259">
        <f t="shared" si="13"/>
        <v>0.14258555133079848</v>
      </c>
    </row>
    <row r="98" spans="1:6" ht="20.25" customHeight="1" x14ac:dyDescent="0.35">
      <c r="A98" s="256">
        <v>7</v>
      </c>
      <c r="B98" s="257" t="s">
        <v>445</v>
      </c>
      <c r="C98" s="260">
        <v>3401</v>
      </c>
      <c r="D98" s="260">
        <v>3727</v>
      </c>
      <c r="E98" s="260">
        <f t="shared" si="12"/>
        <v>326</v>
      </c>
      <c r="F98" s="259">
        <f t="shared" si="13"/>
        <v>9.585416054101735E-2</v>
      </c>
    </row>
    <row r="99" spans="1:6" ht="20.25" customHeight="1" x14ac:dyDescent="0.35">
      <c r="A99" s="256">
        <v>8</v>
      </c>
      <c r="B99" s="257" t="s">
        <v>446</v>
      </c>
      <c r="C99" s="260">
        <v>354</v>
      </c>
      <c r="D99" s="260">
        <v>414</v>
      </c>
      <c r="E99" s="260">
        <f t="shared" si="12"/>
        <v>60</v>
      </c>
      <c r="F99" s="259">
        <f t="shared" si="13"/>
        <v>0.16949152542372881</v>
      </c>
    </row>
    <row r="100" spans="1:6" ht="20.25" customHeight="1" x14ac:dyDescent="0.35">
      <c r="A100" s="256">
        <v>9</v>
      </c>
      <c r="B100" s="257" t="s">
        <v>447</v>
      </c>
      <c r="C100" s="260">
        <v>264</v>
      </c>
      <c r="D100" s="260">
        <v>325</v>
      </c>
      <c r="E100" s="260">
        <f t="shared" si="12"/>
        <v>61</v>
      </c>
      <c r="F100" s="259">
        <f t="shared" si="13"/>
        <v>0.23106060606060605</v>
      </c>
    </row>
    <row r="101" spans="1:6" s="265" customFormat="1" ht="20.25" customHeight="1" x14ac:dyDescent="0.4">
      <c r="A101" s="261"/>
      <c r="B101" s="262" t="s">
        <v>448</v>
      </c>
      <c r="C101" s="263">
        <f>+C92+C94</f>
        <v>21683788</v>
      </c>
      <c r="D101" s="263">
        <f>+D92+D94</f>
        <v>29310670</v>
      </c>
      <c r="E101" s="263">
        <f t="shared" si="12"/>
        <v>7626882</v>
      </c>
      <c r="F101" s="264">
        <f t="shared" si="13"/>
        <v>0.35173199442827979</v>
      </c>
    </row>
    <row r="102" spans="1:6" s="265" customFormat="1" ht="20.25" customHeight="1" x14ac:dyDescent="0.4">
      <c r="A102" s="261"/>
      <c r="B102" s="262" t="s">
        <v>449</v>
      </c>
      <c r="C102" s="263">
        <f>+C93+C95</f>
        <v>5290517</v>
      </c>
      <c r="D102" s="263">
        <f>+D93+D95</f>
        <v>7202336</v>
      </c>
      <c r="E102" s="263">
        <f t="shared" si="12"/>
        <v>1911819</v>
      </c>
      <c r="F102" s="264">
        <f t="shared" si="13"/>
        <v>0.36136714048929436</v>
      </c>
    </row>
    <row r="103" spans="1:6" s="265" customFormat="1" ht="20.25" customHeight="1" x14ac:dyDescent="0.4">
      <c r="A103" s="266"/>
      <c r="B103" s="262"/>
      <c r="C103" s="263"/>
      <c r="D103" s="263"/>
      <c r="E103" s="263"/>
      <c r="F103" s="264"/>
    </row>
    <row r="104" spans="1:6" ht="18.75" customHeight="1" x14ac:dyDescent="0.4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5">
      <c r="A105" s="256">
        <v>1</v>
      </c>
      <c r="B105" s="257" t="s">
        <v>441</v>
      </c>
      <c r="C105" s="258">
        <v>2389780</v>
      </c>
      <c r="D105" s="258">
        <v>2186805</v>
      </c>
      <c r="E105" s="258">
        <f t="shared" ref="E105:E115" si="14">D105-C105</f>
        <v>-202975</v>
      </c>
      <c r="F105" s="259">
        <f t="shared" ref="F105:F115" si="15">IF(C105=0,0,E105/C105)</f>
        <v>-8.4934596490053471E-2</v>
      </c>
    </row>
    <row r="106" spans="1:6" ht="20.25" customHeight="1" x14ac:dyDescent="0.35">
      <c r="A106" s="256">
        <v>2</v>
      </c>
      <c r="B106" s="257" t="s">
        <v>442</v>
      </c>
      <c r="C106" s="258">
        <v>750149</v>
      </c>
      <c r="D106" s="258">
        <v>539573</v>
      </c>
      <c r="E106" s="258">
        <f t="shared" si="14"/>
        <v>-210576</v>
      </c>
      <c r="F106" s="259">
        <f t="shared" si="15"/>
        <v>-0.28071223183660848</v>
      </c>
    </row>
    <row r="107" spans="1:6" ht="20.25" customHeight="1" x14ac:dyDescent="0.35">
      <c r="A107" s="256">
        <v>3</v>
      </c>
      <c r="B107" s="257" t="s">
        <v>443</v>
      </c>
      <c r="C107" s="258">
        <v>1886454</v>
      </c>
      <c r="D107" s="258">
        <v>1689576</v>
      </c>
      <c r="E107" s="258">
        <f t="shared" si="14"/>
        <v>-196878</v>
      </c>
      <c r="F107" s="259">
        <f t="shared" si="15"/>
        <v>-0.10436406082523084</v>
      </c>
    </row>
    <row r="108" spans="1:6" ht="20.25" customHeight="1" x14ac:dyDescent="0.35">
      <c r="A108" s="256">
        <v>4</v>
      </c>
      <c r="B108" s="257" t="s">
        <v>444</v>
      </c>
      <c r="C108" s="258">
        <v>334504</v>
      </c>
      <c r="D108" s="258">
        <v>403895</v>
      </c>
      <c r="E108" s="258">
        <f t="shared" si="14"/>
        <v>69391</v>
      </c>
      <c r="F108" s="259">
        <f t="shared" si="15"/>
        <v>0.20744445507378087</v>
      </c>
    </row>
    <row r="109" spans="1:6" ht="20.25" customHeight="1" x14ac:dyDescent="0.35">
      <c r="A109" s="256">
        <v>5</v>
      </c>
      <c r="B109" s="257" t="s">
        <v>381</v>
      </c>
      <c r="C109" s="260">
        <v>63</v>
      </c>
      <c r="D109" s="260">
        <v>50</v>
      </c>
      <c r="E109" s="260">
        <f t="shared" si="14"/>
        <v>-13</v>
      </c>
      <c r="F109" s="259">
        <f t="shared" si="15"/>
        <v>-0.20634920634920634</v>
      </c>
    </row>
    <row r="110" spans="1:6" ht="20.25" customHeight="1" x14ac:dyDescent="0.35">
      <c r="A110" s="256">
        <v>6</v>
      </c>
      <c r="B110" s="257" t="s">
        <v>380</v>
      </c>
      <c r="C110" s="260">
        <v>369</v>
      </c>
      <c r="D110" s="260">
        <v>300</v>
      </c>
      <c r="E110" s="260">
        <f t="shared" si="14"/>
        <v>-69</v>
      </c>
      <c r="F110" s="259">
        <f t="shared" si="15"/>
        <v>-0.18699186991869918</v>
      </c>
    </row>
    <row r="111" spans="1:6" ht="20.25" customHeight="1" x14ac:dyDescent="0.35">
      <c r="A111" s="256">
        <v>7</v>
      </c>
      <c r="B111" s="257" t="s">
        <v>445</v>
      </c>
      <c r="C111" s="260">
        <v>699</v>
      </c>
      <c r="D111" s="260">
        <v>565</v>
      </c>
      <c r="E111" s="260">
        <f t="shared" si="14"/>
        <v>-134</v>
      </c>
      <c r="F111" s="259">
        <f t="shared" si="15"/>
        <v>-0.19170243204577969</v>
      </c>
    </row>
    <row r="112" spans="1:6" ht="20.25" customHeight="1" x14ac:dyDescent="0.35">
      <c r="A112" s="256">
        <v>8</v>
      </c>
      <c r="B112" s="257" t="s">
        <v>446</v>
      </c>
      <c r="C112" s="260">
        <v>114</v>
      </c>
      <c r="D112" s="260">
        <v>97</v>
      </c>
      <c r="E112" s="260">
        <f t="shared" si="14"/>
        <v>-17</v>
      </c>
      <c r="F112" s="259">
        <f t="shared" si="15"/>
        <v>-0.14912280701754385</v>
      </c>
    </row>
    <row r="113" spans="1:6" ht="20.25" customHeight="1" x14ac:dyDescent="0.35">
      <c r="A113" s="256">
        <v>9</v>
      </c>
      <c r="B113" s="257" t="s">
        <v>447</v>
      </c>
      <c r="C113" s="260">
        <v>62</v>
      </c>
      <c r="D113" s="260">
        <v>49</v>
      </c>
      <c r="E113" s="260">
        <f t="shared" si="14"/>
        <v>-13</v>
      </c>
      <c r="F113" s="259">
        <f t="shared" si="15"/>
        <v>-0.20967741935483872</v>
      </c>
    </row>
    <row r="114" spans="1:6" s="265" customFormat="1" ht="20.25" customHeight="1" x14ac:dyDescent="0.4">
      <c r="A114" s="261"/>
      <c r="B114" s="262" t="s">
        <v>448</v>
      </c>
      <c r="C114" s="263">
        <f>+C105+C107</f>
        <v>4276234</v>
      </c>
      <c r="D114" s="263">
        <f>+D105+D107</f>
        <v>3876381</v>
      </c>
      <c r="E114" s="263">
        <f t="shared" si="14"/>
        <v>-399853</v>
      </c>
      <c r="F114" s="264">
        <f t="shared" si="15"/>
        <v>-9.3505874561588542E-2</v>
      </c>
    </row>
    <row r="115" spans="1:6" s="265" customFormat="1" ht="20.25" customHeight="1" x14ac:dyDescent="0.4">
      <c r="A115" s="261"/>
      <c r="B115" s="262" t="s">
        <v>449</v>
      </c>
      <c r="C115" s="263">
        <f>+C106+C108</f>
        <v>1084653</v>
      </c>
      <c r="D115" s="263">
        <f>+D106+D108</f>
        <v>943468</v>
      </c>
      <c r="E115" s="263">
        <f t="shared" si="14"/>
        <v>-141185</v>
      </c>
      <c r="F115" s="264">
        <f t="shared" si="15"/>
        <v>-0.13016605310638518</v>
      </c>
    </row>
    <row r="116" spans="1:6" s="265" customFormat="1" ht="20.25" customHeight="1" x14ac:dyDescent="0.4">
      <c r="A116" s="266"/>
      <c r="B116" s="262"/>
      <c r="C116" s="263"/>
      <c r="D116" s="263"/>
      <c r="E116" s="263"/>
      <c r="F116" s="264"/>
    </row>
    <row r="117" spans="1:6" ht="18.75" customHeight="1" x14ac:dyDescent="0.4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5">
      <c r="A118" s="256">
        <v>1</v>
      </c>
      <c r="B118" s="257" t="s">
        <v>441</v>
      </c>
      <c r="C118" s="258">
        <v>5835897</v>
      </c>
      <c r="D118" s="258">
        <v>6717999</v>
      </c>
      <c r="E118" s="258">
        <f t="shared" ref="E118:E128" si="16">D118-C118</f>
        <v>882102</v>
      </c>
      <c r="F118" s="259">
        <f t="shared" ref="F118:F128" si="17">IF(C118=0,0,E118/C118)</f>
        <v>0.15115105698404205</v>
      </c>
    </row>
    <row r="119" spans="1:6" ht="20.25" customHeight="1" x14ac:dyDescent="0.35">
      <c r="A119" s="256">
        <v>2</v>
      </c>
      <c r="B119" s="257" t="s">
        <v>442</v>
      </c>
      <c r="C119" s="258">
        <v>1567948</v>
      </c>
      <c r="D119" s="258">
        <v>1838487</v>
      </c>
      <c r="E119" s="258">
        <f t="shared" si="16"/>
        <v>270539</v>
      </c>
      <c r="F119" s="259">
        <f t="shared" si="17"/>
        <v>0.17254334965190171</v>
      </c>
    </row>
    <row r="120" spans="1:6" ht="20.25" customHeight="1" x14ac:dyDescent="0.35">
      <c r="A120" s="256">
        <v>3</v>
      </c>
      <c r="B120" s="257" t="s">
        <v>443</v>
      </c>
      <c r="C120" s="258">
        <v>4529311</v>
      </c>
      <c r="D120" s="258">
        <v>5344378</v>
      </c>
      <c r="E120" s="258">
        <f t="shared" si="16"/>
        <v>815067</v>
      </c>
      <c r="F120" s="259">
        <f t="shared" si="17"/>
        <v>0.1799538605319882</v>
      </c>
    </row>
    <row r="121" spans="1:6" ht="20.25" customHeight="1" x14ac:dyDescent="0.35">
      <c r="A121" s="256">
        <v>4</v>
      </c>
      <c r="B121" s="257" t="s">
        <v>444</v>
      </c>
      <c r="C121" s="258">
        <v>752684</v>
      </c>
      <c r="D121" s="258">
        <v>1515713</v>
      </c>
      <c r="E121" s="258">
        <f t="shared" si="16"/>
        <v>763029</v>
      </c>
      <c r="F121" s="259">
        <f t="shared" si="17"/>
        <v>1.0137441476104181</v>
      </c>
    </row>
    <row r="122" spans="1:6" ht="20.25" customHeight="1" x14ac:dyDescent="0.35">
      <c r="A122" s="256">
        <v>5</v>
      </c>
      <c r="B122" s="257" t="s">
        <v>381</v>
      </c>
      <c r="C122" s="260">
        <v>139</v>
      </c>
      <c r="D122" s="260">
        <v>152</v>
      </c>
      <c r="E122" s="260">
        <f t="shared" si="16"/>
        <v>13</v>
      </c>
      <c r="F122" s="259">
        <f t="shared" si="17"/>
        <v>9.3525179856115109E-2</v>
      </c>
    </row>
    <row r="123" spans="1:6" ht="20.25" customHeight="1" x14ac:dyDescent="0.35">
      <c r="A123" s="256">
        <v>6</v>
      </c>
      <c r="B123" s="257" t="s">
        <v>380</v>
      </c>
      <c r="C123" s="260">
        <v>697</v>
      </c>
      <c r="D123" s="260">
        <v>635</v>
      </c>
      <c r="E123" s="260">
        <f t="shared" si="16"/>
        <v>-62</v>
      </c>
      <c r="F123" s="259">
        <f t="shared" si="17"/>
        <v>-8.8952654232424683E-2</v>
      </c>
    </row>
    <row r="124" spans="1:6" ht="20.25" customHeight="1" x14ac:dyDescent="0.35">
      <c r="A124" s="256">
        <v>7</v>
      </c>
      <c r="B124" s="257" t="s">
        <v>445</v>
      </c>
      <c r="C124" s="260">
        <v>2120</v>
      </c>
      <c r="D124" s="260">
        <v>2501</v>
      </c>
      <c r="E124" s="260">
        <f t="shared" si="16"/>
        <v>381</v>
      </c>
      <c r="F124" s="259">
        <f t="shared" si="17"/>
        <v>0.17971698113207546</v>
      </c>
    </row>
    <row r="125" spans="1:6" ht="20.25" customHeight="1" x14ac:dyDescent="0.35">
      <c r="A125" s="256">
        <v>8</v>
      </c>
      <c r="B125" s="257" t="s">
        <v>446</v>
      </c>
      <c r="C125" s="260">
        <v>184</v>
      </c>
      <c r="D125" s="260">
        <v>201</v>
      </c>
      <c r="E125" s="260">
        <f t="shared" si="16"/>
        <v>17</v>
      </c>
      <c r="F125" s="259">
        <f t="shared" si="17"/>
        <v>9.2391304347826081E-2</v>
      </c>
    </row>
    <row r="126" spans="1:6" ht="20.25" customHeight="1" x14ac:dyDescent="0.35">
      <c r="A126" s="256">
        <v>9</v>
      </c>
      <c r="B126" s="257" t="s">
        <v>447</v>
      </c>
      <c r="C126" s="260">
        <v>124</v>
      </c>
      <c r="D126" s="260">
        <v>119</v>
      </c>
      <c r="E126" s="260">
        <f t="shared" si="16"/>
        <v>-5</v>
      </c>
      <c r="F126" s="259">
        <f t="shared" si="17"/>
        <v>-4.0322580645161289E-2</v>
      </c>
    </row>
    <row r="127" spans="1:6" s="265" customFormat="1" ht="20.25" customHeight="1" x14ac:dyDescent="0.4">
      <c r="A127" s="261"/>
      <c r="B127" s="262" t="s">
        <v>448</v>
      </c>
      <c r="C127" s="263">
        <f>+C118+C120</f>
        <v>10365208</v>
      </c>
      <c r="D127" s="263">
        <f>+D118+D120</f>
        <v>12062377</v>
      </c>
      <c r="E127" s="263">
        <f t="shared" si="16"/>
        <v>1697169</v>
      </c>
      <c r="F127" s="264">
        <f t="shared" si="17"/>
        <v>0.16373709046649138</v>
      </c>
    </row>
    <row r="128" spans="1:6" s="265" customFormat="1" ht="20.25" customHeight="1" x14ac:dyDescent="0.4">
      <c r="A128" s="261"/>
      <c r="B128" s="262" t="s">
        <v>449</v>
      </c>
      <c r="C128" s="263">
        <f>+C119+C121</f>
        <v>2320632</v>
      </c>
      <c r="D128" s="263">
        <f>+D119+D121</f>
        <v>3354200</v>
      </c>
      <c r="E128" s="263">
        <f t="shared" si="16"/>
        <v>1033568</v>
      </c>
      <c r="F128" s="264">
        <f t="shared" si="17"/>
        <v>0.44538212004316063</v>
      </c>
    </row>
    <row r="129" spans="1:6" s="265" customFormat="1" ht="20.25" customHeight="1" x14ac:dyDescent="0.4">
      <c r="A129" s="266"/>
      <c r="B129" s="262"/>
      <c r="C129" s="263"/>
      <c r="D129" s="263"/>
      <c r="E129" s="263"/>
      <c r="F129" s="264"/>
    </row>
    <row r="130" spans="1:6" ht="18.75" customHeight="1" x14ac:dyDescent="0.4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5">
      <c r="A131" s="256">
        <v>1</v>
      </c>
      <c r="B131" s="257" t="s">
        <v>441</v>
      </c>
      <c r="C131" s="258">
        <v>182759</v>
      </c>
      <c r="D131" s="258">
        <v>281027</v>
      </c>
      <c r="E131" s="258">
        <f t="shared" ref="E131:E141" si="18">D131-C131</f>
        <v>98268</v>
      </c>
      <c r="F131" s="259">
        <f t="shared" ref="F131:F141" si="19">IF(C131=0,0,E131/C131)</f>
        <v>0.53769171422474404</v>
      </c>
    </row>
    <row r="132" spans="1:6" ht="20.25" customHeight="1" x14ac:dyDescent="0.35">
      <c r="A132" s="256">
        <v>2</v>
      </c>
      <c r="B132" s="257" t="s">
        <v>442</v>
      </c>
      <c r="C132" s="258">
        <v>58897</v>
      </c>
      <c r="D132" s="258">
        <v>160918</v>
      </c>
      <c r="E132" s="258">
        <f t="shared" si="18"/>
        <v>102021</v>
      </c>
      <c r="F132" s="259">
        <f t="shared" si="19"/>
        <v>1.7321934903305771</v>
      </c>
    </row>
    <row r="133" spans="1:6" ht="20.25" customHeight="1" x14ac:dyDescent="0.35">
      <c r="A133" s="256">
        <v>3</v>
      </c>
      <c r="B133" s="257" t="s">
        <v>443</v>
      </c>
      <c r="C133" s="258">
        <v>48457</v>
      </c>
      <c r="D133" s="258">
        <v>63313</v>
      </c>
      <c r="E133" s="258">
        <f t="shared" si="18"/>
        <v>14856</v>
      </c>
      <c r="F133" s="259">
        <f t="shared" si="19"/>
        <v>0.30658109251501331</v>
      </c>
    </row>
    <row r="134" spans="1:6" ht="20.25" customHeight="1" x14ac:dyDescent="0.35">
      <c r="A134" s="256">
        <v>4</v>
      </c>
      <c r="B134" s="257" t="s">
        <v>444</v>
      </c>
      <c r="C134" s="258">
        <v>6865</v>
      </c>
      <c r="D134" s="258">
        <v>16126</v>
      </c>
      <c r="E134" s="258">
        <f t="shared" si="18"/>
        <v>9261</v>
      </c>
      <c r="F134" s="259">
        <f t="shared" si="19"/>
        <v>1.3490167516387472</v>
      </c>
    </row>
    <row r="135" spans="1:6" ht="20.25" customHeight="1" x14ac:dyDescent="0.35">
      <c r="A135" s="256">
        <v>5</v>
      </c>
      <c r="B135" s="257" t="s">
        <v>381</v>
      </c>
      <c r="C135" s="260">
        <v>5</v>
      </c>
      <c r="D135" s="260">
        <v>4</v>
      </c>
      <c r="E135" s="260">
        <f t="shared" si="18"/>
        <v>-1</v>
      </c>
      <c r="F135" s="259">
        <f t="shared" si="19"/>
        <v>-0.2</v>
      </c>
    </row>
    <row r="136" spans="1:6" ht="20.25" customHeight="1" x14ac:dyDescent="0.35">
      <c r="A136" s="256">
        <v>6</v>
      </c>
      <c r="B136" s="257" t="s">
        <v>380</v>
      </c>
      <c r="C136" s="260">
        <v>19</v>
      </c>
      <c r="D136" s="260">
        <v>42</v>
      </c>
      <c r="E136" s="260">
        <f t="shared" si="18"/>
        <v>23</v>
      </c>
      <c r="F136" s="259">
        <f t="shared" si="19"/>
        <v>1.2105263157894737</v>
      </c>
    </row>
    <row r="137" spans="1:6" ht="20.25" customHeight="1" x14ac:dyDescent="0.35">
      <c r="A137" s="256">
        <v>7</v>
      </c>
      <c r="B137" s="257" t="s">
        <v>445</v>
      </c>
      <c r="C137" s="260">
        <v>25</v>
      </c>
      <c r="D137" s="260">
        <v>23</v>
      </c>
      <c r="E137" s="260">
        <f t="shared" si="18"/>
        <v>-2</v>
      </c>
      <c r="F137" s="259">
        <f t="shared" si="19"/>
        <v>-0.08</v>
      </c>
    </row>
    <row r="138" spans="1:6" ht="20.25" customHeight="1" x14ac:dyDescent="0.35">
      <c r="A138" s="256">
        <v>8</v>
      </c>
      <c r="B138" s="257" t="s">
        <v>446</v>
      </c>
      <c r="C138" s="260">
        <v>6</v>
      </c>
      <c r="D138" s="260">
        <v>6</v>
      </c>
      <c r="E138" s="260">
        <f t="shared" si="18"/>
        <v>0</v>
      </c>
      <c r="F138" s="259">
        <f t="shared" si="19"/>
        <v>0</v>
      </c>
    </row>
    <row r="139" spans="1:6" ht="20.25" customHeight="1" x14ac:dyDescent="0.35">
      <c r="A139" s="256">
        <v>9</v>
      </c>
      <c r="B139" s="257" t="s">
        <v>447</v>
      </c>
      <c r="C139" s="260">
        <v>5</v>
      </c>
      <c r="D139" s="260">
        <v>4</v>
      </c>
      <c r="E139" s="260">
        <f t="shared" si="18"/>
        <v>-1</v>
      </c>
      <c r="F139" s="259">
        <f t="shared" si="19"/>
        <v>-0.2</v>
      </c>
    </row>
    <row r="140" spans="1:6" s="265" customFormat="1" ht="20.25" customHeight="1" x14ac:dyDescent="0.4">
      <c r="A140" s="261"/>
      <c r="B140" s="262" t="s">
        <v>448</v>
      </c>
      <c r="C140" s="263">
        <f>+C131+C133</f>
        <v>231216</v>
      </c>
      <c r="D140" s="263">
        <f>+D131+D133</f>
        <v>344340</v>
      </c>
      <c r="E140" s="263">
        <f t="shared" si="18"/>
        <v>113124</v>
      </c>
      <c r="F140" s="264">
        <f t="shared" si="19"/>
        <v>0.48925679883745071</v>
      </c>
    </row>
    <row r="141" spans="1:6" s="265" customFormat="1" ht="20.25" customHeight="1" x14ac:dyDescent="0.4">
      <c r="A141" s="261"/>
      <c r="B141" s="262" t="s">
        <v>449</v>
      </c>
      <c r="C141" s="263">
        <f>+C132+C134</f>
        <v>65762</v>
      </c>
      <c r="D141" s="263">
        <f>+D132+D134</f>
        <v>177044</v>
      </c>
      <c r="E141" s="263">
        <f t="shared" si="18"/>
        <v>111282</v>
      </c>
      <c r="F141" s="264">
        <f t="shared" si="19"/>
        <v>1.6921930598217816</v>
      </c>
    </row>
    <row r="142" spans="1:6" s="265" customFormat="1" ht="20.25" customHeight="1" x14ac:dyDescent="0.4">
      <c r="A142" s="266"/>
      <c r="B142" s="262"/>
      <c r="C142" s="263"/>
      <c r="D142" s="263"/>
      <c r="E142" s="263"/>
      <c r="F142" s="264"/>
    </row>
    <row r="143" spans="1:6" ht="18.75" customHeight="1" x14ac:dyDescent="0.4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5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5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5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5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5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5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5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5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5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4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4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4">
      <c r="A155" s="266"/>
      <c r="B155" s="262"/>
      <c r="C155" s="263"/>
      <c r="D155" s="263"/>
      <c r="E155" s="263"/>
      <c r="F155" s="264"/>
    </row>
    <row r="156" spans="1:6" ht="18.75" customHeight="1" x14ac:dyDescent="0.4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5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5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5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5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5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5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5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5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5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4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4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4">
      <c r="A168" s="266"/>
      <c r="B168" s="262"/>
      <c r="C168" s="263"/>
      <c r="D168" s="263"/>
      <c r="E168" s="263"/>
      <c r="F168" s="264"/>
    </row>
    <row r="169" spans="1:6" ht="18.75" customHeight="1" x14ac:dyDescent="0.4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5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5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5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5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5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5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5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5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5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4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4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4">
      <c r="A181" s="266"/>
      <c r="B181" s="262"/>
      <c r="C181" s="263"/>
      <c r="D181" s="263"/>
      <c r="E181" s="263"/>
      <c r="F181" s="264"/>
    </row>
    <row r="182" spans="1:6" ht="18.75" customHeight="1" x14ac:dyDescent="0.4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5">
      <c r="A183" s="256">
        <v>1</v>
      </c>
      <c r="B183" s="257" t="s">
        <v>441</v>
      </c>
      <c r="C183" s="258">
        <v>269325</v>
      </c>
      <c r="D183" s="258">
        <v>51364</v>
      </c>
      <c r="E183" s="258">
        <f t="shared" ref="E183:E193" si="26">D183-C183</f>
        <v>-217961</v>
      </c>
      <c r="F183" s="259">
        <f t="shared" ref="F183:F193" si="27">IF(C183=0,0,E183/C183)</f>
        <v>-0.80928617840898542</v>
      </c>
    </row>
    <row r="184" spans="1:6" ht="20.25" customHeight="1" x14ac:dyDescent="0.35">
      <c r="A184" s="256">
        <v>2</v>
      </c>
      <c r="B184" s="257" t="s">
        <v>442</v>
      </c>
      <c r="C184" s="258">
        <v>68394</v>
      </c>
      <c r="D184" s="258">
        <v>20894</v>
      </c>
      <c r="E184" s="258">
        <f t="shared" si="26"/>
        <v>-47500</v>
      </c>
      <c r="F184" s="259">
        <f t="shared" si="27"/>
        <v>-0.6945053659677749</v>
      </c>
    </row>
    <row r="185" spans="1:6" ht="20.25" customHeight="1" x14ac:dyDescent="0.35">
      <c r="A185" s="256">
        <v>3</v>
      </c>
      <c r="B185" s="257" t="s">
        <v>443</v>
      </c>
      <c r="C185" s="258">
        <v>10815</v>
      </c>
      <c r="D185" s="258">
        <v>0</v>
      </c>
      <c r="E185" s="258">
        <f t="shared" si="26"/>
        <v>-10815</v>
      </c>
      <c r="F185" s="259">
        <f t="shared" si="27"/>
        <v>-1</v>
      </c>
    </row>
    <row r="186" spans="1:6" ht="20.25" customHeight="1" x14ac:dyDescent="0.35">
      <c r="A186" s="256">
        <v>4</v>
      </c>
      <c r="B186" s="257" t="s">
        <v>444</v>
      </c>
      <c r="C186" s="258">
        <v>2137</v>
      </c>
      <c r="D186" s="258">
        <v>0</v>
      </c>
      <c r="E186" s="258">
        <f t="shared" si="26"/>
        <v>-2137</v>
      </c>
      <c r="F186" s="259">
        <f t="shared" si="27"/>
        <v>-1</v>
      </c>
    </row>
    <row r="187" spans="1:6" ht="20.25" customHeight="1" x14ac:dyDescent="0.35">
      <c r="A187" s="256">
        <v>5</v>
      </c>
      <c r="B187" s="257" t="s">
        <v>381</v>
      </c>
      <c r="C187" s="260">
        <v>2</v>
      </c>
      <c r="D187" s="260">
        <v>2</v>
      </c>
      <c r="E187" s="260">
        <f t="shared" si="26"/>
        <v>0</v>
      </c>
      <c r="F187" s="259">
        <f t="shared" si="27"/>
        <v>0</v>
      </c>
    </row>
    <row r="188" spans="1:6" ht="20.25" customHeight="1" x14ac:dyDescent="0.35">
      <c r="A188" s="256">
        <v>6</v>
      </c>
      <c r="B188" s="257" t="s">
        <v>380</v>
      </c>
      <c r="C188" s="260">
        <v>30</v>
      </c>
      <c r="D188" s="260">
        <v>3</v>
      </c>
      <c r="E188" s="260">
        <f t="shared" si="26"/>
        <v>-27</v>
      </c>
      <c r="F188" s="259">
        <f t="shared" si="27"/>
        <v>-0.9</v>
      </c>
    </row>
    <row r="189" spans="1:6" ht="20.25" customHeight="1" x14ac:dyDescent="0.35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5">
      <c r="A190" s="256">
        <v>8</v>
      </c>
      <c r="B190" s="257" t="s">
        <v>446</v>
      </c>
      <c r="C190" s="260">
        <v>3</v>
      </c>
      <c r="D190" s="260">
        <v>0</v>
      </c>
      <c r="E190" s="260">
        <f t="shared" si="26"/>
        <v>-3</v>
      </c>
      <c r="F190" s="259">
        <f t="shared" si="27"/>
        <v>-1</v>
      </c>
    </row>
    <row r="191" spans="1:6" ht="20.25" customHeight="1" x14ac:dyDescent="0.35">
      <c r="A191" s="256">
        <v>9</v>
      </c>
      <c r="B191" s="257" t="s">
        <v>447</v>
      </c>
      <c r="C191" s="260">
        <v>2</v>
      </c>
      <c r="D191" s="260">
        <v>2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4">
      <c r="A192" s="261"/>
      <c r="B192" s="262" t="s">
        <v>448</v>
      </c>
      <c r="C192" s="263">
        <f>+C183+C185</f>
        <v>280140</v>
      </c>
      <c r="D192" s="263">
        <f>+D183+D185</f>
        <v>51364</v>
      </c>
      <c r="E192" s="263">
        <f t="shared" si="26"/>
        <v>-228776</v>
      </c>
      <c r="F192" s="264">
        <f t="shared" si="27"/>
        <v>-0.81664881844791892</v>
      </c>
    </row>
    <row r="193" spans="1:9" s="265" customFormat="1" ht="20.25" customHeight="1" x14ac:dyDescent="0.4">
      <c r="A193" s="261"/>
      <c r="B193" s="262" t="s">
        <v>449</v>
      </c>
      <c r="C193" s="263">
        <f>+C184+C186</f>
        <v>70531</v>
      </c>
      <c r="D193" s="263">
        <f>+D184+D186</f>
        <v>20894</v>
      </c>
      <c r="E193" s="263">
        <f t="shared" si="26"/>
        <v>-49637</v>
      </c>
      <c r="F193" s="264">
        <f t="shared" si="27"/>
        <v>-0.70376146658915939</v>
      </c>
    </row>
    <row r="194" spans="1:9" s="265" customFormat="1" ht="20.25" customHeight="1" x14ac:dyDescent="0.4">
      <c r="A194" s="266"/>
      <c r="B194" s="262"/>
      <c r="C194" s="263"/>
      <c r="D194" s="263"/>
      <c r="E194" s="263"/>
      <c r="F194" s="264"/>
    </row>
    <row r="195" spans="1:9" ht="20.25" customHeight="1" x14ac:dyDescent="0.35">
      <c r="A195" s="794" t="s">
        <v>44</v>
      </c>
      <c r="B195" s="796" t="s">
        <v>464</v>
      </c>
      <c r="C195" s="798"/>
      <c r="D195" s="799"/>
      <c r="E195" s="799"/>
      <c r="F195" s="800"/>
      <c r="G195" s="801"/>
      <c r="H195" s="801"/>
      <c r="I195" s="801"/>
    </row>
    <row r="196" spans="1:9" ht="20.25" customHeight="1" x14ac:dyDescent="0.35">
      <c r="A196" s="795"/>
      <c r="B196" s="797"/>
      <c r="C196" s="791"/>
      <c r="D196" s="792"/>
      <c r="E196" s="792"/>
      <c r="F196" s="793"/>
      <c r="G196" s="801"/>
      <c r="H196" s="801"/>
      <c r="I196" s="801"/>
    </row>
    <row r="197" spans="1:9" ht="20.25" customHeight="1" x14ac:dyDescent="0.4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4">
      <c r="A198" s="271"/>
      <c r="B198" s="272" t="s">
        <v>465</v>
      </c>
      <c r="C198" s="263">
        <f t="shared" ref="C198:D206" si="28">+C183+C170+C157+C144+C131+C118+C105+C92+C79+C66+C53+C40+C27+C14</f>
        <v>29122971</v>
      </c>
      <c r="D198" s="263">
        <f t="shared" si="28"/>
        <v>33577127</v>
      </c>
      <c r="E198" s="263">
        <f t="shared" ref="E198:E208" si="29">D198-C198</f>
        <v>4454156</v>
      </c>
      <c r="F198" s="273">
        <f t="shared" ref="F198:F208" si="30">IF(C198=0,0,E198/C198)</f>
        <v>0.15294304966344266</v>
      </c>
    </row>
    <row r="199" spans="1:9" ht="20.25" customHeight="1" x14ac:dyDescent="0.4">
      <c r="A199" s="271"/>
      <c r="B199" s="272" t="s">
        <v>466</v>
      </c>
      <c r="C199" s="263">
        <f t="shared" si="28"/>
        <v>8468731</v>
      </c>
      <c r="D199" s="263">
        <f t="shared" si="28"/>
        <v>8777609</v>
      </c>
      <c r="E199" s="263">
        <f t="shared" si="29"/>
        <v>308878</v>
      </c>
      <c r="F199" s="273">
        <f t="shared" si="30"/>
        <v>3.6472760794976251E-2</v>
      </c>
    </row>
    <row r="200" spans="1:9" ht="20.25" customHeight="1" x14ac:dyDescent="0.4">
      <c r="A200" s="271"/>
      <c r="B200" s="272" t="s">
        <v>467</v>
      </c>
      <c r="C200" s="263">
        <f t="shared" si="28"/>
        <v>21857427</v>
      </c>
      <c r="D200" s="263">
        <f t="shared" si="28"/>
        <v>26904148</v>
      </c>
      <c r="E200" s="263">
        <f t="shared" si="29"/>
        <v>5046721</v>
      </c>
      <c r="F200" s="273">
        <f t="shared" si="30"/>
        <v>0.23089273042064831</v>
      </c>
    </row>
    <row r="201" spans="1:9" ht="20.25" customHeight="1" x14ac:dyDescent="0.4">
      <c r="A201" s="271"/>
      <c r="B201" s="272" t="s">
        <v>468</v>
      </c>
      <c r="C201" s="263">
        <f t="shared" si="28"/>
        <v>3597197</v>
      </c>
      <c r="D201" s="263">
        <f t="shared" si="28"/>
        <v>6472842</v>
      </c>
      <c r="E201" s="263">
        <f t="shared" si="29"/>
        <v>2875645</v>
      </c>
      <c r="F201" s="273">
        <f t="shared" si="30"/>
        <v>0.79941270939567666</v>
      </c>
    </row>
    <row r="202" spans="1:9" ht="20.25" customHeight="1" x14ac:dyDescent="0.4">
      <c r="A202" s="271"/>
      <c r="B202" s="272" t="s">
        <v>138</v>
      </c>
      <c r="C202" s="274">
        <f t="shared" si="28"/>
        <v>686</v>
      </c>
      <c r="D202" s="274">
        <f t="shared" si="28"/>
        <v>747</v>
      </c>
      <c r="E202" s="274">
        <f t="shared" si="29"/>
        <v>61</v>
      </c>
      <c r="F202" s="273">
        <f t="shared" si="30"/>
        <v>8.8921282798833823E-2</v>
      </c>
    </row>
    <row r="203" spans="1:9" ht="20.25" customHeight="1" x14ac:dyDescent="0.4">
      <c r="A203" s="271"/>
      <c r="B203" s="272" t="s">
        <v>140</v>
      </c>
      <c r="C203" s="274">
        <f t="shared" si="28"/>
        <v>3698</v>
      </c>
      <c r="D203" s="274">
        <f t="shared" si="28"/>
        <v>3622</v>
      </c>
      <c r="E203" s="274">
        <f t="shared" si="29"/>
        <v>-76</v>
      </c>
      <c r="F203" s="273">
        <f t="shared" si="30"/>
        <v>-2.0551649540292049E-2</v>
      </c>
    </row>
    <row r="204" spans="1:9" ht="39.9" customHeight="1" x14ac:dyDescent="0.4">
      <c r="A204" s="271"/>
      <c r="B204" s="272" t="s">
        <v>469</v>
      </c>
      <c r="C204" s="274">
        <f t="shared" si="28"/>
        <v>8848</v>
      </c>
      <c r="D204" s="274">
        <f t="shared" si="28"/>
        <v>9347</v>
      </c>
      <c r="E204" s="274">
        <f t="shared" si="29"/>
        <v>499</v>
      </c>
      <c r="F204" s="273">
        <f t="shared" si="30"/>
        <v>5.6396925858951175E-2</v>
      </c>
    </row>
    <row r="205" spans="1:9" ht="39.9" customHeight="1" x14ac:dyDescent="0.4">
      <c r="A205" s="271"/>
      <c r="B205" s="272" t="s">
        <v>150</v>
      </c>
      <c r="C205" s="274">
        <f t="shared" si="28"/>
        <v>860</v>
      </c>
      <c r="D205" s="274">
        <f t="shared" si="28"/>
        <v>991</v>
      </c>
      <c r="E205" s="274">
        <f t="shared" si="29"/>
        <v>131</v>
      </c>
      <c r="F205" s="273">
        <f t="shared" si="30"/>
        <v>0.15232558139534882</v>
      </c>
    </row>
    <row r="206" spans="1:9" ht="39.9" customHeight="1" x14ac:dyDescent="0.4">
      <c r="A206" s="271"/>
      <c r="B206" s="272" t="s">
        <v>470</v>
      </c>
      <c r="C206" s="274">
        <f t="shared" si="28"/>
        <v>609</v>
      </c>
      <c r="D206" s="274">
        <f t="shared" si="28"/>
        <v>651</v>
      </c>
      <c r="E206" s="274">
        <f t="shared" si="29"/>
        <v>42</v>
      </c>
      <c r="F206" s="273">
        <f t="shared" si="30"/>
        <v>6.8965517241379309E-2</v>
      </c>
    </row>
    <row r="207" spans="1:9" ht="20.25" customHeight="1" x14ac:dyDescent="0.4">
      <c r="A207" s="271"/>
      <c r="B207" s="262" t="s">
        <v>471</v>
      </c>
      <c r="C207" s="263">
        <f>+C198+C200</f>
        <v>50980398</v>
      </c>
      <c r="D207" s="263">
        <f>+D198+D200</f>
        <v>60481275</v>
      </c>
      <c r="E207" s="263">
        <f t="shared" si="29"/>
        <v>9500877</v>
      </c>
      <c r="F207" s="273">
        <f t="shared" si="30"/>
        <v>0.18636333517835621</v>
      </c>
    </row>
    <row r="208" spans="1:9" ht="20.25" customHeight="1" x14ac:dyDescent="0.4">
      <c r="A208" s="271"/>
      <c r="B208" s="262" t="s">
        <v>472</v>
      </c>
      <c r="C208" s="263">
        <f>+C199+C201</f>
        <v>12065928</v>
      </c>
      <c r="D208" s="263">
        <f>+D199+D201</f>
        <v>15250451</v>
      </c>
      <c r="E208" s="263">
        <f t="shared" si="29"/>
        <v>3184523</v>
      </c>
      <c r="F208" s="273">
        <f t="shared" si="30"/>
        <v>0.26392690226561938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5" bottom="0.5" header="0.25" footer="0.25"/>
  <pageSetup scale="58" fitToHeight="0" orientation="portrait" horizontalDpi="300" verticalDpi="300" r:id="rId1"/>
  <headerFooter>
    <oddHeader>&amp;LOFFICE OF HEALTH CARE ACCESS&amp;CTWELVE MONTHS ACTUAL FILING&amp;RNORWALK HOSPITAL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30" sqref="B30"/>
    </sheetView>
  </sheetViews>
  <sheetFormatPr defaultColWidth="9.109375" defaultRowHeight="20.25" customHeight="1" x14ac:dyDescent="0.35"/>
  <cols>
    <col min="1" max="1" width="8.44140625" style="235" customWidth="1"/>
    <col min="2" max="2" width="72" style="235" customWidth="1"/>
    <col min="3" max="3" width="24.109375" style="245" customWidth="1"/>
    <col min="4" max="6" width="24.109375" style="235" customWidth="1"/>
    <col min="7" max="16384" width="9.109375" style="235"/>
  </cols>
  <sheetData>
    <row r="1" spans="1:7" ht="20.25" customHeight="1" x14ac:dyDescent="0.4">
      <c r="A1" s="232"/>
      <c r="B1" s="232"/>
      <c r="C1" s="233"/>
      <c r="D1" s="234"/>
      <c r="E1" s="234"/>
      <c r="F1" s="234"/>
    </row>
    <row r="2" spans="1:7" ht="20.25" customHeight="1" x14ac:dyDescent="0.4">
      <c r="A2" s="802" t="s">
        <v>0</v>
      </c>
      <c r="B2" s="802"/>
      <c r="C2" s="802"/>
      <c r="D2" s="802"/>
      <c r="E2" s="802"/>
      <c r="F2" s="802"/>
    </row>
    <row r="3" spans="1:7" ht="20.25" customHeight="1" x14ac:dyDescent="0.4">
      <c r="A3" s="802" t="s">
        <v>1</v>
      </c>
      <c r="B3" s="802"/>
      <c r="C3" s="802"/>
      <c r="D3" s="802"/>
      <c r="E3" s="802"/>
      <c r="F3" s="802"/>
    </row>
    <row r="4" spans="1:7" ht="20.25" customHeight="1" x14ac:dyDescent="0.4">
      <c r="A4" s="802" t="s">
        <v>314</v>
      </c>
      <c r="B4" s="802"/>
      <c r="C4" s="802"/>
      <c r="D4" s="802"/>
      <c r="E4" s="802"/>
      <c r="F4" s="802"/>
    </row>
    <row r="5" spans="1:7" ht="20.25" customHeight="1" x14ac:dyDescent="0.4">
      <c r="A5" s="802" t="s">
        <v>473</v>
      </c>
      <c r="B5" s="802"/>
      <c r="C5" s="802"/>
      <c r="D5" s="802"/>
      <c r="E5" s="802"/>
      <c r="F5" s="802"/>
    </row>
    <row r="6" spans="1:7" ht="20.25" customHeight="1" thickBot="1" x14ac:dyDescent="0.45">
      <c r="A6" s="232"/>
      <c r="B6" s="232"/>
      <c r="C6" s="233"/>
    </row>
    <row r="7" spans="1:7" ht="20.25" customHeight="1" x14ac:dyDescent="0.4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4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4">
      <c r="A9" s="277"/>
      <c r="B9" s="278"/>
      <c r="C9" s="279"/>
      <c r="D9" s="280"/>
      <c r="E9" s="280"/>
      <c r="F9" s="281"/>
      <c r="G9" s="245"/>
    </row>
    <row r="10" spans="1:7" ht="20.25" customHeight="1" x14ac:dyDescent="0.35">
      <c r="A10" s="794" t="s">
        <v>12</v>
      </c>
      <c r="B10" s="796" t="s">
        <v>116</v>
      </c>
      <c r="C10" s="798"/>
      <c r="D10" s="799"/>
      <c r="E10" s="799"/>
      <c r="F10" s="800"/>
    </row>
    <row r="11" spans="1:7" ht="20.25" customHeight="1" x14ac:dyDescent="0.35">
      <c r="A11" s="795"/>
      <c r="B11" s="797"/>
      <c r="C11" s="791"/>
      <c r="D11" s="792"/>
      <c r="E11" s="792"/>
      <c r="F11" s="793"/>
    </row>
    <row r="12" spans="1:7" ht="20.25" customHeight="1" x14ac:dyDescent="0.4">
      <c r="A12" s="257"/>
      <c r="B12" s="282"/>
      <c r="C12" s="250"/>
      <c r="D12" s="250"/>
      <c r="E12" s="250"/>
      <c r="F12" s="250"/>
    </row>
    <row r="13" spans="1:7" ht="42" customHeight="1" x14ac:dyDescent="0.4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5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5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5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5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5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5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5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5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5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4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4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4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5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5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5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5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5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5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5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5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5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4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4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4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5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5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5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5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5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5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5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5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5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4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4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4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5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5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5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5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5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5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5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5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5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4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4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4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5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5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5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5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5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5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5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5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5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4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4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4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5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5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5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5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5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5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5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5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5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4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4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4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5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5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5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5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5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5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5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5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5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4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4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4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5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5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5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5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5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5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5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5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5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4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4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4">
      <c r="A109" s="794" t="s">
        <v>44</v>
      </c>
      <c r="B109" s="796" t="s">
        <v>490</v>
      </c>
      <c r="C109" s="798"/>
      <c r="D109" s="799"/>
      <c r="E109" s="799"/>
      <c r="F109" s="800"/>
      <c r="G109" s="245"/>
    </row>
    <row r="110" spans="1:7" ht="20.25" customHeight="1" x14ac:dyDescent="0.35">
      <c r="A110" s="795"/>
      <c r="B110" s="797"/>
      <c r="C110" s="791"/>
      <c r="D110" s="792"/>
      <c r="E110" s="792"/>
      <c r="F110" s="793"/>
    </row>
    <row r="111" spans="1:7" ht="20.25" customHeight="1" x14ac:dyDescent="0.4">
      <c r="A111" s="285"/>
      <c r="B111" s="282"/>
      <c r="C111" s="250"/>
      <c r="D111" s="250"/>
      <c r="E111" s="250"/>
      <c r="F111" s="250"/>
    </row>
    <row r="112" spans="1:7" ht="20.25" customHeight="1" x14ac:dyDescent="0.4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4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4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4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4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4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" customHeight="1" x14ac:dyDescent="0.4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" customHeight="1" x14ac:dyDescent="0.4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" customHeight="1" x14ac:dyDescent="0.4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4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4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scale="58" fitToHeight="0" orientation="portrait" horizontalDpi="300" verticalDpi="300" r:id="rId1"/>
  <headerFooter>
    <oddHeader>&amp;LOFFICE OF HEALTH CARE ACCESS&amp;CTWELVE MONTHS ACTUAL FILING&amp;RNORWALK HOSPITAL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activeCell="B30" sqref="B30"/>
    </sheetView>
  </sheetViews>
  <sheetFormatPr defaultColWidth="9.109375" defaultRowHeight="24" customHeight="1" x14ac:dyDescent="0.25"/>
  <cols>
    <col min="1" max="1" width="6.6640625" style="288" customWidth="1"/>
    <col min="2" max="2" width="47.5546875" style="288" customWidth="1"/>
    <col min="3" max="4" width="22.109375" style="288" bestFit="1" customWidth="1"/>
    <col min="5" max="5" width="21.6640625" style="327" customWidth="1"/>
    <col min="6" max="6" width="23.33203125" style="327" customWidth="1"/>
    <col min="7" max="7" width="19.109375" style="288" customWidth="1"/>
    <col min="8" max="16384" width="9.109375" style="288"/>
  </cols>
  <sheetData>
    <row r="1" spans="1:8" ht="24" customHeight="1" x14ac:dyDescent="0.3">
      <c r="A1" s="807" t="s">
        <v>500</v>
      </c>
      <c r="B1" s="808"/>
      <c r="C1" s="808"/>
      <c r="D1" s="808"/>
      <c r="E1" s="808"/>
      <c r="F1" s="809"/>
    </row>
    <row r="2" spans="1:8" ht="24" customHeight="1" x14ac:dyDescent="0.3">
      <c r="A2" s="807" t="s">
        <v>1</v>
      </c>
      <c r="B2" s="808"/>
      <c r="C2" s="808"/>
      <c r="D2" s="808"/>
      <c r="E2" s="808"/>
      <c r="F2" s="809"/>
    </row>
    <row r="3" spans="1:8" ht="24" customHeight="1" x14ac:dyDescent="0.3">
      <c r="A3" s="807" t="s">
        <v>2</v>
      </c>
      <c r="B3" s="808"/>
      <c r="C3" s="808"/>
      <c r="D3" s="808"/>
      <c r="E3" s="808"/>
      <c r="F3" s="809"/>
    </row>
    <row r="4" spans="1:8" ht="24" customHeight="1" x14ac:dyDescent="0.3">
      <c r="A4" s="807" t="s">
        <v>501</v>
      </c>
      <c r="B4" s="808"/>
      <c r="C4" s="808"/>
      <c r="D4" s="808"/>
      <c r="E4" s="808"/>
      <c r="F4" s="809"/>
    </row>
    <row r="5" spans="1:8" ht="15" customHeight="1" x14ac:dyDescent="0.3">
      <c r="A5" s="289"/>
      <c r="B5" s="289"/>
      <c r="C5" s="289"/>
      <c r="D5" s="289"/>
      <c r="E5" s="290"/>
      <c r="F5" s="291"/>
    </row>
    <row r="6" spans="1:8" s="293" customFormat="1" ht="15.75" customHeight="1" x14ac:dyDescent="0.3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3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3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3">
      <c r="A9" s="299"/>
      <c r="B9" s="301"/>
      <c r="C9" s="299"/>
      <c r="D9" s="299"/>
      <c r="E9" s="297"/>
      <c r="F9" s="297"/>
    </row>
    <row r="10" spans="1:8" s="293" customFormat="1" ht="24" customHeight="1" x14ac:dyDescent="0.3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3">
      <c r="A11" s="18"/>
      <c r="B11" s="294"/>
      <c r="C11" s="18"/>
      <c r="D11" s="18"/>
      <c r="E11" s="18"/>
      <c r="F11" s="18"/>
    </row>
    <row r="12" spans="1:8" s="293" customFormat="1" ht="15.75" customHeight="1" x14ac:dyDescent="0.3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5">
      <c r="A13" s="304">
        <v>1</v>
      </c>
      <c r="B13" s="305" t="s">
        <v>16</v>
      </c>
      <c r="C13" s="22">
        <v>89299000</v>
      </c>
      <c r="D13" s="22">
        <v>61070000</v>
      </c>
      <c r="E13" s="22">
        <f t="shared" ref="E13:E22" si="0">D13-C13</f>
        <v>-28229000</v>
      </c>
      <c r="F13" s="306">
        <f t="shared" ref="F13:F22" si="1">IF(C13=0,0,E13/C13)</f>
        <v>-0.31611776167706246</v>
      </c>
    </row>
    <row r="14" spans="1:8" ht="24" customHeight="1" x14ac:dyDescent="0.25">
      <c r="A14" s="304">
        <v>2</v>
      </c>
      <c r="B14" s="305" t="s">
        <v>17</v>
      </c>
      <c r="C14" s="22">
        <v>13983000</v>
      </c>
      <c r="D14" s="22">
        <v>36175000</v>
      </c>
      <c r="E14" s="22">
        <f t="shared" si="0"/>
        <v>22192000</v>
      </c>
      <c r="F14" s="306">
        <f t="shared" si="1"/>
        <v>1.5870700135879281</v>
      </c>
    </row>
    <row r="15" spans="1:8" ht="35.1" customHeight="1" x14ac:dyDescent="0.25">
      <c r="A15" s="304">
        <v>3</v>
      </c>
      <c r="B15" s="305" t="s">
        <v>18</v>
      </c>
      <c r="C15" s="22">
        <v>143408000</v>
      </c>
      <c r="D15" s="22">
        <v>135583000</v>
      </c>
      <c r="E15" s="22">
        <f t="shared" si="0"/>
        <v>-7825000</v>
      </c>
      <c r="F15" s="306">
        <f t="shared" si="1"/>
        <v>-5.4564598906616087E-2</v>
      </c>
    </row>
    <row r="16" spans="1:8" ht="35.1" customHeight="1" x14ac:dyDescent="0.25">
      <c r="A16" s="304">
        <v>4</v>
      </c>
      <c r="B16" s="305" t="s">
        <v>19</v>
      </c>
      <c r="C16" s="22">
        <v>7368000</v>
      </c>
      <c r="D16" s="22">
        <v>16880000</v>
      </c>
      <c r="E16" s="22">
        <f t="shared" si="0"/>
        <v>9512000</v>
      </c>
      <c r="F16" s="306">
        <f t="shared" si="1"/>
        <v>1.2909880564603691</v>
      </c>
    </row>
    <row r="17" spans="1:11" ht="24" customHeight="1" x14ac:dyDescent="0.25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5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5">
      <c r="A19" s="304">
        <v>7</v>
      </c>
      <c r="B19" s="305" t="s">
        <v>22</v>
      </c>
      <c r="C19" s="22">
        <v>14880000</v>
      </c>
      <c r="D19" s="22">
        <v>16082000</v>
      </c>
      <c r="E19" s="22">
        <f t="shared" si="0"/>
        <v>1202000</v>
      </c>
      <c r="F19" s="306">
        <f t="shared" si="1"/>
        <v>8.0779569892473119E-2</v>
      </c>
    </row>
    <row r="20" spans="1:11" ht="24" customHeight="1" x14ac:dyDescent="0.25">
      <c r="A20" s="304">
        <v>8</v>
      </c>
      <c r="B20" s="305" t="s">
        <v>23</v>
      </c>
      <c r="C20" s="22">
        <v>23102000</v>
      </c>
      <c r="D20" s="22">
        <v>34299000</v>
      </c>
      <c r="E20" s="22">
        <f t="shared" si="0"/>
        <v>11197000</v>
      </c>
      <c r="F20" s="306">
        <f t="shared" si="1"/>
        <v>0.48467665137217558</v>
      </c>
    </row>
    <row r="21" spans="1:11" ht="24" customHeight="1" x14ac:dyDescent="0.25">
      <c r="A21" s="304">
        <v>9</v>
      </c>
      <c r="B21" s="305" t="s">
        <v>24</v>
      </c>
      <c r="C21" s="22">
        <v>41268000</v>
      </c>
      <c r="D21" s="22">
        <v>7846000</v>
      </c>
      <c r="E21" s="22">
        <f t="shared" si="0"/>
        <v>-33422000</v>
      </c>
      <c r="F21" s="306">
        <f t="shared" si="1"/>
        <v>-0.80987690220025199</v>
      </c>
    </row>
    <row r="22" spans="1:11" ht="24" customHeight="1" x14ac:dyDescent="0.3">
      <c r="A22" s="307"/>
      <c r="B22" s="308" t="s">
        <v>25</v>
      </c>
      <c r="C22" s="309">
        <f>SUM(C13:C21)</f>
        <v>333308000</v>
      </c>
      <c r="D22" s="309">
        <f>SUM(D13:D21)</f>
        <v>307935000</v>
      </c>
      <c r="E22" s="309">
        <f t="shared" si="0"/>
        <v>-25373000</v>
      </c>
      <c r="F22" s="310">
        <f t="shared" si="1"/>
        <v>-7.6124785483696764E-2</v>
      </c>
    </row>
    <row r="23" spans="1:11" ht="15" customHeight="1" x14ac:dyDescent="0.25">
      <c r="A23" s="304"/>
      <c r="B23" s="291"/>
      <c r="C23" s="311"/>
      <c r="D23" s="311"/>
      <c r="E23" s="311"/>
      <c r="F23" s="306"/>
    </row>
    <row r="24" spans="1:11" ht="24" customHeight="1" x14ac:dyDescent="0.3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5">
      <c r="A25" s="304">
        <v>1</v>
      </c>
      <c r="B25" s="305" t="s">
        <v>28</v>
      </c>
      <c r="C25" s="22">
        <v>14563000</v>
      </c>
      <c r="D25" s="22">
        <v>15165000</v>
      </c>
      <c r="E25" s="22">
        <f>D25-C25</f>
        <v>602000</v>
      </c>
      <c r="F25" s="306">
        <f>IF(C25=0,0,E25/C25)</f>
        <v>4.1337636476000826E-2</v>
      </c>
      <c r="H25" s="314"/>
      <c r="I25" s="315"/>
      <c r="J25" s="315"/>
      <c r="K25" s="316"/>
    </row>
    <row r="26" spans="1:11" ht="24" customHeight="1" x14ac:dyDescent="0.25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5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5">
      <c r="A28" s="304">
        <v>4</v>
      </c>
      <c r="B28" s="305" t="s">
        <v>31</v>
      </c>
      <c r="C28" s="22">
        <v>132780000</v>
      </c>
      <c r="D28" s="22">
        <v>154734000</v>
      </c>
      <c r="E28" s="22">
        <f>D28-C28</f>
        <v>21954000</v>
      </c>
      <c r="F28" s="306">
        <f>IF(C28=0,0,E28/C28)</f>
        <v>0.16534116583822864</v>
      </c>
    </row>
    <row r="29" spans="1:11" ht="35.1" customHeight="1" x14ac:dyDescent="0.3">
      <c r="A29" s="307"/>
      <c r="B29" s="308" t="s">
        <v>32</v>
      </c>
      <c r="C29" s="309">
        <f>SUM(C25:C28)</f>
        <v>147343000</v>
      </c>
      <c r="D29" s="309">
        <f>SUM(D25:D28)</f>
        <v>169899000</v>
      </c>
      <c r="E29" s="309">
        <f>D29-C29</f>
        <v>22556000</v>
      </c>
      <c r="F29" s="310">
        <f>IF(C29=0,0,E29/C29)</f>
        <v>0.15308497858737774</v>
      </c>
    </row>
    <row r="30" spans="1:11" ht="15" customHeight="1" x14ac:dyDescent="0.25">
      <c r="A30" s="304"/>
      <c r="B30" s="291"/>
      <c r="C30" s="311"/>
      <c r="D30" s="311"/>
      <c r="E30" s="311"/>
      <c r="F30" s="306"/>
    </row>
    <row r="31" spans="1:11" ht="15" customHeight="1" x14ac:dyDescent="0.25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5">
      <c r="A32" s="304">
        <v>6</v>
      </c>
      <c r="B32" s="305" t="s">
        <v>34</v>
      </c>
      <c r="C32" s="22">
        <v>416915000</v>
      </c>
      <c r="D32" s="22">
        <v>285879000</v>
      </c>
      <c r="E32" s="22">
        <f>D32-C32</f>
        <v>-131036000</v>
      </c>
      <c r="F32" s="306">
        <f>IF(C32=0,0,E32/C32)</f>
        <v>-0.3142990777496612</v>
      </c>
    </row>
    <row r="33" spans="1:8" ht="24" customHeight="1" x14ac:dyDescent="0.25">
      <c r="A33" s="304">
        <v>7</v>
      </c>
      <c r="B33" s="305" t="s">
        <v>35</v>
      </c>
      <c r="C33" s="22">
        <v>34445000</v>
      </c>
      <c r="D33" s="22">
        <v>149847000</v>
      </c>
      <c r="E33" s="22">
        <f>D33-C33</f>
        <v>115402000</v>
      </c>
      <c r="F33" s="306">
        <f>IF(C33=0,0,E33/C33)</f>
        <v>3.3503266076353606</v>
      </c>
    </row>
    <row r="34" spans="1:8" ht="15" customHeight="1" x14ac:dyDescent="0.25">
      <c r="A34" s="304"/>
      <c r="B34" s="291"/>
      <c r="C34" s="311"/>
      <c r="D34" s="311"/>
      <c r="E34" s="311"/>
      <c r="F34" s="306"/>
    </row>
    <row r="35" spans="1:8" ht="24" customHeight="1" x14ac:dyDescent="0.3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5">
      <c r="A36" s="304">
        <v>1</v>
      </c>
      <c r="B36" s="305" t="s">
        <v>38</v>
      </c>
      <c r="C36" s="22">
        <v>1397769000</v>
      </c>
      <c r="D36" s="22">
        <v>1497472000</v>
      </c>
      <c r="E36" s="22">
        <f>D36-C36</f>
        <v>99703000</v>
      </c>
      <c r="F36" s="306">
        <f>IF(C36=0,0,E36/C36)</f>
        <v>7.1330098177882037E-2</v>
      </c>
    </row>
    <row r="37" spans="1:8" ht="24" customHeight="1" x14ac:dyDescent="0.25">
      <c r="A37" s="304">
        <v>2</v>
      </c>
      <c r="B37" s="305" t="s">
        <v>39</v>
      </c>
      <c r="C37" s="22">
        <v>824711000</v>
      </c>
      <c r="D37" s="22">
        <v>891315000</v>
      </c>
      <c r="E37" s="22">
        <f>D37-C37</f>
        <v>66604000</v>
      </c>
      <c r="F37" s="22">
        <f>IF(C37=0,0,E37/C37)</f>
        <v>8.0760411829113476E-2</v>
      </c>
    </row>
    <row r="38" spans="1:8" ht="24" customHeight="1" x14ac:dyDescent="0.3">
      <c r="A38" s="307"/>
      <c r="B38" s="308" t="s">
        <v>40</v>
      </c>
      <c r="C38" s="309">
        <f>C36-C37</f>
        <v>573058000</v>
      </c>
      <c r="D38" s="309">
        <f>D36-D37</f>
        <v>606157000</v>
      </c>
      <c r="E38" s="309">
        <f>D38-C38</f>
        <v>33099000</v>
      </c>
      <c r="F38" s="310">
        <f>IF(C38=0,0,E38/C38)</f>
        <v>5.7758551490425053E-2</v>
      </c>
    </row>
    <row r="39" spans="1:8" ht="15" customHeight="1" x14ac:dyDescent="0.25">
      <c r="A39" s="304"/>
      <c r="B39" s="291"/>
      <c r="C39" s="311"/>
      <c r="D39" s="311"/>
      <c r="E39" s="311"/>
      <c r="F39" s="306"/>
    </row>
    <row r="40" spans="1:8" ht="24" customHeight="1" x14ac:dyDescent="0.25">
      <c r="A40" s="304">
        <v>3</v>
      </c>
      <c r="B40" s="305" t="s">
        <v>41</v>
      </c>
      <c r="C40" s="22">
        <v>106873000</v>
      </c>
      <c r="D40" s="22">
        <v>78754000</v>
      </c>
      <c r="E40" s="22">
        <f>D40-C40</f>
        <v>-28119000</v>
      </c>
      <c r="F40" s="306">
        <f>IF(C40=0,0,E40/C40)</f>
        <v>-0.26310667801970561</v>
      </c>
    </row>
    <row r="41" spans="1:8" ht="24" customHeight="1" x14ac:dyDescent="0.3">
      <c r="A41" s="307"/>
      <c r="B41" s="308" t="s">
        <v>42</v>
      </c>
      <c r="C41" s="309">
        <f>+C38+C40</f>
        <v>679931000</v>
      </c>
      <c r="D41" s="309">
        <f>+D38+D40</f>
        <v>684911000</v>
      </c>
      <c r="E41" s="309">
        <f>D41-C41</f>
        <v>4980000</v>
      </c>
      <c r="F41" s="310">
        <f>IF(C41=0,0,E41/C41)</f>
        <v>7.3242726100148396E-3</v>
      </c>
    </row>
    <row r="42" spans="1:8" ht="24" customHeight="1" x14ac:dyDescent="0.25">
      <c r="A42" s="304"/>
      <c r="B42" s="305"/>
      <c r="C42" s="311"/>
      <c r="D42" s="311"/>
      <c r="E42" s="311"/>
      <c r="F42" s="306"/>
    </row>
    <row r="43" spans="1:8" ht="24" customHeight="1" x14ac:dyDescent="0.3">
      <c r="A43" s="307"/>
      <c r="B43" s="308" t="s">
        <v>43</v>
      </c>
      <c r="C43" s="309">
        <f>C22+C29+C31+C32+C33+C41</f>
        <v>1611942000</v>
      </c>
      <c r="D43" s="309">
        <f>D22+D29+D31+D32+D33+D41</f>
        <v>1598471000</v>
      </c>
      <c r="E43" s="309">
        <f>D43-C43</f>
        <v>-13471000</v>
      </c>
      <c r="F43" s="310">
        <f>IF(C43=0,0,E43/C43)</f>
        <v>-8.3570004379810194E-3</v>
      </c>
    </row>
    <row r="44" spans="1:8" ht="15.75" customHeight="1" x14ac:dyDescent="0.3">
      <c r="A44" s="317"/>
      <c r="B44" s="289"/>
      <c r="C44" s="36"/>
      <c r="D44" s="36"/>
      <c r="E44" s="37"/>
      <c r="F44" s="291"/>
    </row>
    <row r="45" spans="1:8" s="293" customFormat="1" ht="15.75" customHeight="1" x14ac:dyDescent="0.3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3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3">
      <c r="A47" s="18"/>
      <c r="B47" s="294"/>
      <c r="C47" s="39"/>
      <c r="D47" s="39"/>
      <c r="E47" s="40"/>
      <c r="F47" s="18"/>
    </row>
    <row r="48" spans="1:8" ht="15.75" customHeight="1" x14ac:dyDescent="0.3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5">
      <c r="A49" s="304">
        <v>1</v>
      </c>
      <c r="B49" s="305" t="s">
        <v>47</v>
      </c>
      <c r="C49" s="22">
        <v>69955000</v>
      </c>
      <c r="D49" s="22">
        <v>65526000</v>
      </c>
      <c r="E49" s="22">
        <f t="shared" ref="E49:E56" si="2">D49-C49</f>
        <v>-4429000</v>
      </c>
      <c r="F49" s="306">
        <f t="shared" ref="F49:F56" si="3">IF(C49=0,0,E49/C49)</f>
        <v>-6.3312129225930949E-2</v>
      </c>
    </row>
    <row r="50" spans="1:6" ht="24" customHeight="1" x14ac:dyDescent="0.25">
      <c r="A50" s="304">
        <f t="shared" ref="A50:A55" si="4">1+A49</f>
        <v>2</v>
      </c>
      <c r="B50" s="305" t="s">
        <v>48</v>
      </c>
      <c r="C50" s="22">
        <v>69290000</v>
      </c>
      <c r="D50" s="22">
        <v>54994000</v>
      </c>
      <c r="E50" s="22">
        <f t="shared" si="2"/>
        <v>-14296000</v>
      </c>
      <c r="F50" s="306">
        <f t="shared" si="3"/>
        <v>-0.20632125847885699</v>
      </c>
    </row>
    <row r="51" spans="1:6" ht="24" customHeight="1" x14ac:dyDescent="0.25">
      <c r="A51" s="304">
        <f t="shared" si="4"/>
        <v>3</v>
      </c>
      <c r="B51" s="305" t="s">
        <v>49</v>
      </c>
      <c r="C51" s="22">
        <v>46275000</v>
      </c>
      <c r="D51" s="22">
        <v>32175000</v>
      </c>
      <c r="E51" s="22">
        <f t="shared" si="2"/>
        <v>-14100000</v>
      </c>
      <c r="F51" s="306">
        <f t="shared" si="3"/>
        <v>-0.3047001620745543</v>
      </c>
    </row>
    <row r="52" spans="1:6" ht="24" customHeight="1" x14ac:dyDescent="0.25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5">
      <c r="A53" s="304">
        <f t="shared" si="4"/>
        <v>5</v>
      </c>
      <c r="B53" s="305" t="s">
        <v>51</v>
      </c>
      <c r="C53" s="22">
        <v>9227000</v>
      </c>
      <c r="D53" s="22">
        <v>9216000</v>
      </c>
      <c r="E53" s="22">
        <f t="shared" si="2"/>
        <v>-11000</v>
      </c>
      <c r="F53" s="306">
        <f t="shared" si="3"/>
        <v>-1.1921534626639211E-3</v>
      </c>
    </row>
    <row r="54" spans="1:6" ht="24" customHeight="1" x14ac:dyDescent="0.25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5">
      <c r="A55" s="304">
        <f t="shared" si="4"/>
        <v>7</v>
      </c>
      <c r="B55" s="305" t="s">
        <v>53</v>
      </c>
      <c r="C55" s="22">
        <v>0</v>
      </c>
      <c r="D55" s="22">
        <v>7105000</v>
      </c>
      <c r="E55" s="22">
        <f t="shared" si="2"/>
        <v>7105000</v>
      </c>
      <c r="F55" s="306">
        <f t="shared" si="3"/>
        <v>0</v>
      </c>
    </row>
    <row r="56" spans="1:6" ht="24" customHeight="1" x14ac:dyDescent="0.3">
      <c r="A56" s="307"/>
      <c r="B56" s="308" t="s">
        <v>54</v>
      </c>
      <c r="C56" s="309">
        <f>SUM(C49:C55)</f>
        <v>194747000</v>
      </c>
      <c r="D56" s="309">
        <f>SUM(D49:D55)</f>
        <v>169016000</v>
      </c>
      <c r="E56" s="309">
        <f t="shared" si="2"/>
        <v>-25731000</v>
      </c>
      <c r="F56" s="310">
        <f t="shared" si="3"/>
        <v>-0.13212527022239109</v>
      </c>
    </row>
    <row r="57" spans="1:6" ht="24" customHeight="1" x14ac:dyDescent="0.3">
      <c r="A57" s="304"/>
      <c r="B57" s="308"/>
      <c r="C57" s="42"/>
      <c r="D57" s="42"/>
      <c r="E57" s="42"/>
      <c r="F57" s="310"/>
    </row>
    <row r="58" spans="1:6" ht="15.75" customHeight="1" x14ac:dyDescent="0.3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5">
      <c r="A59" s="304">
        <v>1</v>
      </c>
      <c r="B59" s="305" t="s">
        <v>56</v>
      </c>
      <c r="C59" s="22">
        <v>0</v>
      </c>
      <c r="D59" s="22">
        <v>0</v>
      </c>
      <c r="E59" s="22">
        <f>D59-C59</f>
        <v>0</v>
      </c>
      <c r="F59" s="306">
        <f>IF(C59=0,0,E59/C59)</f>
        <v>0</v>
      </c>
    </row>
    <row r="60" spans="1:6" ht="24" customHeight="1" x14ac:dyDescent="0.25">
      <c r="A60" s="304">
        <v>2</v>
      </c>
      <c r="B60" s="305" t="s">
        <v>57</v>
      </c>
      <c r="C60" s="22">
        <v>354959000</v>
      </c>
      <c r="D60" s="22">
        <v>345568000</v>
      </c>
      <c r="E60" s="22">
        <f>D60-C60</f>
        <v>-9391000</v>
      </c>
      <c r="F60" s="306">
        <f>IF(C60=0,0,E60/C60)</f>
        <v>-2.645657667505261E-2</v>
      </c>
    </row>
    <row r="61" spans="1:6" ht="24" customHeight="1" x14ac:dyDescent="0.3">
      <c r="A61" s="307"/>
      <c r="B61" s="308" t="s">
        <v>58</v>
      </c>
      <c r="C61" s="309">
        <f>SUM(C59:C60)</f>
        <v>354959000</v>
      </c>
      <c r="D61" s="309">
        <f>SUM(D59:D60)</f>
        <v>345568000</v>
      </c>
      <c r="E61" s="309">
        <f>D61-C61</f>
        <v>-9391000</v>
      </c>
      <c r="F61" s="310">
        <f>IF(C61=0,0,E61/C61)</f>
        <v>-2.645657667505261E-2</v>
      </c>
    </row>
    <row r="62" spans="1:6" ht="15" customHeight="1" x14ac:dyDescent="0.25">
      <c r="A62" s="304"/>
      <c r="B62" s="291"/>
      <c r="C62" s="311"/>
      <c r="D62" s="311"/>
      <c r="E62" s="311"/>
      <c r="F62" s="306"/>
    </row>
    <row r="63" spans="1:6" ht="24" customHeight="1" x14ac:dyDescent="0.25">
      <c r="A63" s="304">
        <v>3</v>
      </c>
      <c r="B63" s="305" t="s">
        <v>59</v>
      </c>
      <c r="C63" s="22">
        <v>227988000</v>
      </c>
      <c r="D63" s="22">
        <v>264662000</v>
      </c>
      <c r="E63" s="22">
        <f>D63-C63</f>
        <v>36674000</v>
      </c>
      <c r="F63" s="306">
        <f>IF(C63=0,0,E63/C63)</f>
        <v>0.16085934347421793</v>
      </c>
    </row>
    <row r="64" spans="1:6" ht="24" customHeight="1" x14ac:dyDescent="0.25">
      <c r="A64" s="304">
        <v>4</v>
      </c>
      <c r="B64" s="305" t="s">
        <v>60</v>
      </c>
      <c r="C64" s="22">
        <v>78958000</v>
      </c>
      <c r="D64" s="22">
        <v>74660000</v>
      </c>
      <c r="E64" s="22">
        <f>D64-C64</f>
        <v>-4298000</v>
      </c>
      <c r="F64" s="306">
        <f>IF(C64=0,0,E64/C64)</f>
        <v>-5.4434002887611133E-2</v>
      </c>
    </row>
    <row r="65" spans="1:6" ht="24" customHeight="1" x14ac:dyDescent="0.3">
      <c r="A65" s="307"/>
      <c r="B65" s="308" t="s">
        <v>61</v>
      </c>
      <c r="C65" s="309">
        <f>SUM(C61:C64)</f>
        <v>661905000</v>
      </c>
      <c r="D65" s="309">
        <f>SUM(D61:D64)</f>
        <v>684890000</v>
      </c>
      <c r="E65" s="309">
        <f>D65-C65</f>
        <v>22985000</v>
      </c>
      <c r="F65" s="310">
        <f>IF(C65=0,0,E65/C65)</f>
        <v>3.4725527077148537E-2</v>
      </c>
    </row>
    <row r="66" spans="1:6" ht="24" customHeight="1" x14ac:dyDescent="0.25">
      <c r="B66" s="291"/>
      <c r="C66" s="311"/>
      <c r="D66" s="311"/>
      <c r="E66" s="311"/>
      <c r="F66" s="306"/>
    </row>
    <row r="67" spans="1:6" s="322" customFormat="1" ht="35.1" customHeight="1" x14ac:dyDescent="0.25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5">
      <c r="B68" s="291"/>
      <c r="C68" s="311"/>
      <c r="D68" s="311"/>
      <c r="E68" s="311"/>
      <c r="F68" s="306"/>
    </row>
    <row r="69" spans="1:6" ht="15.75" customHeight="1" x14ac:dyDescent="0.3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5">
      <c r="A70" s="304">
        <v>1</v>
      </c>
      <c r="B70" s="305" t="s">
        <v>64</v>
      </c>
      <c r="C70" s="22">
        <v>603321000</v>
      </c>
      <c r="D70" s="22">
        <v>613859000</v>
      </c>
      <c r="E70" s="22">
        <f>D70-C70</f>
        <v>10538000</v>
      </c>
      <c r="F70" s="306">
        <f>IF(C70=0,0,E70/C70)</f>
        <v>1.7466655395718032E-2</v>
      </c>
    </row>
    <row r="71" spans="1:6" ht="24" customHeight="1" x14ac:dyDescent="0.25">
      <c r="A71" s="304">
        <v>2</v>
      </c>
      <c r="B71" s="305" t="s">
        <v>65</v>
      </c>
      <c r="C71" s="22">
        <v>107926000</v>
      </c>
      <c r="D71" s="22">
        <v>85290000</v>
      </c>
      <c r="E71" s="22">
        <f>D71-C71</f>
        <v>-22636000</v>
      </c>
      <c r="F71" s="306">
        <f>IF(C71=0,0,E71/C71)</f>
        <v>-0.2097363007986954</v>
      </c>
    </row>
    <row r="72" spans="1:6" ht="24" customHeight="1" x14ac:dyDescent="0.25">
      <c r="A72" s="304">
        <v>3</v>
      </c>
      <c r="B72" s="305" t="s">
        <v>66</v>
      </c>
      <c r="C72" s="22">
        <v>44043000</v>
      </c>
      <c r="D72" s="22">
        <v>45416000</v>
      </c>
      <c r="E72" s="22">
        <f>D72-C72</f>
        <v>1373000</v>
      </c>
      <c r="F72" s="306">
        <f>IF(C72=0,0,E72/C72)</f>
        <v>3.1174079876484344E-2</v>
      </c>
    </row>
    <row r="73" spans="1:6" ht="24" customHeight="1" x14ac:dyDescent="0.3">
      <c r="A73" s="304"/>
      <c r="B73" s="308" t="s">
        <v>67</v>
      </c>
      <c r="C73" s="309">
        <f>SUM(C70:C72)</f>
        <v>755290000</v>
      </c>
      <c r="D73" s="309">
        <f>SUM(D70:D72)</f>
        <v>744565000</v>
      </c>
      <c r="E73" s="309">
        <f>D73-C73</f>
        <v>-10725000</v>
      </c>
      <c r="F73" s="310">
        <f>IF(C73=0,0,E73/C73)</f>
        <v>-1.4199843768618676E-2</v>
      </c>
    </row>
    <row r="74" spans="1:6" ht="24" customHeight="1" x14ac:dyDescent="0.3">
      <c r="B74" s="308"/>
      <c r="C74" s="311"/>
      <c r="D74" s="311"/>
      <c r="E74" s="311"/>
      <c r="F74" s="306"/>
    </row>
    <row r="75" spans="1:6" ht="15.75" customHeight="1" x14ac:dyDescent="0.3">
      <c r="A75" s="304"/>
      <c r="B75" s="308" t="s">
        <v>68</v>
      </c>
      <c r="C75" s="309">
        <f>C56+C65+C67+C73</f>
        <v>1611942000</v>
      </c>
      <c r="D75" s="309">
        <f>D56+D65+D67+D73</f>
        <v>1598471000</v>
      </c>
      <c r="E75" s="309">
        <f>D75-C75</f>
        <v>-13471000</v>
      </c>
      <c r="F75" s="310">
        <f>IF(C75=0,0,E75/C75)</f>
        <v>-8.3570004379810194E-3</v>
      </c>
    </row>
    <row r="76" spans="1:6" ht="24" customHeight="1" x14ac:dyDescent="0.3">
      <c r="B76" s="308"/>
      <c r="C76" s="42"/>
      <c r="D76" s="42"/>
      <c r="E76" s="42"/>
      <c r="F76" s="310"/>
    </row>
    <row r="77" spans="1:6" ht="24" customHeight="1" x14ac:dyDescent="0.3">
      <c r="A77" s="312"/>
      <c r="B77" s="47"/>
      <c r="C77" s="309"/>
      <c r="D77" s="309"/>
      <c r="E77" s="309"/>
      <c r="F77" s="310"/>
    </row>
    <row r="78" spans="1:6" ht="24" customHeight="1" x14ac:dyDescent="0.3">
      <c r="A78" s="304"/>
      <c r="B78" s="50"/>
      <c r="C78" s="49"/>
      <c r="D78" s="49"/>
      <c r="E78" s="49"/>
      <c r="F78" s="310"/>
    </row>
    <row r="79" spans="1:6" ht="47.25" customHeight="1" x14ac:dyDescent="0.3">
      <c r="A79" s="304"/>
      <c r="B79" s="50"/>
      <c r="C79" s="323"/>
      <c r="D79" s="323"/>
      <c r="E79" s="324"/>
      <c r="F79" s="310"/>
    </row>
    <row r="80" spans="1:6" ht="24" customHeight="1" x14ac:dyDescent="0.3">
      <c r="A80" s="304"/>
      <c r="B80" s="308"/>
      <c r="C80" s="309"/>
      <c r="D80" s="309"/>
      <c r="E80" s="325"/>
      <c r="F80" s="310"/>
    </row>
    <row r="81" spans="1:6" ht="24" customHeight="1" x14ac:dyDescent="0.3">
      <c r="A81" s="304"/>
      <c r="B81" s="308"/>
      <c r="C81" s="309"/>
      <c r="D81" s="309"/>
      <c r="E81" s="325"/>
      <c r="F81" s="310"/>
    </row>
    <row r="82" spans="1:6" ht="24" customHeight="1" x14ac:dyDescent="0.25">
      <c r="A82" s="304"/>
      <c r="B82" s="304"/>
      <c r="C82" s="326"/>
      <c r="D82" s="291"/>
      <c r="E82" s="291"/>
      <c r="F82" s="291"/>
    </row>
    <row r="83" spans="1:6" ht="12.75" customHeight="1" x14ac:dyDescent="0.25"/>
    <row r="84" spans="1:6" ht="12.75" customHeight="1" x14ac:dyDescent="0.25"/>
    <row r="85" spans="1:6" ht="12.75" customHeight="1" x14ac:dyDescent="0.25"/>
    <row r="86" spans="1:6" ht="12.75" customHeight="1" x14ac:dyDescent="0.25"/>
    <row r="87" spans="1:6" ht="12.75" customHeight="1" x14ac:dyDescent="0.25"/>
    <row r="88" spans="1:6" ht="12.75" customHeight="1" x14ac:dyDescent="0.25"/>
    <row r="89" spans="1:6" ht="12.75" customHeight="1" x14ac:dyDescent="0.25"/>
    <row r="90" spans="1:6" ht="12.75" customHeight="1" x14ac:dyDescent="0.25"/>
    <row r="91" spans="1:6" ht="12.75" customHeight="1" x14ac:dyDescent="0.25"/>
    <row r="92" spans="1:6" ht="12.75" customHeight="1" x14ac:dyDescent="0.25"/>
    <row r="93" spans="1:6" ht="12.75" customHeight="1" x14ac:dyDescent="0.25"/>
    <row r="94" spans="1:6" ht="12.75" customHeight="1" x14ac:dyDescent="0.25"/>
    <row r="95" spans="1:6" ht="12.75" customHeight="1" x14ac:dyDescent="0.25"/>
    <row r="96" spans="1:6" ht="12.75" customHeight="1" x14ac:dyDescent="0.25"/>
    <row r="97" spans="7:8" ht="12.75" customHeight="1" x14ac:dyDescent="0.25"/>
    <row r="98" spans="7:8" ht="12.75" customHeight="1" x14ac:dyDescent="0.25"/>
    <row r="99" spans="7:8" ht="12.75" customHeight="1" x14ac:dyDescent="0.25"/>
    <row r="100" spans="7:8" ht="12.75" customHeight="1" x14ac:dyDescent="0.25">
      <c r="G100" s="293"/>
      <c r="H100" s="298"/>
    </row>
    <row r="101" spans="7:8" ht="12.75" customHeight="1" x14ac:dyDescent="0.25"/>
    <row r="102" spans="7:8" ht="12.75" customHeight="1" x14ac:dyDescent="0.25"/>
    <row r="103" spans="7:8" ht="12.75" customHeight="1" x14ac:dyDescent="0.25"/>
    <row r="104" spans="7:8" ht="12.75" customHeight="1" x14ac:dyDescent="0.25"/>
    <row r="105" spans="7:8" ht="12.75" customHeight="1" x14ac:dyDescent="0.25"/>
    <row r="106" spans="7:8" ht="12.75" customHeight="1" x14ac:dyDescent="0.25"/>
    <row r="107" spans="7:8" ht="12.75" customHeight="1" x14ac:dyDescent="0.25"/>
    <row r="108" spans="7:8" ht="12.75" customHeight="1" x14ac:dyDescent="0.25"/>
    <row r="109" spans="7:8" ht="12.75" customHeight="1" x14ac:dyDescent="0.25"/>
    <row r="110" spans="7:8" ht="12.75" customHeight="1" x14ac:dyDescent="0.25"/>
    <row r="111" spans="7:8" ht="12.75" customHeight="1" x14ac:dyDescent="0.25"/>
    <row r="112" spans="7:8" ht="12.75" customHeight="1" x14ac:dyDescent="0.25"/>
    <row r="113" spans="7:8" ht="12.75" customHeight="1" x14ac:dyDescent="0.25"/>
    <row r="114" spans="7:8" ht="12.75" customHeight="1" x14ac:dyDescent="0.25"/>
    <row r="115" spans="7:8" ht="12.75" customHeight="1" x14ac:dyDescent="0.25"/>
    <row r="116" spans="7:8" ht="12.75" customHeight="1" x14ac:dyDescent="0.25"/>
    <row r="117" spans="7:8" ht="12.75" customHeight="1" x14ac:dyDescent="0.25"/>
    <row r="118" spans="7:8" ht="12.75" customHeight="1" x14ac:dyDescent="0.25">
      <c r="G118" s="293"/>
      <c r="H118" s="298"/>
    </row>
    <row r="119" spans="7:8" ht="12.75" customHeight="1" x14ac:dyDescent="0.25"/>
    <row r="120" spans="7:8" ht="12.75" customHeight="1" x14ac:dyDescent="0.25"/>
    <row r="121" spans="7:8" ht="12.75" customHeight="1" x14ac:dyDescent="0.25"/>
    <row r="122" spans="7:8" ht="12.75" customHeight="1" x14ac:dyDescent="0.25"/>
    <row r="123" spans="7:8" ht="14.25" customHeight="1" x14ac:dyDescent="0.25"/>
    <row r="124" spans="7:8" ht="15.75" customHeight="1" x14ac:dyDescent="0.25"/>
    <row r="125" spans="7:8" ht="9.75" customHeight="1" x14ac:dyDescent="0.25"/>
    <row r="126" spans="7:8" ht="15.75" customHeight="1" x14ac:dyDescent="0.25"/>
    <row r="127" spans="7:8" ht="12.75" customHeight="1" x14ac:dyDescent="0.25"/>
    <row r="128" spans="7:8" ht="12.75" customHeight="1" x14ac:dyDescent="0.25">
      <c r="G128" s="293"/>
      <c r="H128" s="298"/>
    </row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1" fitToHeight="0" orientation="portrait" horizontalDpi="300" verticalDpi="300" r:id="rId1"/>
  <headerFooter>
    <oddHeader>&amp;LOFFICE OF HEALTH CARE ACCESS&amp;CTWELVE MONTHS ACTUAL FILING&amp;RNORWALK HOSPITAL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activeCell="B21" sqref="B21"/>
    </sheetView>
  </sheetViews>
  <sheetFormatPr defaultColWidth="9.109375" defaultRowHeight="23.1" customHeight="1" x14ac:dyDescent="0.25"/>
  <cols>
    <col min="1" max="1" width="6.6640625" style="56" customWidth="1"/>
    <col min="2" max="2" width="53.44140625" style="56" customWidth="1"/>
    <col min="3" max="4" width="18.88671875" style="56" customWidth="1"/>
    <col min="5" max="6" width="18.88671875" style="225" customWidth="1"/>
    <col min="7" max="7" width="12.6640625" style="56" customWidth="1"/>
    <col min="8" max="16384" width="9.109375" style="56"/>
  </cols>
  <sheetData>
    <row r="1" spans="1:7" ht="23.1" customHeight="1" x14ac:dyDescent="0.3">
      <c r="A1" s="766" t="s">
        <v>500</v>
      </c>
      <c r="B1" s="767"/>
      <c r="C1" s="767"/>
      <c r="D1" s="767"/>
      <c r="E1" s="767"/>
      <c r="F1" s="768"/>
    </row>
    <row r="2" spans="1:7" ht="23.1" customHeight="1" x14ac:dyDescent="0.3">
      <c r="A2" s="766" t="s">
        <v>1</v>
      </c>
      <c r="B2" s="767"/>
      <c r="C2" s="767"/>
      <c r="D2" s="767"/>
      <c r="E2" s="767"/>
      <c r="F2" s="768"/>
    </row>
    <row r="3" spans="1:7" ht="23.1" customHeight="1" x14ac:dyDescent="0.3">
      <c r="A3" s="766" t="s">
        <v>314</v>
      </c>
      <c r="B3" s="767"/>
      <c r="C3" s="767"/>
      <c r="D3" s="767"/>
      <c r="E3" s="767"/>
      <c r="F3" s="768"/>
    </row>
    <row r="4" spans="1:7" ht="23.1" customHeight="1" x14ac:dyDescent="0.3">
      <c r="A4" s="766" t="s">
        <v>502</v>
      </c>
      <c r="B4" s="767"/>
      <c r="C4" s="767"/>
      <c r="D4" s="767"/>
      <c r="E4" s="767"/>
      <c r="F4" s="768"/>
    </row>
    <row r="5" spans="1:7" ht="23.1" customHeight="1" x14ac:dyDescent="0.3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3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3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5">
      <c r="A8" s="70"/>
      <c r="B8" s="70"/>
      <c r="C8" s="70"/>
      <c r="D8" s="70"/>
      <c r="E8" s="222"/>
      <c r="F8" s="222"/>
    </row>
    <row r="9" spans="1:7" ht="15.75" customHeight="1" x14ac:dyDescent="0.3">
      <c r="A9" s="71"/>
      <c r="B9" s="72"/>
      <c r="C9" s="68"/>
      <c r="D9" s="68"/>
      <c r="E9" s="73"/>
      <c r="F9" s="73"/>
    </row>
    <row r="10" spans="1:7" ht="15.75" customHeight="1" x14ac:dyDescent="0.3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5">
      <c r="A11" s="74">
        <v>1</v>
      </c>
      <c r="B11" s="75" t="s">
        <v>71</v>
      </c>
      <c r="C11" s="76">
        <v>2865780000</v>
      </c>
      <c r="D11" s="76">
        <v>3038692000</v>
      </c>
      <c r="E11" s="76">
        <f t="shared" ref="E11:E20" si="0">D11-C11</f>
        <v>172912000</v>
      </c>
      <c r="F11" s="77">
        <f t="shared" ref="F11:F20" si="1">IF(C11=0,0,E11/C11)</f>
        <v>6.0336801848013454E-2</v>
      </c>
    </row>
    <row r="12" spans="1:7" ht="23.1" customHeight="1" x14ac:dyDescent="0.25">
      <c r="A12" s="74">
        <v>2</v>
      </c>
      <c r="B12" s="75" t="s">
        <v>72</v>
      </c>
      <c r="C12" s="76">
        <v>1669573000</v>
      </c>
      <c r="D12" s="76">
        <v>1773802000</v>
      </c>
      <c r="E12" s="76">
        <f t="shared" si="0"/>
        <v>104229000</v>
      </c>
      <c r="F12" s="77">
        <f t="shared" si="1"/>
        <v>6.2428537116975422E-2</v>
      </c>
    </row>
    <row r="13" spans="1:7" ht="23.1" customHeight="1" x14ac:dyDescent="0.25">
      <c r="A13" s="74">
        <v>3</v>
      </c>
      <c r="B13" s="75" t="s">
        <v>73</v>
      </c>
      <c r="C13" s="76">
        <v>33743000</v>
      </c>
      <c r="D13" s="76">
        <v>48617000</v>
      </c>
      <c r="E13" s="76">
        <f t="shared" si="0"/>
        <v>14874000</v>
      </c>
      <c r="F13" s="77">
        <f t="shared" si="1"/>
        <v>0.44080253682245207</v>
      </c>
    </row>
    <row r="14" spans="1:7" ht="23.1" customHeight="1" x14ac:dyDescent="0.25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3">
      <c r="A15" s="71"/>
      <c r="B15" s="78" t="s">
        <v>75</v>
      </c>
      <c r="C15" s="79">
        <f>C11-C12-C13-C14</f>
        <v>1162464000</v>
      </c>
      <c r="D15" s="79">
        <f>D11-D12-D13-D14</f>
        <v>1216273000</v>
      </c>
      <c r="E15" s="79">
        <f t="shared" si="0"/>
        <v>53809000</v>
      </c>
      <c r="F15" s="80">
        <f t="shared" si="1"/>
        <v>4.6288745285875517E-2</v>
      </c>
    </row>
    <row r="16" spans="1:7" ht="23.1" customHeight="1" x14ac:dyDescent="0.25">
      <c r="A16" s="74">
        <v>5</v>
      </c>
      <c r="B16" s="75" t="s">
        <v>76</v>
      </c>
      <c r="C16" s="76">
        <v>38642000</v>
      </c>
      <c r="D16" s="76">
        <v>34822000</v>
      </c>
      <c r="E16" s="76">
        <f t="shared" si="0"/>
        <v>-3820000</v>
      </c>
      <c r="F16" s="77">
        <f t="shared" si="1"/>
        <v>-9.8856166865069095E-2</v>
      </c>
      <c r="G16" s="65"/>
    </row>
    <row r="17" spans="1:7" ht="31.5" customHeight="1" x14ac:dyDescent="0.3">
      <c r="A17" s="71"/>
      <c r="B17" s="81" t="s">
        <v>77</v>
      </c>
      <c r="C17" s="79">
        <f>C15-C16</f>
        <v>1123822000</v>
      </c>
      <c r="D17" s="79">
        <f>D15-D16</f>
        <v>1181451000</v>
      </c>
      <c r="E17" s="79">
        <f t="shared" si="0"/>
        <v>57629000</v>
      </c>
      <c r="F17" s="80">
        <f t="shared" si="1"/>
        <v>5.1279473083815766E-2</v>
      </c>
    </row>
    <row r="18" spans="1:7" ht="23.1" customHeight="1" x14ac:dyDescent="0.25">
      <c r="A18" s="74">
        <v>6</v>
      </c>
      <c r="B18" s="75" t="s">
        <v>78</v>
      </c>
      <c r="C18" s="76">
        <v>25524000</v>
      </c>
      <c r="D18" s="76">
        <v>30367000</v>
      </c>
      <c r="E18" s="76">
        <f t="shared" si="0"/>
        <v>4843000</v>
      </c>
      <c r="F18" s="77">
        <f t="shared" si="1"/>
        <v>0.18974298699263439</v>
      </c>
      <c r="G18" s="65"/>
    </row>
    <row r="19" spans="1:7" ht="33" customHeight="1" x14ac:dyDescent="0.25">
      <c r="A19" s="74">
        <v>7</v>
      </c>
      <c r="B19" s="82" t="s">
        <v>79</v>
      </c>
      <c r="C19" s="76">
        <v>8093000</v>
      </c>
      <c r="D19" s="76">
        <v>8144000</v>
      </c>
      <c r="E19" s="76">
        <f t="shared" si="0"/>
        <v>51000</v>
      </c>
      <c r="F19" s="77">
        <f t="shared" si="1"/>
        <v>6.3017422463857659E-3</v>
      </c>
      <c r="G19" s="65"/>
    </row>
    <row r="20" spans="1:7" ht="23.1" customHeight="1" x14ac:dyDescent="0.3">
      <c r="A20" s="71"/>
      <c r="B20" s="78" t="s">
        <v>80</v>
      </c>
      <c r="C20" s="79">
        <f>SUM(C17:C19)</f>
        <v>1157439000</v>
      </c>
      <c r="D20" s="79">
        <f>SUM(D17:D19)</f>
        <v>1219962000</v>
      </c>
      <c r="E20" s="79">
        <f t="shared" si="0"/>
        <v>62523000</v>
      </c>
      <c r="F20" s="80">
        <f t="shared" si="1"/>
        <v>5.401839751382146E-2</v>
      </c>
    </row>
    <row r="21" spans="1:7" ht="15.75" customHeight="1" x14ac:dyDescent="0.3">
      <c r="A21" s="74"/>
      <c r="B21" s="78"/>
      <c r="C21" s="76"/>
      <c r="D21" s="76"/>
      <c r="E21" s="76"/>
      <c r="F21" s="77"/>
    </row>
    <row r="22" spans="1:7" ht="23.1" customHeight="1" x14ac:dyDescent="0.3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5">
      <c r="A23" s="74">
        <v>1</v>
      </c>
      <c r="B23" s="75" t="s">
        <v>82</v>
      </c>
      <c r="C23" s="76">
        <v>532907000</v>
      </c>
      <c r="D23" s="76">
        <v>554805000</v>
      </c>
      <c r="E23" s="76">
        <f t="shared" ref="E23:E32" si="2">D23-C23</f>
        <v>21898000</v>
      </c>
      <c r="F23" s="77">
        <f t="shared" ref="F23:F32" si="3">IF(C23=0,0,E23/C23)</f>
        <v>4.1091597595828165E-2</v>
      </c>
    </row>
    <row r="24" spans="1:7" ht="23.1" customHeight="1" x14ac:dyDescent="0.25">
      <c r="A24" s="74">
        <v>2</v>
      </c>
      <c r="B24" s="75" t="s">
        <v>83</v>
      </c>
      <c r="C24" s="76">
        <v>127826000</v>
      </c>
      <c r="D24" s="76">
        <v>130687000</v>
      </c>
      <c r="E24" s="76">
        <f t="shared" si="2"/>
        <v>2861000</v>
      </c>
      <c r="F24" s="77">
        <f t="shared" si="3"/>
        <v>2.2381988014957832E-2</v>
      </c>
    </row>
    <row r="25" spans="1:7" ht="23.1" customHeight="1" x14ac:dyDescent="0.25">
      <c r="A25" s="74">
        <v>3</v>
      </c>
      <c r="B25" s="75" t="s">
        <v>84</v>
      </c>
      <c r="C25" s="76">
        <v>24022000</v>
      </c>
      <c r="D25" s="76">
        <v>19696000</v>
      </c>
      <c r="E25" s="76">
        <f t="shared" si="2"/>
        <v>-4326000</v>
      </c>
      <c r="F25" s="77">
        <f t="shared" si="3"/>
        <v>-0.18008492215469155</v>
      </c>
      <c r="G25" s="65"/>
    </row>
    <row r="26" spans="1:7" ht="23.1" customHeight="1" x14ac:dyDescent="0.25">
      <c r="A26" s="74">
        <v>4</v>
      </c>
      <c r="B26" s="75" t="s">
        <v>85</v>
      </c>
      <c r="C26" s="76">
        <v>152939000</v>
      </c>
      <c r="D26" s="76">
        <v>172329000</v>
      </c>
      <c r="E26" s="76">
        <f t="shared" si="2"/>
        <v>19390000</v>
      </c>
      <c r="F26" s="77">
        <f t="shared" si="3"/>
        <v>0.1267825734443144</v>
      </c>
    </row>
    <row r="27" spans="1:7" ht="23.1" customHeight="1" x14ac:dyDescent="0.25">
      <c r="A27" s="74">
        <v>5</v>
      </c>
      <c r="B27" s="75" t="s">
        <v>86</v>
      </c>
      <c r="C27" s="76">
        <v>68744000</v>
      </c>
      <c r="D27" s="76">
        <v>74054000</v>
      </c>
      <c r="E27" s="76">
        <f t="shared" si="2"/>
        <v>5310000</v>
      </c>
      <c r="F27" s="77">
        <f t="shared" si="3"/>
        <v>7.7243104852787153E-2</v>
      </c>
    </row>
    <row r="28" spans="1:7" ht="23.1" customHeight="1" x14ac:dyDescent="0.25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5">
      <c r="A29" s="74">
        <v>7</v>
      </c>
      <c r="B29" s="75" t="s">
        <v>88</v>
      </c>
      <c r="C29" s="76">
        <v>9510000</v>
      </c>
      <c r="D29" s="76">
        <v>9442000</v>
      </c>
      <c r="E29" s="76">
        <f t="shared" si="2"/>
        <v>-68000</v>
      </c>
      <c r="F29" s="77">
        <f t="shared" si="3"/>
        <v>-7.150368033648791E-3</v>
      </c>
    </row>
    <row r="30" spans="1:7" ht="23.1" customHeight="1" x14ac:dyDescent="0.25">
      <c r="A30" s="74">
        <v>8</v>
      </c>
      <c r="B30" s="75" t="s">
        <v>89</v>
      </c>
      <c r="C30" s="76">
        <v>9517000</v>
      </c>
      <c r="D30" s="76">
        <v>7102000</v>
      </c>
      <c r="E30" s="76">
        <f t="shared" si="2"/>
        <v>-2415000</v>
      </c>
      <c r="F30" s="77">
        <f t="shared" si="3"/>
        <v>-0.25375643585163393</v>
      </c>
    </row>
    <row r="31" spans="1:7" ht="23.1" customHeight="1" x14ac:dyDescent="0.25">
      <c r="A31" s="74">
        <v>9</v>
      </c>
      <c r="B31" s="75" t="s">
        <v>90</v>
      </c>
      <c r="C31" s="76">
        <v>219182000</v>
      </c>
      <c r="D31" s="76">
        <v>243204000</v>
      </c>
      <c r="E31" s="76">
        <f t="shared" si="2"/>
        <v>24022000</v>
      </c>
      <c r="F31" s="77">
        <f t="shared" si="3"/>
        <v>0.10959841592831528</v>
      </c>
    </row>
    <row r="32" spans="1:7" ht="23.1" customHeight="1" x14ac:dyDescent="0.3">
      <c r="A32" s="71"/>
      <c r="B32" s="78" t="s">
        <v>91</v>
      </c>
      <c r="C32" s="79">
        <f>SUM(C23:C31)</f>
        <v>1144647000</v>
      </c>
      <c r="D32" s="79">
        <f>SUM(D23:D31)</f>
        <v>1211319000</v>
      </c>
      <c r="E32" s="79">
        <f t="shared" si="2"/>
        <v>66672000</v>
      </c>
      <c r="F32" s="80">
        <f t="shared" si="3"/>
        <v>5.8246778264390682E-2</v>
      </c>
    </row>
    <row r="33" spans="1:6" ht="15" customHeight="1" x14ac:dyDescent="0.25">
      <c r="A33" s="74"/>
      <c r="B33" s="67"/>
      <c r="C33" s="76"/>
      <c r="D33" s="76"/>
      <c r="E33" s="76"/>
      <c r="F33" s="77"/>
    </row>
    <row r="34" spans="1:6" ht="23.1" customHeight="1" x14ac:dyDescent="0.3">
      <c r="A34" s="83"/>
      <c r="B34" s="78" t="s">
        <v>92</v>
      </c>
      <c r="C34" s="79">
        <f>+C20-C32</f>
        <v>12792000</v>
      </c>
      <c r="D34" s="79">
        <f>+D20-D32</f>
        <v>8643000</v>
      </c>
      <c r="E34" s="79">
        <f>D34-C34</f>
        <v>-4149000</v>
      </c>
      <c r="F34" s="80">
        <f>IF(C34=0,0,E34/C34)</f>
        <v>-0.32434333958724204</v>
      </c>
    </row>
    <row r="35" spans="1:6" ht="15.75" customHeight="1" x14ac:dyDescent="0.3">
      <c r="A35" s="84"/>
      <c r="B35" s="78"/>
      <c r="C35" s="76"/>
      <c r="D35" s="76"/>
      <c r="E35" s="76"/>
      <c r="F35" s="77"/>
    </row>
    <row r="36" spans="1:6" ht="15.75" customHeight="1" x14ac:dyDescent="0.3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5">
      <c r="A37" s="85">
        <v>1</v>
      </c>
      <c r="B37" s="75" t="s">
        <v>94</v>
      </c>
      <c r="C37" s="76">
        <v>9298000</v>
      </c>
      <c r="D37" s="76">
        <v>11589000</v>
      </c>
      <c r="E37" s="76">
        <f>D37-C37</f>
        <v>2291000</v>
      </c>
      <c r="F37" s="77">
        <f>IF(C37=0,0,E37/C37)</f>
        <v>0.24639707463970748</v>
      </c>
    </row>
    <row r="38" spans="1:6" ht="23.1" customHeight="1" x14ac:dyDescent="0.25">
      <c r="A38" s="85">
        <v>2</v>
      </c>
      <c r="B38" s="75" t="s">
        <v>95</v>
      </c>
      <c r="C38" s="76">
        <v>33105000</v>
      </c>
      <c r="D38" s="76">
        <v>26909000</v>
      </c>
      <c r="E38" s="76">
        <f>D38-C38</f>
        <v>-6196000</v>
      </c>
      <c r="F38" s="77">
        <f>IF(C38=0,0,E38/C38)</f>
        <v>-0.18716206011176559</v>
      </c>
    </row>
    <row r="39" spans="1:6" ht="23.1" customHeight="1" x14ac:dyDescent="0.25">
      <c r="A39" s="85">
        <v>3</v>
      </c>
      <c r="B39" s="75" t="s">
        <v>96</v>
      </c>
      <c r="C39" s="76">
        <v>-21845000</v>
      </c>
      <c r="D39" s="76">
        <v>15987000</v>
      </c>
      <c r="E39" s="76">
        <f>D39-C39</f>
        <v>37832000</v>
      </c>
      <c r="F39" s="77">
        <f>IF(C39=0,0,E39/C39)</f>
        <v>-1.7318379491874571</v>
      </c>
    </row>
    <row r="40" spans="1:6" ht="23.1" customHeight="1" x14ac:dyDescent="0.3">
      <c r="A40" s="83"/>
      <c r="B40" s="78" t="s">
        <v>97</v>
      </c>
      <c r="C40" s="79">
        <f>SUM(C37:C39)</f>
        <v>20558000</v>
      </c>
      <c r="D40" s="79">
        <f>SUM(D37:D39)</f>
        <v>54485000</v>
      </c>
      <c r="E40" s="79">
        <f>D40-C40</f>
        <v>33927000</v>
      </c>
      <c r="F40" s="80">
        <f>IF(C40=0,0,E40/C40)</f>
        <v>1.6503064500437785</v>
      </c>
    </row>
    <row r="41" spans="1:6" ht="15.75" customHeight="1" x14ac:dyDescent="0.3">
      <c r="A41" s="85"/>
      <c r="B41" s="78"/>
      <c r="C41" s="86"/>
      <c r="D41" s="86"/>
      <c r="E41" s="86"/>
      <c r="F41" s="80"/>
    </row>
    <row r="42" spans="1:6" ht="33" customHeight="1" x14ac:dyDescent="0.3">
      <c r="A42" s="83"/>
      <c r="B42" s="81" t="s">
        <v>503</v>
      </c>
      <c r="C42" s="79">
        <f>C34+C40</f>
        <v>33350000</v>
      </c>
      <c r="D42" s="79">
        <f>D34+D40</f>
        <v>63128000</v>
      </c>
      <c r="E42" s="79">
        <f>D42-C42</f>
        <v>29778000</v>
      </c>
      <c r="F42" s="80">
        <f>IF(C42=0,0,E42/C42)</f>
        <v>0.89289355322338826</v>
      </c>
    </row>
    <row r="43" spans="1:6" ht="15.75" customHeight="1" x14ac:dyDescent="0.3">
      <c r="A43" s="85"/>
      <c r="B43" s="78"/>
      <c r="C43" s="79"/>
      <c r="D43" s="79"/>
      <c r="E43" s="88"/>
      <c r="F43" s="80"/>
    </row>
    <row r="44" spans="1:6" ht="23.1" customHeight="1" x14ac:dyDescent="0.3">
      <c r="A44" s="83"/>
      <c r="B44" s="81" t="s">
        <v>99</v>
      </c>
      <c r="C44" s="86"/>
      <c r="D44" s="86"/>
      <c r="E44" s="86"/>
      <c r="F44" s="80"/>
    </row>
    <row r="45" spans="1:6" ht="23.1" customHeight="1" x14ac:dyDescent="0.25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5">
      <c r="A46" s="85"/>
      <c r="B46" s="75" t="s">
        <v>101</v>
      </c>
      <c r="C46" s="76">
        <v>-1968000</v>
      </c>
      <c r="D46" s="76">
        <v>-2019000</v>
      </c>
      <c r="E46" s="76">
        <f>D46-C46</f>
        <v>-51000</v>
      </c>
      <c r="F46" s="77">
        <f>IF(C46=0,0,E46/C46)</f>
        <v>2.5914634146341462E-2</v>
      </c>
    </row>
    <row r="47" spans="1:6" ht="23.1" customHeight="1" x14ac:dyDescent="0.3">
      <c r="A47" s="83"/>
      <c r="B47" s="78" t="s">
        <v>102</v>
      </c>
      <c r="C47" s="79">
        <f>SUM(C45:C46)</f>
        <v>-1968000</v>
      </c>
      <c r="D47" s="79">
        <f>SUM(D45:D46)</f>
        <v>-2019000</v>
      </c>
      <c r="E47" s="79">
        <f>D47-C47</f>
        <v>-51000</v>
      </c>
      <c r="F47" s="80">
        <f>IF(C47=0,0,E47/C47)</f>
        <v>2.5914634146341462E-2</v>
      </c>
    </row>
    <row r="48" spans="1:6" ht="15.75" customHeight="1" x14ac:dyDescent="0.3">
      <c r="A48" s="85"/>
      <c r="B48" s="78"/>
      <c r="C48" s="79"/>
      <c r="D48" s="79"/>
      <c r="E48" s="88"/>
      <c r="F48" s="80"/>
    </row>
    <row r="49" spans="1:6" ht="23.1" customHeight="1" x14ac:dyDescent="0.3">
      <c r="A49" s="83"/>
      <c r="B49" s="81" t="s">
        <v>103</v>
      </c>
      <c r="C49" s="79">
        <f>C42+C47</f>
        <v>31382000</v>
      </c>
      <c r="D49" s="79">
        <f>D42+D47</f>
        <v>61109000</v>
      </c>
      <c r="E49" s="79">
        <f>D49-C49</f>
        <v>29727000</v>
      </c>
      <c r="F49" s="80">
        <f>IF(C49=0,0,E49/C49)</f>
        <v>0.94726276209291949</v>
      </c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67" orientation="portrait" horizontalDpi="300" verticalDpi="300" r:id="rId1"/>
  <headerFooter>
    <oddHeader>&amp;LOFFICE OF HEALTH CARE ACCESS&amp;CTWELVE MONTHS ACTUAL FILING&amp;RNORWALK HOSPITAL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Veyberman, Alla</cp:lastModifiedBy>
  <cp:lastPrinted>2017-09-21T17:43:54Z</cp:lastPrinted>
  <dcterms:created xsi:type="dcterms:W3CDTF">2017-09-14T19:32:13Z</dcterms:created>
  <dcterms:modified xsi:type="dcterms:W3CDTF">2017-09-21T17:44:21Z</dcterms:modified>
</cp:coreProperties>
</file>