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1570" windowHeight="95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Report485!$A$11:$F$32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E91" i="22"/>
  <c r="D91" i="22"/>
  <c r="D93" i="22"/>
  <c r="C91" i="22"/>
  <c r="C93" i="22" s="1"/>
  <c r="E87" i="22"/>
  <c r="D87" i="22"/>
  <c r="C87" i="22"/>
  <c r="E86" i="22"/>
  <c r="D86" i="22"/>
  <c r="C86" i="22"/>
  <c r="C88" i="22" s="1"/>
  <c r="E83" i="22"/>
  <c r="D83" i="22"/>
  <c r="C83" i="22"/>
  <c r="C101" i="22" s="1"/>
  <c r="E76" i="22"/>
  <c r="D76" i="22"/>
  <c r="C76" i="22"/>
  <c r="E75" i="22"/>
  <c r="E77" i="22" s="1"/>
  <c r="E109" i="22" s="1"/>
  <c r="D75" i="22"/>
  <c r="D77" i="22"/>
  <c r="D108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D12" i="22"/>
  <c r="D34" i="22" s="1"/>
  <c r="C12" i="22"/>
  <c r="C33" i="22"/>
  <c r="D21" i="21"/>
  <c r="E21" i="21" s="1"/>
  <c r="C21" i="21"/>
  <c r="D19" i="21"/>
  <c r="E19" i="21" s="1"/>
  <c r="F19" i="21" s="1"/>
  <c r="C19" i="21"/>
  <c r="E17" i="21"/>
  <c r="F17" i="21" s="1"/>
  <c r="E15" i="21"/>
  <c r="F15" i="21" s="1"/>
  <c r="D45" i="20"/>
  <c r="C45" i="20"/>
  <c r="D44" i="20"/>
  <c r="E44" i="20"/>
  <c r="C44" i="20"/>
  <c r="D43" i="20"/>
  <c r="C43" i="20"/>
  <c r="E43" i="20" s="1"/>
  <c r="D36" i="20"/>
  <c r="D40" i="20"/>
  <c r="E40" i="20" s="1"/>
  <c r="F40" i="20" s="1"/>
  <c r="C36" i="20"/>
  <c r="C40" i="20" s="1"/>
  <c r="E35" i="20"/>
  <c r="F35" i="20" s="1"/>
  <c r="E34" i="20"/>
  <c r="F33" i="20"/>
  <c r="E33" i="20"/>
  <c r="E30" i="20"/>
  <c r="F30" i="20" s="1"/>
  <c r="E29" i="20"/>
  <c r="F29" i="20" s="1"/>
  <c r="F28" i="20"/>
  <c r="E28" i="20"/>
  <c r="E27" i="20"/>
  <c r="F27" i="20" s="1"/>
  <c r="D25" i="20"/>
  <c r="D39" i="20" s="1"/>
  <c r="C25" i="20"/>
  <c r="E24" i="20"/>
  <c r="F24" i="20" s="1"/>
  <c r="E23" i="20"/>
  <c r="F23" i="20" s="1"/>
  <c r="E22" i="20"/>
  <c r="D19" i="20"/>
  <c r="D20" i="20" s="1"/>
  <c r="C19" i="20"/>
  <c r="C20" i="20" s="1"/>
  <c r="E18" i="20"/>
  <c r="F18" i="20" s="1"/>
  <c r="D16" i="20"/>
  <c r="E16" i="20" s="1"/>
  <c r="C16" i="20"/>
  <c r="E15" i="20"/>
  <c r="F15" i="20" s="1"/>
  <c r="E13" i="20"/>
  <c r="F13" i="20" s="1"/>
  <c r="F12" i="20"/>
  <c r="E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49" i="19" s="1"/>
  <c r="C36" i="19"/>
  <c r="C32" i="19"/>
  <c r="C33" i="19" s="1"/>
  <c r="C21" i="19"/>
  <c r="C37" i="19" s="1"/>
  <c r="E328" i="18"/>
  <c r="E325" i="18"/>
  <c r="D324" i="18"/>
  <c r="C324" i="18"/>
  <c r="C326" i="18" s="1"/>
  <c r="C330" i="18" s="1"/>
  <c r="E318" i="18"/>
  <c r="E315" i="18"/>
  <c r="D314" i="18"/>
  <c r="D316" i="18"/>
  <c r="C314" i="18"/>
  <c r="C316" i="18" s="1"/>
  <c r="C320" i="18" s="1"/>
  <c r="E308" i="18"/>
  <c r="E305" i="18"/>
  <c r="D301" i="18"/>
  <c r="D303" i="18" s="1"/>
  <c r="C301" i="18"/>
  <c r="D293" i="18"/>
  <c r="E293" i="18" s="1"/>
  <c r="C293" i="18"/>
  <c r="D292" i="18"/>
  <c r="E292" i="18" s="1"/>
  <c r="C292" i="18"/>
  <c r="D291" i="18"/>
  <c r="C291" i="18"/>
  <c r="D290" i="18"/>
  <c r="E290" i="18" s="1"/>
  <c r="C290" i="18"/>
  <c r="D288" i="18"/>
  <c r="C288" i="18"/>
  <c r="D287" i="18"/>
  <c r="E287" i="18" s="1"/>
  <c r="C287" i="18"/>
  <c r="D282" i="18"/>
  <c r="E282" i="18" s="1"/>
  <c r="C282" i="18"/>
  <c r="D281" i="18"/>
  <c r="C281" i="18"/>
  <c r="E281" i="18" s="1"/>
  <c r="D280" i="18"/>
  <c r="C280" i="18"/>
  <c r="D279" i="18"/>
  <c r="C279" i="18"/>
  <c r="D278" i="18"/>
  <c r="C278" i="18"/>
  <c r="D277" i="18"/>
  <c r="C277" i="18"/>
  <c r="D276" i="18"/>
  <c r="C276" i="18"/>
  <c r="E270" i="18"/>
  <c r="D265" i="18"/>
  <c r="D302" i="18" s="1"/>
  <c r="C265" i="18"/>
  <c r="E265" i="18" s="1"/>
  <c r="D262" i="18"/>
  <c r="C262" i="18"/>
  <c r="D251" i="18"/>
  <c r="C251" i="18"/>
  <c r="D233" i="18"/>
  <c r="C233" i="18"/>
  <c r="D232" i="18"/>
  <c r="C232" i="18"/>
  <c r="D231" i="18"/>
  <c r="E231" i="18" s="1"/>
  <c r="C231" i="18"/>
  <c r="D230" i="18"/>
  <c r="E230" i="18"/>
  <c r="C230" i="18"/>
  <c r="D228" i="18"/>
  <c r="C228" i="18"/>
  <c r="D227" i="18"/>
  <c r="C227" i="18"/>
  <c r="D221" i="18"/>
  <c r="C221" i="18"/>
  <c r="C245" i="18" s="1"/>
  <c r="D220" i="18"/>
  <c r="C220" i="18"/>
  <c r="C244" i="18" s="1"/>
  <c r="D219" i="18"/>
  <c r="C219" i="18"/>
  <c r="C222" i="18" s="1"/>
  <c r="C223" i="18" s="1"/>
  <c r="D218" i="18"/>
  <c r="D242" i="18" s="1"/>
  <c r="C218" i="18"/>
  <c r="C242" i="18" s="1"/>
  <c r="D216" i="18"/>
  <c r="D240" i="18" s="1"/>
  <c r="C216" i="18"/>
  <c r="C240" i="18"/>
  <c r="D215" i="18"/>
  <c r="D239" i="18" s="1"/>
  <c r="C215" i="18"/>
  <c r="C239" i="18"/>
  <c r="E209" i="18"/>
  <c r="E208" i="18"/>
  <c r="E207" i="18"/>
  <c r="E206" i="18"/>
  <c r="D205" i="18"/>
  <c r="D229" i="18" s="1"/>
  <c r="C205" i="18"/>
  <c r="C210" i="18" s="1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C188" i="18"/>
  <c r="E188" i="18" s="1"/>
  <c r="E186" i="18"/>
  <c r="E185" i="18"/>
  <c r="D179" i="18"/>
  <c r="C179" i="18"/>
  <c r="E179" i="18"/>
  <c r="D178" i="18"/>
  <c r="C178" i="18"/>
  <c r="D177" i="18"/>
  <c r="E177" i="18" s="1"/>
  <c r="C177" i="18"/>
  <c r="D176" i="18"/>
  <c r="C176" i="18"/>
  <c r="D174" i="18"/>
  <c r="C174" i="18"/>
  <c r="D173" i="18"/>
  <c r="C173" i="18"/>
  <c r="E173" i="18"/>
  <c r="D167" i="18"/>
  <c r="C167" i="18"/>
  <c r="E167" i="18" s="1"/>
  <c r="D166" i="18"/>
  <c r="C166" i="18"/>
  <c r="E166" i="18"/>
  <c r="D165" i="18"/>
  <c r="C165" i="18"/>
  <c r="D164" i="18"/>
  <c r="C164" i="18"/>
  <c r="D162" i="18"/>
  <c r="C162" i="18"/>
  <c r="E162" i="18"/>
  <c r="D161" i="18"/>
  <c r="C161" i="18"/>
  <c r="E161" i="18" s="1"/>
  <c r="D156" i="18"/>
  <c r="D157" i="18" s="1"/>
  <c r="E155" i="18"/>
  <c r="E154" i="18"/>
  <c r="E153" i="18"/>
  <c r="E152" i="18"/>
  <c r="D151" i="18"/>
  <c r="C151" i="18"/>
  <c r="E151" i="18"/>
  <c r="E150" i="18"/>
  <c r="E149" i="18"/>
  <c r="E143" i="18"/>
  <c r="E142" i="18"/>
  <c r="E141" i="18"/>
  <c r="E140" i="18"/>
  <c r="D139" i="18"/>
  <c r="D163" i="18" s="1"/>
  <c r="C139" i="18"/>
  <c r="C163" i="18" s="1"/>
  <c r="E138" i="18"/>
  <c r="E137" i="18"/>
  <c r="D75" i="18"/>
  <c r="E75" i="18" s="1"/>
  <c r="C75" i="18"/>
  <c r="D74" i="18"/>
  <c r="C74" i="18"/>
  <c r="E74" i="18" s="1"/>
  <c r="D73" i="18"/>
  <c r="C73" i="18"/>
  <c r="D72" i="18"/>
  <c r="E72" i="18" s="1"/>
  <c r="C72" i="18"/>
  <c r="D70" i="18"/>
  <c r="C70" i="18"/>
  <c r="D69" i="18"/>
  <c r="C69" i="18"/>
  <c r="E64" i="18"/>
  <c r="E63" i="18"/>
  <c r="E62" i="18"/>
  <c r="E61" i="18"/>
  <c r="D60" i="18"/>
  <c r="C60" i="18"/>
  <c r="C71" i="18" s="1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E41" i="18"/>
  <c r="D40" i="18"/>
  <c r="E40" i="18"/>
  <c r="C40" i="18"/>
  <c r="D39" i="18"/>
  <c r="E39" i="18" s="1"/>
  <c r="C39" i="18"/>
  <c r="D38" i="18"/>
  <c r="E38" i="18"/>
  <c r="C38" i="18"/>
  <c r="D37" i="18"/>
  <c r="C37" i="18"/>
  <c r="C43" i="18" s="1"/>
  <c r="C44" i="18" s="1"/>
  <c r="D36" i="18"/>
  <c r="C36" i="18"/>
  <c r="D32" i="18"/>
  <c r="C32" i="18"/>
  <c r="C33" i="18" s="1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F331" i="17"/>
  <c r="E331" i="17"/>
  <c r="E330" i="17"/>
  <c r="F330" i="17" s="1"/>
  <c r="E329" i="17"/>
  <c r="F329" i="17" s="1"/>
  <c r="F316" i="17"/>
  <c r="E316" i="17"/>
  <c r="D311" i="17"/>
  <c r="C311" i="17"/>
  <c r="F311" i="17" s="1"/>
  <c r="E308" i="17"/>
  <c r="F308" i="17" s="1"/>
  <c r="D307" i="17"/>
  <c r="C307" i="17"/>
  <c r="D299" i="17"/>
  <c r="E299" i="17" s="1"/>
  <c r="F299" i="17" s="1"/>
  <c r="C299" i="17"/>
  <c r="D298" i="17"/>
  <c r="C298" i="17"/>
  <c r="D297" i="17"/>
  <c r="C297" i="17"/>
  <c r="D296" i="17"/>
  <c r="C296" i="17"/>
  <c r="D295" i="17"/>
  <c r="E295" i="17" s="1"/>
  <c r="F295" i="17" s="1"/>
  <c r="C295" i="17"/>
  <c r="D294" i="17"/>
  <c r="C294" i="17"/>
  <c r="D250" i="17"/>
  <c r="D306" i="17" s="1"/>
  <c r="C250" i="17"/>
  <c r="C306" i="17" s="1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C237" i="17"/>
  <c r="C239" i="17" s="1"/>
  <c r="E234" i="17"/>
  <c r="F234" i="17" s="1"/>
  <c r="E233" i="17"/>
  <c r="F233" i="17" s="1"/>
  <c r="D230" i="17"/>
  <c r="C230" i="17"/>
  <c r="D229" i="17"/>
  <c r="E229" i="17" s="1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D203" i="17"/>
  <c r="F203" i="17"/>
  <c r="C203" i="17"/>
  <c r="E203" i="17" s="1"/>
  <c r="C283" i="17"/>
  <c r="D198" i="17"/>
  <c r="D290" i="17" s="1"/>
  <c r="E290" i="17" s="1"/>
  <c r="F290" i="17" s="1"/>
  <c r="E198" i="17"/>
  <c r="C198" i="17"/>
  <c r="C290" i="17"/>
  <c r="D191" i="17"/>
  <c r="C191" i="17"/>
  <c r="D189" i="17"/>
  <c r="C189" i="17"/>
  <c r="C278" i="17"/>
  <c r="D188" i="17"/>
  <c r="C188" i="17"/>
  <c r="D180" i="17"/>
  <c r="C180" i="17"/>
  <c r="F180" i="17" s="1"/>
  <c r="D179" i="17"/>
  <c r="C179" i="17"/>
  <c r="D171" i="17"/>
  <c r="C171" i="17"/>
  <c r="F171" i="17" s="1"/>
  <c r="C172" i="17"/>
  <c r="C173" i="17"/>
  <c r="C174" i="17" s="1"/>
  <c r="F173" i="17"/>
  <c r="F170" i="17"/>
  <c r="D170" i="17"/>
  <c r="E170" i="17" s="1"/>
  <c r="C170" i="17"/>
  <c r="F169" i="17"/>
  <c r="E169" i="17"/>
  <c r="F168" i="17"/>
  <c r="E168" i="17"/>
  <c r="F165" i="17"/>
  <c r="D165" i="17"/>
  <c r="E165" i="17" s="1"/>
  <c r="C165" i="17"/>
  <c r="D164" i="17"/>
  <c r="E164" i="17" s="1"/>
  <c r="C164" i="17"/>
  <c r="F164" i="17" s="1"/>
  <c r="F163" i="17"/>
  <c r="E163" i="17"/>
  <c r="D158" i="17"/>
  <c r="D159" i="17" s="1"/>
  <c r="C158" i="17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D144" i="17"/>
  <c r="D146" i="17" s="1"/>
  <c r="C144" i="17"/>
  <c r="D136" i="17"/>
  <c r="D137" i="17"/>
  <c r="C136" i="17"/>
  <c r="C137" i="17"/>
  <c r="C138" i="17" s="1"/>
  <c r="D135" i="17"/>
  <c r="E135" i="17" s="1"/>
  <c r="C135" i="17"/>
  <c r="E134" i="17"/>
  <c r="F134" i="17" s="1"/>
  <c r="E133" i="17"/>
  <c r="F133" i="17" s="1"/>
  <c r="D130" i="17"/>
  <c r="E130" i="17" s="1"/>
  <c r="C130" i="17"/>
  <c r="D129" i="17"/>
  <c r="F129" i="17"/>
  <c r="C129" i="17"/>
  <c r="E129" i="17" s="1"/>
  <c r="E128" i="17"/>
  <c r="F128" i="17" s="1"/>
  <c r="D123" i="17"/>
  <c r="C123" i="17"/>
  <c r="E122" i="17"/>
  <c r="F122" i="17"/>
  <c r="E121" i="17"/>
  <c r="F121" i="17"/>
  <c r="D120" i="17"/>
  <c r="E120" i="17" s="1"/>
  <c r="C120" i="17"/>
  <c r="E119" i="17"/>
  <c r="F119" i="17" s="1"/>
  <c r="E118" i="17"/>
  <c r="F118" i="17"/>
  <c r="D110" i="17"/>
  <c r="C110" i="17"/>
  <c r="D109" i="17"/>
  <c r="C109" i="17"/>
  <c r="D101" i="17"/>
  <c r="C101" i="17"/>
  <c r="C102" i="17" s="1"/>
  <c r="D100" i="17"/>
  <c r="C100" i="17"/>
  <c r="E100" i="17" s="1"/>
  <c r="E99" i="17"/>
  <c r="F99" i="17" s="1"/>
  <c r="E98" i="17"/>
  <c r="F98" i="17"/>
  <c r="D95" i="17"/>
  <c r="C95" i="17"/>
  <c r="D94" i="17"/>
  <c r="E94" i="17" s="1"/>
  <c r="C94" i="17"/>
  <c r="E93" i="17"/>
  <c r="F93" i="17"/>
  <c r="D88" i="17"/>
  <c r="D89" i="17"/>
  <c r="E89" i="17" s="1"/>
  <c r="F89" i="17" s="1"/>
  <c r="C88" i="17"/>
  <c r="C89" i="17" s="1"/>
  <c r="E87" i="17"/>
  <c r="F87" i="17" s="1"/>
  <c r="E86" i="17"/>
  <c r="F86" i="17" s="1"/>
  <c r="D85" i="17"/>
  <c r="E85" i="17" s="1"/>
  <c r="F85" i="17"/>
  <c r="C85" i="17"/>
  <c r="E84" i="17"/>
  <c r="F84" i="17" s="1"/>
  <c r="E83" i="17"/>
  <c r="F83" i="17" s="1"/>
  <c r="D76" i="17"/>
  <c r="D77" i="17" s="1"/>
  <c r="C76" i="17"/>
  <c r="C77" i="17" s="1"/>
  <c r="E74" i="17"/>
  <c r="F74" i="17"/>
  <c r="E73" i="17"/>
  <c r="F73" i="17"/>
  <c r="D67" i="17"/>
  <c r="C67" i="17"/>
  <c r="C68" i="17" s="1"/>
  <c r="D66" i="17"/>
  <c r="C66" i="17"/>
  <c r="D59" i="17"/>
  <c r="D60" i="17"/>
  <c r="E60" i="17" s="1"/>
  <c r="F60" i="17" s="1"/>
  <c r="C59" i="17"/>
  <c r="C60" i="17"/>
  <c r="D58" i="17"/>
  <c r="E58" i="17" s="1"/>
  <c r="F58" i="17" s="1"/>
  <c r="C58" i="17"/>
  <c r="E57" i="17"/>
  <c r="F57" i="17" s="1"/>
  <c r="E56" i="17"/>
  <c r="F56" i="17"/>
  <c r="D53" i="17"/>
  <c r="C53" i="17"/>
  <c r="D52" i="17"/>
  <c r="C52" i="17"/>
  <c r="E51" i="17"/>
  <c r="F51" i="17" s="1"/>
  <c r="D47" i="17"/>
  <c r="D48" i="17"/>
  <c r="C47" i="17"/>
  <c r="E47" i="17" s="1"/>
  <c r="F47" i="17" s="1"/>
  <c r="C48" i="17"/>
  <c r="E46" i="17"/>
  <c r="F46" i="17" s="1"/>
  <c r="E45" i="17"/>
  <c r="F45" i="17" s="1"/>
  <c r="D44" i="17"/>
  <c r="C44" i="17"/>
  <c r="E43" i="17"/>
  <c r="F43" i="17" s="1"/>
  <c r="E42" i="17"/>
  <c r="F42" i="17" s="1"/>
  <c r="D36" i="17"/>
  <c r="C36" i="17"/>
  <c r="D35" i="17"/>
  <c r="C35" i="17"/>
  <c r="D30" i="17"/>
  <c r="C30" i="17"/>
  <c r="C31" i="17" s="1"/>
  <c r="C32" i="17" s="1"/>
  <c r="C175" i="17" s="1"/>
  <c r="D29" i="17"/>
  <c r="E29" i="17" s="1"/>
  <c r="C29" i="17"/>
  <c r="E28" i="17"/>
  <c r="F28" i="17" s="1"/>
  <c r="E27" i="17"/>
  <c r="F27" i="17" s="1"/>
  <c r="D24" i="17"/>
  <c r="C24" i="17"/>
  <c r="E24" i="17" s="1"/>
  <c r="F24" i="17" s="1"/>
  <c r="D23" i="17"/>
  <c r="E23" i="17" s="1"/>
  <c r="F23" i="17" s="1"/>
  <c r="C23" i="17"/>
  <c r="E22" i="17"/>
  <c r="F22" i="17" s="1"/>
  <c r="D20" i="17"/>
  <c r="E20" i="17" s="1"/>
  <c r="F20" i="17" s="1"/>
  <c r="C20" i="17"/>
  <c r="E19" i="17"/>
  <c r="F19" i="17"/>
  <c r="E18" i="17"/>
  <c r="F18" i="17" s="1"/>
  <c r="D17" i="17"/>
  <c r="E17" i="17" s="1"/>
  <c r="F17" i="17" s="1"/>
  <c r="C17" i="17"/>
  <c r="E16" i="17"/>
  <c r="F16" i="17" s="1"/>
  <c r="E15" i="17"/>
  <c r="F15" i="17"/>
  <c r="D25" i="16"/>
  <c r="C25" i="16"/>
  <c r="E24" i="16"/>
  <c r="F24" i="16" s="1"/>
  <c r="E23" i="16"/>
  <c r="F23" i="16" s="1"/>
  <c r="E22" i="16"/>
  <c r="F22" i="16" s="1"/>
  <c r="D19" i="16"/>
  <c r="E19" i="16" s="1"/>
  <c r="C19" i="16"/>
  <c r="E18" i="16"/>
  <c r="F18" i="16" s="1"/>
  <c r="F17" i="16"/>
  <c r="E17" i="16"/>
  <c r="D14" i="16"/>
  <c r="E14" i="16" s="1"/>
  <c r="F14" i="16" s="1"/>
  <c r="C14" i="16"/>
  <c r="E13" i="16"/>
  <c r="F13" i="16" s="1"/>
  <c r="E12" i="16"/>
  <c r="F12" i="16" s="1"/>
  <c r="D107" i="15"/>
  <c r="C107" i="15"/>
  <c r="E107" i="15" s="1"/>
  <c r="F107" i="15"/>
  <c r="E106" i="15"/>
  <c r="F106" i="15" s="1"/>
  <c r="E105" i="15"/>
  <c r="F105" i="15" s="1"/>
  <c r="E104" i="15"/>
  <c r="F104" i="15" s="1"/>
  <c r="D100" i="15"/>
  <c r="C100" i="15"/>
  <c r="E99" i="15"/>
  <c r="F99" i="15" s="1"/>
  <c r="F98" i="15"/>
  <c r="E98" i="15"/>
  <c r="E97" i="15"/>
  <c r="F97" i="15" s="1"/>
  <c r="E96" i="15"/>
  <c r="F96" i="15" s="1"/>
  <c r="E95" i="15"/>
  <c r="F95" i="15" s="1"/>
  <c r="D92" i="15"/>
  <c r="E92" i="15"/>
  <c r="C92" i="15"/>
  <c r="F92" i="15" s="1"/>
  <c r="E91" i="15"/>
  <c r="F91" i="15" s="1"/>
  <c r="F90" i="15"/>
  <c r="E90" i="15"/>
  <c r="F89" i="15"/>
  <c r="E89" i="15"/>
  <c r="F88" i="15"/>
  <c r="E88" i="15"/>
  <c r="F87" i="15"/>
  <c r="E87" i="15"/>
  <c r="E86" i="15"/>
  <c r="F86" i="15" s="1"/>
  <c r="E85" i="15"/>
  <c r="F85" i="15" s="1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D70" i="15"/>
  <c r="C70" i="15"/>
  <c r="E69" i="15"/>
  <c r="F69" i="15" s="1"/>
  <c r="F68" i="15"/>
  <c r="E68" i="15"/>
  <c r="D65" i="15"/>
  <c r="C65" i="15"/>
  <c r="E65" i="15" s="1"/>
  <c r="E64" i="15"/>
  <c r="F64" i="15" s="1"/>
  <c r="F63" i="15"/>
  <c r="E63" i="15"/>
  <c r="D60" i="15"/>
  <c r="C60" i="15"/>
  <c r="F60" i="15" s="1"/>
  <c r="F59" i="15"/>
  <c r="E59" i="15"/>
  <c r="F58" i="15"/>
  <c r="E58" i="15"/>
  <c r="E60" i="15" s="1"/>
  <c r="D55" i="15"/>
  <c r="C55" i="15"/>
  <c r="F54" i="15"/>
  <c r="E54" i="15"/>
  <c r="F53" i="15"/>
  <c r="E53" i="15"/>
  <c r="D50" i="15"/>
  <c r="C50" i="15"/>
  <c r="E49" i="15"/>
  <c r="F49" i="15" s="1"/>
  <c r="E48" i="15"/>
  <c r="F48" i="15" s="1"/>
  <c r="D45" i="15"/>
  <c r="E45" i="15"/>
  <c r="C45" i="15"/>
  <c r="E44" i="15"/>
  <c r="F44" i="15" s="1"/>
  <c r="E43" i="15"/>
  <c r="F43" i="15" s="1"/>
  <c r="D37" i="15"/>
  <c r="C37" i="15"/>
  <c r="E37" i="15" s="1"/>
  <c r="F36" i="15"/>
  <c r="E36" i="15"/>
  <c r="F35" i="15"/>
  <c r="E35" i="15"/>
  <c r="E34" i="15"/>
  <c r="F34" i="15" s="1"/>
  <c r="E33" i="15"/>
  <c r="F33" i="15" s="1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E20" i="15"/>
  <c r="F20" i="15" s="1"/>
  <c r="E19" i="15"/>
  <c r="F19" i="15" s="1"/>
  <c r="D16" i="15"/>
  <c r="E16" i="15"/>
  <c r="C16" i="15"/>
  <c r="F15" i="15"/>
  <c r="E15" i="15"/>
  <c r="E14" i="15"/>
  <c r="F14" i="15" s="1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E17" i="14"/>
  <c r="D17" i="14"/>
  <c r="D33" i="14" s="1"/>
  <c r="D36" i="14" s="1"/>
  <c r="D38" i="14" s="1"/>
  <c r="D40" i="14" s="1"/>
  <c r="C17" i="14"/>
  <c r="C31" i="14" s="1"/>
  <c r="I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 s="1"/>
  <c r="D77" i="13" s="1"/>
  <c r="C78" i="13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C66" i="13"/>
  <c r="C65" i="13" s="1"/>
  <c r="D65" i="13"/>
  <c r="E60" i="13"/>
  <c r="D60" i="13"/>
  <c r="C60" i="13"/>
  <c r="E58" i="13"/>
  <c r="D58" i="13"/>
  <c r="C58" i="13"/>
  <c r="E55" i="13"/>
  <c r="D55" i="13"/>
  <c r="D50" i="13" s="1"/>
  <c r="C55" i="13"/>
  <c r="E54" i="13"/>
  <c r="E50" i="13" s="1"/>
  <c r="D54" i="13"/>
  <c r="C54" i="13"/>
  <c r="C50" i="13" s="1"/>
  <c r="E46" i="13"/>
  <c r="E59" i="13" s="1"/>
  <c r="D46" i="13"/>
  <c r="D59" i="13"/>
  <c r="D61" i="13"/>
  <c r="C46" i="13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E13" i="13"/>
  <c r="D13" i="13"/>
  <c r="D15" i="13" s="1"/>
  <c r="D17" i="13" s="1"/>
  <c r="D28" i="13" s="1"/>
  <c r="D70" i="13" s="1"/>
  <c r="C13" i="13"/>
  <c r="C25" i="13" s="1"/>
  <c r="C27" i="13" s="1"/>
  <c r="D47" i="12"/>
  <c r="C47" i="12"/>
  <c r="F47" i="12"/>
  <c r="F46" i="12"/>
  <c r="E46" i="12"/>
  <c r="F45" i="12"/>
  <c r="E45" i="12"/>
  <c r="D40" i="12"/>
  <c r="C40" i="12"/>
  <c r="E39" i="12"/>
  <c r="F39" i="12" s="1"/>
  <c r="E38" i="12"/>
  <c r="F38" i="12" s="1"/>
  <c r="E37" i="12"/>
  <c r="F37" i="12" s="1"/>
  <c r="D32" i="12"/>
  <c r="C32" i="12"/>
  <c r="C34" i="12" s="1"/>
  <c r="C42" i="12" s="1"/>
  <c r="C49" i="12" s="1"/>
  <c r="E31" i="12"/>
  <c r="F31" i="12" s="1"/>
  <c r="E30" i="12"/>
  <c r="F30" i="12" s="1"/>
  <c r="E29" i="12"/>
  <c r="F29" i="12" s="1"/>
  <c r="F28" i="12"/>
  <c r="E28" i="12"/>
  <c r="E27" i="12"/>
  <c r="F27" i="12" s="1"/>
  <c r="F26" i="12"/>
  <c r="E26" i="12"/>
  <c r="E25" i="12"/>
  <c r="F25" i="12" s="1"/>
  <c r="E24" i="12"/>
  <c r="F24" i="12" s="1"/>
  <c r="E23" i="12"/>
  <c r="F23" i="12" s="1"/>
  <c r="F19" i="12"/>
  <c r="E19" i="12"/>
  <c r="E18" i="12"/>
  <c r="F18" i="12"/>
  <c r="E16" i="12"/>
  <c r="F16" i="12" s="1"/>
  <c r="D15" i="12"/>
  <c r="C15" i="12"/>
  <c r="F14" i="12"/>
  <c r="E14" i="12"/>
  <c r="E13" i="12"/>
  <c r="F13" i="12" s="1"/>
  <c r="E12" i="12"/>
  <c r="F12" i="12" s="1"/>
  <c r="E11" i="12"/>
  <c r="F11" i="12" s="1"/>
  <c r="D73" i="11"/>
  <c r="E73" i="11" s="1"/>
  <c r="C73" i="11"/>
  <c r="E72" i="11"/>
  <c r="F72" i="11" s="1"/>
  <c r="F71" i="11"/>
  <c r="E71" i="11"/>
  <c r="E70" i="11"/>
  <c r="F70" i="11" s="1"/>
  <c r="F67" i="11"/>
  <c r="E67" i="11"/>
  <c r="E64" i="11"/>
  <c r="F64" i="11" s="1"/>
  <c r="E63" i="11"/>
  <c r="F63" i="11" s="1"/>
  <c r="D61" i="11"/>
  <c r="C61" i="11"/>
  <c r="E60" i="11"/>
  <c r="F60" i="11" s="1"/>
  <c r="E59" i="11"/>
  <c r="F59" i="11" s="1"/>
  <c r="D56" i="11"/>
  <c r="C56" i="11"/>
  <c r="E55" i="11"/>
  <c r="F55" i="11" s="1"/>
  <c r="E54" i="11"/>
  <c r="F54" i="11" s="1"/>
  <c r="E53" i="11"/>
  <c r="F53" i="11" s="1"/>
  <c r="F52" i="11"/>
  <c r="E52" i="11"/>
  <c r="F51" i="11"/>
  <c r="E51" i="11"/>
  <c r="E50" i="11"/>
  <c r="F50" i="1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D41" i="11"/>
  <c r="C38" i="11"/>
  <c r="C41" i="11" s="1"/>
  <c r="E37" i="11"/>
  <c r="F37" i="11" s="1"/>
  <c r="E36" i="11"/>
  <c r="F36" i="11" s="1"/>
  <c r="E33" i="11"/>
  <c r="F33" i="11" s="1"/>
  <c r="E32" i="11"/>
  <c r="F32" i="11" s="1"/>
  <c r="F31" i="11"/>
  <c r="E31" i="11"/>
  <c r="D29" i="11"/>
  <c r="C29" i="11"/>
  <c r="E28" i="11"/>
  <c r="F28" i="11" s="1"/>
  <c r="F27" i="11"/>
  <c r="E27" i="11"/>
  <c r="E26" i="11"/>
  <c r="F26" i="11" s="1"/>
  <c r="E25" i="11"/>
  <c r="F25" i="11" s="1"/>
  <c r="D22" i="11"/>
  <c r="E22" i="11" s="1"/>
  <c r="F22" i="11" s="1"/>
  <c r="C22" i="1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E15" i="11"/>
  <c r="F15" i="11" s="1"/>
  <c r="E14" i="11"/>
  <c r="F14" i="11" s="1"/>
  <c r="E13" i="11"/>
  <c r="F13" i="11" s="1"/>
  <c r="D120" i="10"/>
  <c r="E120" i="10" s="1"/>
  <c r="C120" i="10"/>
  <c r="F120" i="10" s="1"/>
  <c r="D119" i="10"/>
  <c r="C119" i="10"/>
  <c r="E119" i="10" s="1"/>
  <c r="F119" i="10"/>
  <c r="D118" i="10"/>
  <c r="E118" i="10" s="1"/>
  <c r="C118" i="10"/>
  <c r="F118" i="10" s="1"/>
  <c r="D117" i="10"/>
  <c r="C117" i="10"/>
  <c r="D116" i="10"/>
  <c r="C116" i="10"/>
  <c r="F116" i="10" s="1"/>
  <c r="D115" i="10"/>
  <c r="C115" i="10"/>
  <c r="E115" i="10" s="1"/>
  <c r="F115" i="10"/>
  <c r="D114" i="10"/>
  <c r="E114" i="10" s="1"/>
  <c r="C114" i="10"/>
  <c r="F114" i="10" s="1"/>
  <c r="D113" i="10"/>
  <c r="C113" i="10"/>
  <c r="F113" i="10"/>
  <c r="D112" i="10"/>
  <c r="C112" i="10"/>
  <c r="F112" i="10" s="1"/>
  <c r="D108" i="10"/>
  <c r="C108" i="10"/>
  <c r="F108" i="10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F36" i="10" s="1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 s="1"/>
  <c r="F205" i="9" s="1"/>
  <c r="C205" i="9"/>
  <c r="D204" i="9"/>
  <c r="C204" i="9"/>
  <c r="D203" i="9"/>
  <c r="C203" i="9"/>
  <c r="D202" i="9"/>
  <c r="E202" i="9" s="1"/>
  <c r="C202" i="9"/>
  <c r="D201" i="9"/>
  <c r="C201" i="9"/>
  <c r="D200" i="9"/>
  <c r="C200" i="9"/>
  <c r="D199" i="9"/>
  <c r="C199" i="9"/>
  <c r="C208" i="9" s="1"/>
  <c r="D198" i="9"/>
  <c r="E198" i="9" s="1"/>
  <c r="F198" i="9" s="1"/>
  <c r="C198" i="9"/>
  <c r="D193" i="9"/>
  <c r="E193" i="9"/>
  <c r="C193" i="9"/>
  <c r="F193" i="9" s="1"/>
  <c r="D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C154" i="9"/>
  <c r="E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D140" i="9"/>
  <c r="E140" i="9"/>
  <c r="F140" i="9" s="1"/>
  <c r="C140" i="9"/>
  <c r="F139" i="9"/>
  <c r="E139" i="9"/>
  <c r="E138" i="9"/>
  <c r="F138" i="9" s="1"/>
  <c r="E137" i="9"/>
  <c r="F137" i="9" s="1"/>
  <c r="E136" i="9"/>
  <c r="F136" i="9" s="1"/>
  <c r="E135" i="9"/>
  <c r="F135" i="9" s="1"/>
  <c r="F134" i="9"/>
  <c r="E134" i="9"/>
  <c r="E133" i="9"/>
  <c r="F133" i="9" s="1"/>
  <c r="F132" i="9"/>
  <c r="E132" i="9"/>
  <c r="E131" i="9"/>
  <c r="F131" i="9" s="1"/>
  <c r="D128" i="9"/>
  <c r="C128" i="9"/>
  <c r="E128" i="9" s="1"/>
  <c r="D127" i="9"/>
  <c r="E127" i="9" s="1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F120" i="9"/>
  <c r="E120" i="9"/>
  <c r="E119" i="9"/>
  <c r="F119" i="9" s="1"/>
  <c r="F118" i="9"/>
  <c r="E118" i="9"/>
  <c r="D115" i="9"/>
  <c r="E115" i="9"/>
  <c r="F115" i="9" s="1"/>
  <c r="C115" i="9"/>
  <c r="D114" i="9"/>
  <c r="C114" i="9"/>
  <c r="E114" i="9" s="1"/>
  <c r="F113" i="9"/>
  <c r="E113" i="9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D102" i="9"/>
  <c r="E102" i="9" s="1"/>
  <c r="C102" i="9"/>
  <c r="D101" i="9"/>
  <c r="E101" i="9"/>
  <c r="F101" i="9"/>
  <c r="C101" i="9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D89" i="9"/>
  <c r="C89" i="9"/>
  <c r="D88" i="9"/>
  <c r="E88" i="9" s="1"/>
  <c r="F88" i="9" s="1"/>
  <c r="C88" i="9"/>
  <c r="F87" i="9"/>
  <c r="E87" i="9"/>
  <c r="F86" i="9"/>
  <c r="E86" i="9"/>
  <c r="E85" i="9"/>
  <c r="F85" i="9" s="1"/>
  <c r="F84" i="9"/>
  <c r="E84" i="9"/>
  <c r="F83" i="9"/>
  <c r="E83" i="9"/>
  <c r="E82" i="9"/>
  <c r="F82" i="9" s="1"/>
  <c r="E81" i="9"/>
  <c r="F81" i="9" s="1"/>
  <c r="F80" i="9"/>
  <c r="E80" i="9"/>
  <c r="F79" i="9"/>
  <c r="E79" i="9"/>
  <c r="D76" i="9"/>
  <c r="C76" i="9"/>
  <c r="E76" i="9" s="1"/>
  <c r="D75" i="9"/>
  <c r="C75" i="9"/>
  <c r="E74" i="9"/>
  <c r="F74" i="9" s="1"/>
  <c r="E73" i="9"/>
  <c r="F73" i="9" s="1"/>
  <c r="F72" i="9"/>
  <c r="E72" i="9"/>
  <c r="E71" i="9"/>
  <c r="F71" i="9" s="1"/>
  <c r="F70" i="9"/>
  <c r="E70" i="9"/>
  <c r="F69" i="9"/>
  <c r="E69" i="9"/>
  <c r="F68" i="9"/>
  <c r="E68" i="9"/>
  <c r="E67" i="9"/>
  <c r="F67" i="9" s="1"/>
  <c r="E66" i="9"/>
  <c r="F66" i="9" s="1"/>
  <c r="D63" i="9"/>
  <c r="E63" i="9" s="1"/>
  <c r="F63" i="9" s="1"/>
  <c r="C63" i="9"/>
  <c r="D62" i="9"/>
  <c r="C62" i="9"/>
  <c r="F61" i="9"/>
  <c r="E61" i="9"/>
  <c r="F60" i="9"/>
  <c r="E60" i="9"/>
  <c r="E59" i="9"/>
  <c r="F59" i="9" s="1"/>
  <c r="F58" i="9"/>
  <c r="E58" i="9"/>
  <c r="F57" i="9"/>
  <c r="E57" i="9"/>
  <c r="E56" i="9"/>
  <c r="F56" i="9" s="1"/>
  <c r="E55" i="9"/>
  <c r="F55" i="9" s="1"/>
  <c r="F54" i="9"/>
  <c r="E54" i="9"/>
  <c r="F53" i="9"/>
  <c r="E53" i="9"/>
  <c r="D50" i="9"/>
  <c r="C50" i="9"/>
  <c r="D49" i="9"/>
  <c r="C49" i="9"/>
  <c r="E49" i="9" s="1"/>
  <c r="F49" i="9" s="1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F42" i="9"/>
  <c r="E42" i="9"/>
  <c r="E41" i="9"/>
  <c r="F41" i="9" s="1"/>
  <c r="E40" i="9"/>
  <c r="F40" i="9" s="1"/>
  <c r="D37" i="9"/>
  <c r="C37" i="9"/>
  <c r="D36" i="9"/>
  <c r="E36" i="9" s="1"/>
  <c r="C36" i="9"/>
  <c r="F35" i="9"/>
  <c r="E35" i="9"/>
  <c r="F34" i="9"/>
  <c r="E34" i="9"/>
  <c r="E33" i="9"/>
  <c r="F33" i="9" s="1"/>
  <c r="F32" i="9"/>
  <c r="E32" i="9"/>
  <c r="E31" i="9"/>
  <c r="F31" i="9" s="1"/>
  <c r="E30" i="9"/>
  <c r="F30" i="9" s="1"/>
  <c r="E29" i="9"/>
  <c r="F29" i="9" s="1"/>
  <c r="E28" i="9"/>
  <c r="F28" i="9" s="1"/>
  <c r="E27" i="9"/>
  <c r="F27" i="9" s="1"/>
  <c r="D24" i="9"/>
  <c r="C24" i="9"/>
  <c r="E24" i="9" s="1"/>
  <c r="D23" i="9"/>
  <c r="E23" i="9" s="1"/>
  <c r="C23" i="9"/>
  <c r="E22" i="9"/>
  <c r="F22" i="9" s="1"/>
  <c r="E21" i="9"/>
  <c r="F21" i="9" s="1"/>
  <c r="F20" i="9"/>
  <c r="E20" i="9"/>
  <c r="E19" i="9"/>
  <c r="F19" i="9" s="1"/>
  <c r="E18" i="9"/>
  <c r="F18" i="9" s="1"/>
  <c r="F17" i="9"/>
  <c r="E17" i="9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 s="1"/>
  <c r="C164" i="8"/>
  <c r="C160" i="8" s="1"/>
  <c r="E162" i="8"/>
  <c r="D162" i="8"/>
  <c r="C162" i="8"/>
  <c r="E161" i="8"/>
  <c r="D161" i="8"/>
  <c r="C161" i="8"/>
  <c r="E147" i="8"/>
  <c r="D147" i="8"/>
  <c r="D143" i="8"/>
  <c r="D149" i="8" s="1"/>
  <c r="C147" i="8"/>
  <c r="E145" i="8"/>
  <c r="D145" i="8"/>
  <c r="C145" i="8"/>
  <c r="E144" i="8"/>
  <c r="D144" i="8"/>
  <c r="C144" i="8"/>
  <c r="E143" i="8"/>
  <c r="C143" i="8"/>
  <c r="C149" i="8" s="1"/>
  <c r="C135" i="8" s="1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C107" i="8"/>
  <c r="C109" i="8" s="1"/>
  <c r="C106" i="8" s="1"/>
  <c r="E102" i="8"/>
  <c r="E104" i="8" s="1"/>
  <c r="D102" i="8"/>
  <c r="D104" i="8" s="1"/>
  <c r="C102" i="8"/>
  <c r="C104" i="8" s="1"/>
  <c r="E100" i="8"/>
  <c r="D100" i="8"/>
  <c r="C100" i="8"/>
  <c r="E95" i="8"/>
  <c r="E94" i="8"/>
  <c r="D95" i="8"/>
  <c r="D94" i="8" s="1"/>
  <c r="C95" i="8"/>
  <c r="C94" i="8" s="1"/>
  <c r="E89" i="8"/>
  <c r="D89" i="8"/>
  <c r="C89" i="8"/>
  <c r="E87" i="8"/>
  <c r="D87" i="8"/>
  <c r="C87" i="8"/>
  <c r="E84" i="8"/>
  <c r="D84" i="8"/>
  <c r="C84" i="8"/>
  <c r="E83" i="8"/>
  <c r="D83" i="8"/>
  <c r="C83" i="8"/>
  <c r="C79" i="8"/>
  <c r="D79" i="8"/>
  <c r="C77" i="8"/>
  <c r="E75" i="8"/>
  <c r="D75" i="8"/>
  <c r="C75" i="8"/>
  <c r="C88" i="8" s="1"/>
  <c r="C90" i="8" s="1"/>
  <c r="E74" i="8"/>
  <c r="D74" i="8"/>
  <c r="C74" i="8"/>
  <c r="E67" i="8"/>
  <c r="D67" i="8"/>
  <c r="C67" i="8"/>
  <c r="E38" i="8"/>
  <c r="D38" i="8"/>
  <c r="D57" i="8" s="1"/>
  <c r="D62" i="8" s="1"/>
  <c r="C38" i="8"/>
  <c r="C49" i="8" s="1"/>
  <c r="E33" i="8"/>
  <c r="E34" i="8" s="1"/>
  <c r="D33" i="8"/>
  <c r="D34" i="8"/>
  <c r="E26" i="8"/>
  <c r="D26" i="8"/>
  <c r="C26" i="8"/>
  <c r="E13" i="8"/>
  <c r="D13" i="8"/>
  <c r="D15" i="8" s="1"/>
  <c r="C13" i="8"/>
  <c r="F186" i="7"/>
  <c r="E186" i="7"/>
  <c r="D183" i="7"/>
  <c r="C183" i="7"/>
  <c r="F182" i="7"/>
  <c r="E182" i="7"/>
  <c r="E181" i="7"/>
  <c r="F181" i="7" s="1"/>
  <c r="E180" i="7"/>
  <c r="F180" i="7" s="1"/>
  <c r="E179" i="7"/>
  <c r="F179" i="7" s="1"/>
  <c r="F178" i="7"/>
  <c r="E178" i="7"/>
  <c r="F177" i="7"/>
  <c r="E177" i="7"/>
  <c r="E176" i="7"/>
  <c r="F176" i="7" s="1"/>
  <c r="E175" i="7"/>
  <c r="F175" i="7" s="1"/>
  <c r="F174" i="7"/>
  <c r="E174" i="7"/>
  <c r="E173" i="7"/>
  <c r="F173" i="7" s="1"/>
  <c r="F172" i="7"/>
  <c r="E172" i="7"/>
  <c r="E171" i="7"/>
  <c r="F171" i="7" s="1"/>
  <c r="E170" i="7"/>
  <c r="F170" i="7" s="1"/>
  <c r="D167" i="7"/>
  <c r="C167" i="7"/>
  <c r="C188" i="7" s="1"/>
  <c r="F166" i="7"/>
  <c r="E166" i="7"/>
  <c r="F165" i="7"/>
  <c r="E165" i="7"/>
  <c r="E164" i="7"/>
  <c r="F164" i="7" s="1"/>
  <c r="E163" i="7"/>
  <c r="F163" i="7" s="1"/>
  <c r="F162" i="7"/>
  <c r="E162" i="7"/>
  <c r="F161" i="7"/>
  <c r="E161" i="7"/>
  <c r="E160" i="7"/>
  <c r="F160" i="7" s="1"/>
  <c r="F159" i="7"/>
  <c r="E159" i="7"/>
  <c r="E158" i="7"/>
  <c r="F158" i="7" s="1"/>
  <c r="F157" i="7"/>
  <c r="E157" i="7"/>
  <c r="E156" i="7"/>
  <c r="F156" i="7" s="1"/>
  <c r="E155" i="7"/>
  <c r="F155" i="7" s="1"/>
  <c r="E154" i="7"/>
  <c r="F154" i="7" s="1"/>
  <c r="F153" i="7"/>
  <c r="E153" i="7"/>
  <c r="E152" i="7"/>
  <c r="F152" i="7" s="1"/>
  <c r="E151" i="7"/>
  <c r="F151" i="7" s="1"/>
  <c r="E150" i="7"/>
  <c r="F150" i="7" s="1"/>
  <c r="F149" i="7"/>
  <c r="E149" i="7"/>
  <c r="E148" i="7"/>
  <c r="F148" i="7" s="1"/>
  <c r="F147" i="7"/>
  <c r="E147" i="7"/>
  <c r="E146" i="7"/>
  <c r="F146" i="7" s="1"/>
  <c r="F145" i="7"/>
  <c r="E145" i="7"/>
  <c r="E144" i="7"/>
  <c r="F144" i="7" s="1"/>
  <c r="E143" i="7"/>
  <c r="F143" i="7" s="1"/>
  <c r="F142" i="7"/>
  <c r="E142" i="7"/>
  <c r="F141" i="7"/>
  <c r="E141" i="7"/>
  <c r="E140" i="7"/>
  <c r="F140" i="7" s="1"/>
  <c r="E139" i="7"/>
  <c r="F139" i="7" s="1"/>
  <c r="E138" i="7"/>
  <c r="F138" i="7" s="1"/>
  <c r="E137" i="7"/>
  <c r="F137" i="7" s="1"/>
  <c r="F136" i="7"/>
  <c r="E136" i="7"/>
  <c r="E135" i="7"/>
  <c r="F135" i="7" s="1"/>
  <c r="E134" i="7"/>
  <c r="F134" i="7" s="1"/>
  <c r="F133" i="7"/>
  <c r="E133" i="7"/>
  <c r="D130" i="7"/>
  <c r="C130" i="7"/>
  <c r="F129" i="7"/>
  <c r="E129" i="7"/>
  <c r="E128" i="7"/>
  <c r="F128" i="7" s="1"/>
  <c r="E127" i="7"/>
  <c r="F127" i="7" s="1"/>
  <c r="F126" i="7"/>
  <c r="E126" i="7"/>
  <c r="E125" i="7"/>
  <c r="F125" i="7" s="1"/>
  <c r="E124" i="7"/>
  <c r="F124" i="7" s="1"/>
  <c r="D121" i="7"/>
  <c r="C121" i="7"/>
  <c r="E120" i="7"/>
  <c r="F120" i="7" s="1"/>
  <c r="F119" i="7"/>
  <c r="E119" i="7"/>
  <c r="E118" i="7"/>
  <c r="F118" i="7" s="1"/>
  <c r="F117" i="7"/>
  <c r="E117" i="7"/>
  <c r="E116" i="7"/>
  <c r="F116" i="7" s="1"/>
  <c r="F115" i="7"/>
  <c r="E115" i="7"/>
  <c r="F114" i="7"/>
  <c r="E114" i="7"/>
  <c r="E113" i="7"/>
  <c r="F113" i="7" s="1"/>
  <c r="E112" i="7"/>
  <c r="F112" i="7" s="1"/>
  <c r="E111" i="7"/>
  <c r="F111" i="7" s="1"/>
  <c r="F110" i="7"/>
  <c r="E110" i="7"/>
  <c r="E109" i="7"/>
  <c r="F109" i="7" s="1"/>
  <c r="E108" i="7"/>
  <c r="F108" i="7" s="1"/>
  <c r="E107" i="7"/>
  <c r="F107" i="7" s="1"/>
  <c r="F106" i="7"/>
  <c r="E106" i="7"/>
  <c r="F105" i="7"/>
  <c r="E105" i="7"/>
  <c r="E104" i="7"/>
  <c r="F104" i="7" s="1"/>
  <c r="E103" i="7"/>
  <c r="F103" i="7" s="1"/>
  <c r="F93" i="7"/>
  <c r="E93" i="7"/>
  <c r="D90" i="7"/>
  <c r="C90" i="7"/>
  <c r="E89" i="7"/>
  <c r="F89" i="7" s="1"/>
  <c r="E88" i="7"/>
  <c r="F88" i="7" s="1"/>
  <c r="F87" i="7"/>
  <c r="E87" i="7"/>
  <c r="E86" i="7"/>
  <c r="F86" i="7" s="1"/>
  <c r="F85" i="7"/>
  <c r="E85" i="7"/>
  <c r="E84" i="7"/>
  <c r="F84" i="7" s="1"/>
  <c r="E83" i="7"/>
  <c r="F83" i="7" s="1"/>
  <c r="F82" i="7"/>
  <c r="E82" i="7"/>
  <c r="E81" i="7"/>
  <c r="F81" i="7" s="1"/>
  <c r="E80" i="7"/>
  <c r="F80" i="7" s="1"/>
  <c r="F79" i="7"/>
  <c r="E79" i="7"/>
  <c r="E78" i="7"/>
  <c r="F78" i="7" s="1"/>
  <c r="F77" i="7"/>
  <c r="E77" i="7"/>
  <c r="E76" i="7"/>
  <c r="F76" i="7" s="1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E68" i="7"/>
  <c r="F68" i="7" s="1"/>
  <c r="E67" i="7"/>
  <c r="F67" i="7" s="1"/>
  <c r="F66" i="7"/>
  <c r="E66" i="7"/>
  <c r="E65" i="7"/>
  <c r="F65" i="7" s="1"/>
  <c r="E64" i="7"/>
  <c r="F64" i="7" s="1"/>
  <c r="E63" i="7"/>
  <c r="F63" i="7" s="1"/>
  <c r="F62" i="7"/>
  <c r="E62" i="7"/>
  <c r="D59" i="7"/>
  <c r="C59" i="7"/>
  <c r="F58" i="7"/>
  <c r="E58" i="7"/>
  <c r="E57" i="7"/>
  <c r="F57" i="7" s="1"/>
  <c r="E56" i="7"/>
  <c r="F56" i="7" s="1"/>
  <c r="E55" i="7"/>
  <c r="F55" i="7" s="1"/>
  <c r="E54" i="7"/>
  <c r="F54" i="7" s="1"/>
  <c r="F53" i="7"/>
  <c r="E53" i="7"/>
  <c r="E50" i="7"/>
  <c r="F50" i="7" s="1"/>
  <c r="E47" i="7"/>
  <c r="F47" i="7" s="1"/>
  <c r="F44" i="7"/>
  <c r="E44" i="7"/>
  <c r="D41" i="7"/>
  <c r="C41" i="7"/>
  <c r="E40" i="7"/>
  <c r="F40" i="7" s="1"/>
  <c r="E39" i="7"/>
  <c r="F39" i="7" s="1"/>
  <c r="E38" i="7"/>
  <c r="F38" i="7" s="1"/>
  <c r="D35" i="7"/>
  <c r="C35" i="7"/>
  <c r="F34" i="7"/>
  <c r="E34" i="7"/>
  <c r="E33" i="7"/>
  <c r="F33" i="7" s="1"/>
  <c r="D30" i="7"/>
  <c r="C30" i="7"/>
  <c r="F29" i="7"/>
  <c r="E29" i="7"/>
  <c r="E28" i="7"/>
  <c r="F28" i="7" s="1"/>
  <c r="E27" i="7"/>
  <c r="F27" i="7" s="1"/>
  <c r="D24" i="7"/>
  <c r="E24" i="7"/>
  <c r="F24" i="7"/>
  <c r="C24" i="7"/>
  <c r="E23" i="7"/>
  <c r="F23" i="7" s="1"/>
  <c r="E22" i="7"/>
  <c r="F22" i="7" s="1"/>
  <c r="E21" i="7"/>
  <c r="F21" i="7" s="1"/>
  <c r="D18" i="7"/>
  <c r="E18" i="7" s="1"/>
  <c r="F18" i="7" s="1"/>
  <c r="C18" i="7"/>
  <c r="E17" i="7"/>
  <c r="F17" i="7" s="1"/>
  <c r="E16" i="7"/>
  <c r="F16" i="7" s="1"/>
  <c r="E15" i="7"/>
  <c r="F15" i="7" s="1"/>
  <c r="D179" i="6"/>
  <c r="C179" i="6"/>
  <c r="F178" i="6"/>
  <c r="E178" i="6"/>
  <c r="F177" i="6"/>
  <c r="E177" i="6"/>
  <c r="E176" i="6"/>
  <c r="F176" i="6" s="1"/>
  <c r="E175" i="6"/>
  <c r="F175" i="6" s="1"/>
  <c r="E174" i="6"/>
  <c r="F174" i="6" s="1"/>
  <c r="E173" i="6"/>
  <c r="F173" i="6" s="1"/>
  <c r="E172" i="6"/>
  <c r="F172" i="6" s="1"/>
  <c r="F171" i="6"/>
  <c r="E171" i="6"/>
  <c r="E170" i="6"/>
  <c r="F170" i="6" s="1"/>
  <c r="E169" i="6"/>
  <c r="F169" i="6" s="1"/>
  <c r="E168" i="6"/>
  <c r="F168" i="6" s="1"/>
  <c r="D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F160" i="6"/>
  <c r="E160" i="6"/>
  <c r="E159" i="6"/>
  <c r="F159" i="6" s="1"/>
  <c r="F158" i="6"/>
  <c r="E158" i="6"/>
  <c r="E157" i="6"/>
  <c r="F157" i="6" s="1"/>
  <c r="F156" i="6"/>
  <c r="E156" i="6"/>
  <c r="E155" i="6"/>
  <c r="F155" i="6" s="1"/>
  <c r="D153" i="6"/>
  <c r="C153" i="6"/>
  <c r="F152" i="6"/>
  <c r="E152" i="6"/>
  <c r="F151" i="6"/>
  <c r="E151" i="6"/>
  <c r="E150" i="6"/>
  <c r="F150" i="6" s="1"/>
  <c r="E149" i="6"/>
  <c r="F149" i="6" s="1"/>
  <c r="E148" i="6"/>
  <c r="F148" i="6" s="1"/>
  <c r="E147" i="6"/>
  <c r="F147" i="6" s="1"/>
  <c r="E146" i="6"/>
  <c r="F146" i="6" s="1"/>
  <c r="F145" i="6"/>
  <c r="E145" i="6"/>
  <c r="E144" i="6"/>
  <c r="F144" i="6" s="1"/>
  <c r="F143" i="6"/>
  <c r="E143" i="6"/>
  <c r="F142" i="6"/>
  <c r="E142" i="6"/>
  <c r="D137" i="6"/>
  <c r="E137" i="6"/>
  <c r="C137" i="6"/>
  <c r="F136" i="6"/>
  <c r="E136" i="6"/>
  <c r="F135" i="6"/>
  <c r="E135" i="6"/>
  <c r="E134" i="6"/>
  <c r="F134" i="6" s="1"/>
  <c r="F133" i="6"/>
  <c r="E133" i="6"/>
  <c r="E132" i="6"/>
  <c r="F132" i="6" s="1"/>
  <c r="F131" i="6"/>
  <c r="E131" i="6"/>
  <c r="E130" i="6"/>
  <c r="F130" i="6" s="1"/>
  <c r="F129" i="6"/>
  <c r="E129" i="6"/>
  <c r="E128" i="6"/>
  <c r="F128" i="6" s="1"/>
  <c r="F127" i="6"/>
  <c r="E127" i="6"/>
  <c r="E126" i="6"/>
  <c r="F126" i="6" s="1"/>
  <c r="D124" i="6"/>
  <c r="C124" i="6"/>
  <c r="F123" i="6"/>
  <c r="E123" i="6"/>
  <c r="F122" i="6"/>
  <c r="E122" i="6"/>
  <c r="F121" i="6"/>
  <c r="E121" i="6"/>
  <c r="E120" i="6"/>
  <c r="F120" i="6" s="1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F113" i="6"/>
  <c r="E113" i="6"/>
  <c r="D111" i="6"/>
  <c r="E111" i="6" s="1"/>
  <c r="F111" i="6" s="1"/>
  <c r="C111" i="6"/>
  <c r="F110" i="6"/>
  <c r="E110" i="6"/>
  <c r="F109" i="6"/>
  <c r="E109" i="6"/>
  <c r="F108" i="6"/>
  <c r="E108" i="6"/>
  <c r="F107" i="6"/>
  <c r="E107" i="6"/>
  <c r="E106" i="6"/>
  <c r="F106" i="6" s="1"/>
  <c r="E105" i="6"/>
  <c r="F105" i="6" s="1"/>
  <c r="F104" i="6"/>
  <c r="E104" i="6"/>
  <c r="F103" i="6"/>
  <c r="E103" i="6"/>
  <c r="E102" i="6"/>
  <c r="F102" i="6" s="1"/>
  <c r="E101" i="6"/>
  <c r="F101" i="6" s="1"/>
  <c r="E100" i="6"/>
  <c r="F100" i="6" s="1"/>
  <c r="D94" i="6"/>
  <c r="E94" i="6" s="1"/>
  <c r="C94" i="6"/>
  <c r="F94" i="6" s="1"/>
  <c r="D93" i="6"/>
  <c r="C93" i="6"/>
  <c r="F93" i="6" s="1"/>
  <c r="D92" i="6"/>
  <c r="C92" i="6"/>
  <c r="D91" i="6"/>
  <c r="C91" i="6"/>
  <c r="D90" i="6"/>
  <c r="C90" i="6"/>
  <c r="D89" i="6"/>
  <c r="C89" i="6"/>
  <c r="E89" i="6" s="1"/>
  <c r="F89" i="6" s="1"/>
  <c r="D88" i="6"/>
  <c r="C88" i="6"/>
  <c r="F87" i="6"/>
  <c r="D87" i="6"/>
  <c r="E87" i="6" s="1"/>
  <c r="C87" i="6"/>
  <c r="D86" i="6"/>
  <c r="C86" i="6"/>
  <c r="D85" i="6"/>
  <c r="E85" i="6" s="1"/>
  <c r="F85" i="6"/>
  <c r="C85" i="6"/>
  <c r="D84" i="6"/>
  <c r="C84" i="6"/>
  <c r="D81" i="6"/>
  <c r="C81" i="6"/>
  <c r="F80" i="6"/>
  <c r="E80" i="6"/>
  <c r="F79" i="6"/>
  <c r="E79" i="6"/>
  <c r="E78" i="6"/>
  <c r="F78" i="6" s="1"/>
  <c r="E77" i="6"/>
  <c r="F77" i="6" s="1"/>
  <c r="F76" i="6"/>
  <c r="E76" i="6"/>
  <c r="E75" i="6"/>
  <c r="F75" i="6" s="1"/>
  <c r="E74" i="6"/>
  <c r="F74" i="6" s="1"/>
  <c r="F73" i="6"/>
  <c r="E73" i="6"/>
  <c r="E72" i="6"/>
  <c r="F72" i="6" s="1"/>
  <c r="E71" i="6"/>
  <c r="F71" i="6" s="1"/>
  <c r="E70" i="6"/>
  <c r="F70" i="6" s="1"/>
  <c r="D68" i="6"/>
  <c r="C68" i="6"/>
  <c r="F67" i="6"/>
  <c r="E67" i="6"/>
  <c r="F66" i="6"/>
  <c r="E66" i="6"/>
  <c r="F65" i="6"/>
  <c r="E65" i="6"/>
  <c r="E64" i="6"/>
  <c r="F64" i="6" s="1"/>
  <c r="F63" i="6"/>
  <c r="E63" i="6"/>
  <c r="E62" i="6"/>
  <c r="F62" i="6" s="1"/>
  <c r="F61" i="6"/>
  <c r="E61" i="6"/>
  <c r="F60" i="6"/>
  <c r="E60" i="6"/>
  <c r="E59" i="6"/>
  <c r="F59" i="6" s="1"/>
  <c r="E58" i="6"/>
  <c r="F58" i="6" s="1"/>
  <c r="F57" i="6"/>
  <c r="E57" i="6"/>
  <c r="D51" i="6"/>
  <c r="C51" i="6"/>
  <c r="F51" i="6" s="1"/>
  <c r="F50" i="6"/>
  <c r="D50" i="6"/>
  <c r="E50" i="6"/>
  <c r="C50" i="6"/>
  <c r="D49" i="6"/>
  <c r="C49" i="6"/>
  <c r="D48" i="6"/>
  <c r="E48" i="6" s="1"/>
  <c r="F48" i="6" s="1"/>
  <c r="C48" i="6"/>
  <c r="D47" i="6"/>
  <c r="E47" i="6" s="1"/>
  <c r="C47" i="6"/>
  <c r="D46" i="6"/>
  <c r="E46" i="6" s="1"/>
  <c r="F46" i="6" s="1"/>
  <c r="C46" i="6"/>
  <c r="D45" i="6"/>
  <c r="C45" i="6"/>
  <c r="D44" i="6"/>
  <c r="E44" i="6"/>
  <c r="C44" i="6"/>
  <c r="F44" i="6" s="1"/>
  <c r="D43" i="6"/>
  <c r="E43" i="6" s="1"/>
  <c r="F43" i="6" s="1"/>
  <c r="C43" i="6"/>
  <c r="D42" i="6"/>
  <c r="C42" i="6"/>
  <c r="D41" i="6"/>
  <c r="C41" i="6"/>
  <c r="D38" i="6"/>
  <c r="E38" i="6" s="1"/>
  <c r="C38" i="6"/>
  <c r="F37" i="6"/>
  <c r="E37" i="6"/>
  <c r="F36" i="6"/>
  <c r="E36" i="6"/>
  <c r="E35" i="6"/>
  <c r="F35" i="6" s="1"/>
  <c r="E34" i="6"/>
  <c r="F34" i="6" s="1"/>
  <c r="E33" i="6"/>
  <c r="F33" i="6" s="1"/>
  <c r="F32" i="6"/>
  <c r="E32" i="6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F14" i="6"/>
  <c r="E14" i="6"/>
  <c r="E51" i="5"/>
  <c r="F51" i="5" s="1"/>
  <c r="F48" i="5"/>
  <c r="D48" i="5"/>
  <c r="E48" i="5" s="1"/>
  <c r="C48" i="5"/>
  <c r="F47" i="5"/>
  <c r="E47" i="5"/>
  <c r="F46" i="5"/>
  <c r="E46" i="5"/>
  <c r="D41" i="5"/>
  <c r="E41" i="5"/>
  <c r="C41" i="5"/>
  <c r="F41" i="5" s="1"/>
  <c r="E40" i="5"/>
  <c r="F40" i="5" s="1"/>
  <c r="E39" i="5"/>
  <c r="F39" i="5" s="1"/>
  <c r="E38" i="5"/>
  <c r="F38" i="5" s="1"/>
  <c r="D33" i="5"/>
  <c r="E33" i="5"/>
  <c r="C33" i="5"/>
  <c r="E32" i="5"/>
  <c r="F32" i="5" s="1"/>
  <c r="E31" i="5"/>
  <c r="F31" i="5" s="1"/>
  <c r="F30" i="5"/>
  <c r="E30" i="5"/>
  <c r="F29" i="5"/>
  <c r="E29" i="5"/>
  <c r="E28" i="5"/>
  <c r="F28" i="5" s="1"/>
  <c r="E27" i="5"/>
  <c r="F27" i="5" s="1"/>
  <c r="E26" i="5"/>
  <c r="F26" i="5" s="1"/>
  <c r="E25" i="5"/>
  <c r="F25" i="5" s="1"/>
  <c r="E24" i="5"/>
  <c r="F24" i="5" s="1"/>
  <c r="F20" i="5"/>
  <c r="E20" i="5"/>
  <c r="E19" i="5"/>
  <c r="F19" i="5" s="1"/>
  <c r="E17" i="5"/>
  <c r="F17" i="5" s="1"/>
  <c r="D16" i="5"/>
  <c r="C16" i="5"/>
  <c r="C18" i="5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/>
  <c r="D61" i="4"/>
  <c r="D65" i="4" s="1"/>
  <c r="C61" i="4"/>
  <c r="F60" i="4"/>
  <c r="E60" i="4"/>
  <c r="E59" i="4"/>
  <c r="F59" i="4"/>
  <c r="D56" i="4"/>
  <c r="C56" i="4"/>
  <c r="E56" i="4" s="1"/>
  <c r="F56" i="4" s="1"/>
  <c r="E55" i="4"/>
  <c r="F55" i="4" s="1"/>
  <c r="E54" i="4"/>
  <c r="F54" i="4" s="1"/>
  <c r="E53" i="4"/>
  <c r="F53" i="4"/>
  <c r="F52" i="4"/>
  <c r="E52" i="4"/>
  <c r="E51" i="4"/>
  <c r="F51" i="4" s="1"/>
  <c r="E50" i="4"/>
  <c r="F50" i="4" s="1"/>
  <c r="A50" i="4"/>
  <c r="A51" i="4"/>
  <c r="A52" i="4" s="1"/>
  <c r="A53" i="4" s="1"/>
  <c r="A54" i="4" s="1"/>
  <c r="A55" i="4" s="1"/>
  <c r="E49" i="4"/>
  <c r="F49" i="4" s="1"/>
  <c r="E40" i="4"/>
  <c r="F40" i="4" s="1"/>
  <c r="D38" i="4"/>
  <c r="C38" i="4"/>
  <c r="C41" i="4" s="1"/>
  <c r="E37" i="4"/>
  <c r="F37" i="4" s="1"/>
  <c r="E36" i="4"/>
  <c r="F36" i="4" s="1"/>
  <c r="E33" i="4"/>
  <c r="F33" i="4"/>
  <c r="E32" i="4"/>
  <c r="F32" i="4" s="1"/>
  <c r="F31" i="4"/>
  <c r="E31" i="4"/>
  <c r="D29" i="4"/>
  <c r="C29" i="4"/>
  <c r="E28" i="4"/>
  <c r="F28" i="4"/>
  <c r="F27" i="4"/>
  <c r="E27" i="4"/>
  <c r="E26" i="4"/>
  <c r="F26" i="4" s="1"/>
  <c r="E25" i="4"/>
  <c r="F25" i="4" s="1"/>
  <c r="D22" i="4"/>
  <c r="C22" i="4"/>
  <c r="E21" i="4"/>
  <c r="F21" i="4" s="1"/>
  <c r="E20" i="4"/>
  <c r="F20" i="4" s="1"/>
  <c r="E19" i="4"/>
  <c r="F19" i="4"/>
  <c r="F18" i="4"/>
  <c r="E18" i="4"/>
  <c r="F17" i="4"/>
  <c r="E17" i="4"/>
  <c r="E16" i="4"/>
  <c r="F16" i="4" s="1"/>
  <c r="E15" i="4"/>
  <c r="F15" i="4" s="1"/>
  <c r="E14" i="4"/>
  <c r="F14" i="4" s="1"/>
  <c r="E13" i="4"/>
  <c r="F13" i="4" s="1"/>
  <c r="C34" i="22"/>
  <c r="E22" i="22"/>
  <c r="E53" i="22" s="1"/>
  <c r="D23" i="22"/>
  <c r="E53" i="17"/>
  <c r="F53" i="17" s="1"/>
  <c r="E19" i="20"/>
  <c r="F19" i="20" s="1"/>
  <c r="E294" i="17"/>
  <c r="E296" i="17"/>
  <c r="E298" i="17"/>
  <c r="C22" i="19"/>
  <c r="E36" i="17"/>
  <c r="E44" i="17"/>
  <c r="F44" i="17" s="1"/>
  <c r="D192" i="17"/>
  <c r="D193" i="17" s="1"/>
  <c r="C283" i="18"/>
  <c r="C22" i="18"/>
  <c r="D55" i="18"/>
  <c r="E54" i="18"/>
  <c r="D289" i="18"/>
  <c r="D71" i="18"/>
  <c r="E71" i="18" s="1"/>
  <c r="D65" i="18"/>
  <c r="E60" i="18"/>
  <c r="D144" i="18"/>
  <c r="C156" i="18"/>
  <c r="D175" i="18"/>
  <c r="E216" i="18"/>
  <c r="E218" i="18"/>
  <c r="C189" i="18"/>
  <c r="E189" i="18" s="1"/>
  <c r="E233" i="18"/>
  <c r="D306" i="18"/>
  <c r="D310" i="18" s="1"/>
  <c r="E314" i="18"/>
  <c r="E301" i="18"/>
  <c r="E77" i="17"/>
  <c r="C61" i="17"/>
  <c r="C103" i="17"/>
  <c r="C207" i="17"/>
  <c r="E88" i="17"/>
  <c r="F88" i="17"/>
  <c r="E123" i="17"/>
  <c r="F123" i="17"/>
  <c r="C124" i="17"/>
  <c r="E144" i="17"/>
  <c r="F144" i="17" s="1"/>
  <c r="F172" i="17"/>
  <c r="D214" i="17"/>
  <c r="E188" i="17"/>
  <c r="F188" i="17"/>
  <c r="C21" i="17"/>
  <c r="C49" i="17" s="1"/>
  <c r="C50" i="17" s="1"/>
  <c r="E35" i="17"/>
  <c r="F35" i="17"/>
  <c r="E66" i="17"/>
  <c r="F66" i="17"/>
  <c r="E76" i="17"/>
  <c r="F76" i="17" s="1"/>
  <c r="D124" i="17"/>
  <c r="D172" i="17"/>
  <c r="E189" i="17"/>
  <c r="F189" i="17" s="1"/>
  <c r="C199" i="17"/>
  <c r="E226" i="17"/>
  <c r="F226" i="17" s="1"/>
  <c r="C261" i="17"/>
  <c r="C264" i="17"/>
  <c r="C267" i="17"/>
  <c r="C274" i="17"/>
  <c r="D274" i="17"/>
  <c r="D283" i="17"/>
  <c r="D286" i="17" s="1"/>
  <c r="D267" i="17"/>
  <c r="D270" i="17" s="1"/>
  <c r="D285" i="17"/>
  <c r="D269" i="17"/>
  <c r="D205" i="17"/>
  <c r="D215" i="17"/>
  <c r="F294" i="17"/>
  <c r="F296" i="17"/>
  <c r="F298" i="17"/>
  <c r="I17" i="14"/>
  <c r="D31" i="14"/>
  <c r="C33" i="14"/>
  <c r="C36" i="14" s="1"/>
  <c r="C38" i="14" s="1"/>
  <c r="C40" i="14" s="1"/>
  <c r="G33" i="14"/>
  <c r="I33" i="14" s="1"/>
  <c r="I36" i="14" s="1"/>
  <c r="I38" i="14" s="1"/>
  <c r="I40" i="14" s="1"/>
  <c r="C21" i="13"/>
  <c r="D48" i="13"/>
  <c r="C15" i="13"/>
  <c r="E48" i="13"/>
  <c r="E42" i="13" s="1"/>
  <c r="C17" i="12"/>
  <c r="C20" i="12" s="1"/>
  <c r="E56" i="11"/>
  <c r="F56" i="11" s="1"/>
  <c r="E113" i="10"/>
  <c r="C121" i="10"/>
  <c r="F121" i="10" s="1"/>
  <c r="C53" i="8"/>
  <c r="C43" i="8"/>
  <c r="E53" i="8"/>
  <c r="D88" i="8"/>
  <c r="D90" i="8" s="1"/>
  <c r="D86" i="8" s="1"/>
  <c r="D77" i="8"/>
  <c r="D71" i="8"/>
  <c r="C57" i="8"/>
  <c r="C62" i="8"/>
  <c r="D49" i="8"/>
  <c r="D188" i="7"/>
  <c r="E90" i="7"/>
  <c r="C21" i="5"/>
  <c r="C35" i="5" s="1"/>
  <c r="D18" i="5"/>
  <c r="D75" i="4"/>
  <c r="E22" i="4"/>
  <c r="F22" i="4" s="1"/>
  <c r="E29" i="4"/>
  <c r="F29" i="4" s="1"/>
  <c r="E61" i="4"/>
  <c r="F61" i="4" s="1"/>
  <c r="C65" i="4"/>
  <c r="E73" i="4"/>
  <c r="F73" i="4" s="1"/>
  <c r="F43" i="20"/>
  <c r="C258" i="18"/>
  <c r="C99" i="18"/>
  <c r="C97" i="18"/>
  <c r="C98" i="18"/>
  <c r="C96" i="18"/>
  <c r="C89" i="18"/>
  <c r="C85" i="18"/>
  <c r="D66" i="18"/>
  <c r="D254" i="17"/>
  <c r="C139" i="17"/>
  <c r="C104" i="17"/>
  <c r="D160" i="17"/>
  <c r="E172" i="17"/>
  <c r="D173" i="17"/>
  <c r="C91" i="17"/>
  <c r="C43" i="4"/>
  <c r="C92" i="17"/>
  <c r="C300" i="17" l="1"/>
  <c r="E18" i="5"/>
  <c r="D21" i="5"/>
  <c r="E25" i="20"/>
  <c r="F25" i="20" s="1"/>
  <c r="F22" i="20"/>
  <c r="C234" i="18"/>
  <c r="C211" i="18"/>
  <c r="C43" i="5"/>
  <c r="C50" i="5" s="1"/>
  <c r="C280" i="17"/>
  <c r="C200" i="17"/>
  <c r="F18" i="5"/>
  <c r="F25" i="16"/>
  <c r="E29" i="11"/>
  <c r="F29" i="11" s="1"/>
  <c r="C65" i="11"/>
  <c r="C17" i="13"/>
  <c r="C28" i="13" s="1"/>
  <c r="C24" i="13"/>
  <c r="C20" i="13" s="1"/>
  <c r="F33" i="14"/>
  <c r="F31" i="14"/>
  <c r="H31" i="14" s="1"/>
  <c r="H17" i="14"/>
  <c r="D54" i="22"/>
  <c r="D46" i="22"/>
  <c r="D40" i="22"/>
  <c r="D111" i="22"/>
  <c r="D36" i="22"/>
  <c r="C43" i="11"/>
  <c r="E112" i="10"/>
  <c r="E180" i="17"/>
  <c r="D101" i="22"/>
  <c r="D102" i="22"/>
  <c r="E16" i="5"/>
  <c r="F16" i="5"/>
  <c r="E88" i="6"/>
  <c r="F88" i="6" s="1"/>
  <c r="E166" i="9"/>
  <c r="E59" i="10"/>
  <c r="D17" i="12"/>
  <c r="E15" i="12"/>
  <c r="F15" i="12" s="1"/>
  <c r="F36" i="17"/>
  <c r="C160" i="17"/>
  <c r="C90" i="17"/>
  <c r="E21" i="18"/>
  <c r="D283" i="18"/>
  <c r="E283" i="18" s="1"/>
  <c r="D22" i="18"/>
  <c r="E22" i="18" s="1"/>
  <c r="E262" i="18"/>
  <c r="E277" i="18"/>
  <c r="C38" i="19"/>
  <c r="C127" i="19" s="1"/>
  <c r="C129" i="19" s="1"/>
  <c r="C133" i="19" s="1"/>
  <c r="E34" i="22"/>
  <c r="E33" i="22"/>
  <c r="E23" i="22"/>
  <c r="E267" i="17"/>
  <c r="F267" i="17" s="1"/>
  <c r="E110" i="22"/>
  <c r="E274" i="17"/>
  <c r="F274" i="17" s="1"/>
  <c r="C37" i="17"/>
  <c r="D61" i="17"/>
  <c r="D174" i="17" s="1"/>
  <c r="E174" i="17" s="1"/>
  <c r="F174" i="17" s="1"/>
  <c r="D33" i="22"/>
  <c r="C86" i="8"/>
  <c r="E75" i="9"/>
  <c r="F75" i="9" s="1"/>
  <c r="F127" i="9"/>
  <c r="E206" i="9"/>
  <c r="F206" i="9" s="1"/>
  <c r="F107" i="10"/>
  <c r="E107" i="10"/>
  <c r="D25" i="13"/>
  <c r="D27" i="13" s="1"/>
  <c r="D22" i="13" s="1"/>
  <c r="F45" i="15"/>
  <c r="F100" i="15"/>
  <c r="D210" i="18"/>
  <c r="E227" i="18"/>
  <c r="E232" i="18"/>
  <c r="C302" i="18"/>
  <c r="E91" i="6"/>
  <c r="F91" i="6" s="1"/>
  <c r="D320" i="18"/>
  <c r="E320" i="18" s="1"/>
  <c r="E316" i="18"/>
  <c r="E84" i="10"/>
  <c r="E288" i="18"/>
  <c r="D22" i="22"/>
  <c r="C95" i="6"/>
  <c r="F36" i="9"/>
  <c r="E32" i="12"/>
  <c r="F32" i="12"/>
  <c r="D72" i="13"/>
  <c r="D69" i="13" s="1"/>
  <c r="D90" i="17"/>
  <c r="E90" i="17" s="1"/>
  <c r="D125" i="17"/>
  <c r="E48" i="17"/>
  <c r="F48" i="17" s="1"/>
  <c r="F21" i="21"/>
  <c r="C122" i="10"/>
  <c r="F122" i="10" s="1"/>
  <c r="D255" i="17"/>
  <c r="D216" i="17"/>
  <c r="C261" i="18"/>
  <c r="E261" i="18" s="1"/>
  <c r="E108" i="22"/>
  <c r="F47" i="6"/>
  <c r="C95" i="7"/>
  <c r="E25" i="13"/>
  <c r="E27" i="13" s="1"/>
  <c r="E15" i="13"/>
  <c r="D102" i="17"/>
  <c r="E101" i="17"/>
  <c r="F101" i="17" s="1"/>
  <c r="F120" i="17"/>
  <c r="F135" i="17"/>
  <c r="E227" i="17"/>
  <c r="F227" i="17" s="1"/>
  <c r="E165" i="18"/>
  <c r="E178" i="18"/>
  <c r="D261" i="18"/>
  <c r="E215" i="18"/>
  <c r="E324" i="18"/>
  <c r="D326" i="18"/>
  <c r="D46" i="20"/>
  <c r="E25" i="16"/>
  <c r="E39" i="22"/>
  <c r="E35" i="22"/>
  <c r="E29" i="22"/>
  <c r="E40" i="12"/>
  <c r="F40" i="12"/>
  <c r="F158" i="17"/>
  <c r="C159" i="17"/>
  <c r="C193" i="17"/>
  <c r="C192" i="17"/>
  <c r="E45" i="22"/>
  <c r="G36" i="14"/>
  <c r="G38" i="14" s="1"/>
  <c r="G40" i="14" s="1"/>
  <c r="E173" i="17"/>
  <c r="C102" i="18"/>
  <c r="C103" i="18" s="1"/>
  <c r="D30" i="22"/>
  <c r="D109" i="22"/>
  <c r="F137" i="6"/>
  <c r="C71" i="8"/>
  <c r="C80" i="13"/>
  <c r="C77" i="13" s="1"/>
  <c r="E31" i="14"/>
  <c r="E33" i="14"/>
  <c r="E36" i="14" s="1"/>
  <c r="E38" i="14" s="1"/>
  <c r="E40" i="14" s="1"/>
  <c r="C181" i="17"/>
  <c r="F181" i="17" s="1"/>
  <c r="D278" i="17"/>
  <c r="D262" i="17"/>
  <c r="D199" i="17"/>
  <c r="E199" i="17" s="1"/>
  <c r="F199" i="17" s="1"/>
  <c r="C95" i="18"/>
  <c r="C83" i="18"/>
  <c r="C88" i="18"/>
  <c r="C86" i="18"/>
  <c r="C100" i="18"/>
  <c r="C101" i="18"/>
  <c r="C84" i="18"/>
  <c r="C87" i="18"/>
  <c r="C144" i="18"/>
  <c r="E139" i="18"/>
  <c r="E195" i="18"/>
  <c r="D260" i="18"/>
  <c r="E260" i="18" s="1"/>
  <c r="E239" i="18"/>
  <c r="D42" i="13"/>
  <c r="D194" i="17"/>
  <c r="D282" i="17"/>
  <c r="E166" i="6"/>
  <c r="F166" i="6" s="1"/>
  <c r="E43" i="8"/>
  <c r="E57" i="8"/>
  <c r="E62" i="8" s="1"/>
  <c r="E49" i="8"/>
  <c r="E149" i="8"/>
  <c r="E139" i="8" s="1"/>
  <c r="F23" i="9"/>
  <c r="E89" i="9"/>
  <c r="E204" i="9"/>
  <c r="F29" i="17"/>
  <c r="E159" i="17"/>
  <c r="D181" i="17"/>
  <c r="E181" i="17" s="1"/>
  <c r="E230" i="17"/>
  <c r="F230" i="17" s="1"/>
  <c r="E306" i="17"/>
  <c r="E297" i="17"/>
  <c r="F297" i="17" s="1"/>
  <c r="E276" i="18"/>
  <c r="E280" i="18"/>
  <c r="C64" i="19"/>
  <c r="C65" i="19" s="1"/>
  <c r="C114" i="19" s="1"/>
  <c r="C116" i="19" s="1"/>
  <c r="C119" i="19" s="1"/>
  <c r="C123" i="19" s="1"/>
  <c r="E41" i="6"/>
  <c r="F41" i="6" s="1"/>
  <c r="E81" i="6"/>
  <c r="F81" i="6" s="1"/>
  <c r="F41" i="7"/>
  <c r="C25" i="8"/>
  <c r="C27" i="8" s="1"/>
  <c r="C15" i="8"/>
  <c r="E166" i="8"/>
  <c r="E116" i="10"/>
  <c r="D65" i="11"/>
  <c r="D75" i="11" s="1"/>
  <c r="E75" i="11" s="1"/>
  <c r="E61" i="11"/>
  <c r="F61" i="11" s="1"/>
  <c r="E52" i="17"/>
  <c r="F52" i="17" s="1"/>
  <c r="F110" i="17"/>
  <c r="E37" i="18"/>
  <c r="C284" i="18"/>
  <c r="E42" i="6"/>
  <c r="F42" i="6"/>
  <c r="E86" i="6"/>
  <c r="F86" i="6" s="1"/>
  <c r="E93" i="6"/>
  <c r="E41" i="7"/>
  <c r="D109" i="8"/>
  <c r="D106" i="8" s="1"/>
  <c r="F141" i="9"/>
  <c r="E199" i="9"/>
  <c r="F199" i="9" s="1"/>
  <c r="D122" i="10"/>
  <c r="E122" i="10" s="1"/>
  <c r="E41" i="11"/>
  <c r="F41" i="11" s="1"/>
  <c r="D57" i="13"/>
  <c r="F16" i="15"/>
  <c r="F19" i="16"/>
  <c r="D37" i="17"/>
  <c r="E59" i="17"/>
  <c r="F59" i="17" s="1"/>
  <c r="E110" i="17"/>
  <c r="C255" i="17"/>
  <c r="C262" i="17"/>
  <c r="E307" i="17"/>
  <c r="F307" i="17" s="1"/>
  <c r="E69" i="18"/>
  <c r="E174" i="18"/>
  <c r="E291" i="18"/>
  <c r="E25" i="6"/>
  <c r="E68" i="6"/>
  <c r="F68" i="6" s="1"/>
  <c r="E179" i="6"/>
  <c r="F179" i="6" s="1"/>
  <c r="E121" i="7"/>
  <c r="F121" i="7" s="1"/>
  <c r="E23" i="10"/>
  <c r="E38" i="11"/>
  <c r="F38" i="11" s="1"/>
  <c r="E30" i="15"/>
  <c r="E100" i="15"/>
  <c r="F130" i="17"/>
  <c r="D43" i="18"/>
  <c r="C76" i="18"/>
  <c r="C77" i="18" s="1"/>
  <c r="E70" i="18"/>
  <c r="E176" i="18"/>
  <c r="C77" i="22"/>
  <c r="D88" i="22"/>
  <c r="E93" i="22"/>
  <c r="E51" i="6"/>
  <c r="E124" i="6"/>
  <c r="F124" i="6" s="1"/>
  <c r="F24" i="9"/>
  <c r="E50" i="9"/>
  <c r="E61" i="13"/>
  <c r="E70" i="15"/>
  <c r="E240" i="18"/>
  <c r="E279" i="18"/>
  <c r="E88" i="22"/>
  <c r="F33" i="5"/>
  <c r="F38" i="6"/>
  <c r="E45" i="6"/>
  <c r="F45" i="6" s="1"/>
  <c r="E90" i="6"/>
  <c r="F90" i="6" s="1"/>
  <c r="E183" i="7"/>
  <c r="D166" i="8"/>
  <c r="D156" i="8" s="1"/>
  <c r="E108" i="10"/>
  <c r="E47" i="12"/>
  <c r="E136" i="17"/>
  <c r="F136" i="17" s="1"/>
  <c r="F198" i="17"/>
  <c r="E36" i="18"/>
  <c r="E188" i="7"/>
  <c r="F188" i="7" s="1"/>
  <c r="F43" i="4"/>
  <c r="C102" i="22"/>
  <c r="C103" i="22" s="1"/>
  <c r="E138" i="8"/>
  <c r="E136" i="8"/>
  <c r="E137" i="8"/>
  <c r="C59" i="13"/>
  <c r="C61" i="13" s="1"/>
  <c r="C57" i="13" s="1"/>
  <c r="C48" i="13"/>
  <c r="C42" i="13" s="1"/>
  <c r="C176" i="17"/>
  <c r="C157" i="18"/>
  <c r="E157" i="18" s="1"/>
  <c r="C168" i="18"/>
  <c r="E156" i="18"/>
  <c r="E201" i="9"/>
  <c r="F201" i="9" s="1"/>
  <c r="D208" i="9"/>
  <c r="E208" i="9" s="1"/>
  <c r="F208" i="9" s="1"/>
  <c r="C75" i="4"/>
  <c r="C208" i="17"/>
  <c r="C126" i="17"/>
  <c r="C125" i="17"/>
  <c r="F95" i="7"/>
  <c r="D153" i="8"/>
  <c r="C271" i="17"/>
  <c r="C268" i="17"/>
  <c r="E223" i="17"/>
  <c r="F223" i="17" s="1"/>
  <c r="E45" i="20"/>
  <c r="E46" i="20" s="1"/>
  <c r="C46" i="20"/>
  <c r="C52" i="6"/>
  <c r="F117" i="10"/>
  <c r="E117" i="10"/>
  <c r="D24" i="8"/>
  <c r="D17" i="8"/>
  <c r="D138" i="17"/>
  <c r="E137" i="17"/>
  <c r="F137" i="17" s="1"/>
  <c r="D207" i="17"/>
  <c r="C206" i="17"/>
  <c r="C190" i="17"/>
  <c r="C214" i="17"/>
  <c r="C254" i="17"/>
  <c r="E254" i="17" s="1"/>
  <c r="C277" i="17"/>
  <c r="C285" i="17"/>
  <c r="E204" i="17"/>
  <c r="F204" i="17"/>
  <c r="C269" i="17"/>
  <c r="E214" i="17"/>
  <c r="E153" i="9"/>
  <c r="F179" i="9"/>
  <c r="E179" i="9"/>
  <c r="E95" i="17"/>
  <c r="F95" i="17"/>
  <c r="D206" i="17"/>
  <c r="E206" i="17" s="1"/>
  <c r="D190" i="17"/>
  <c r="E190" i="17" s="1"/>
  <c r="D277" i="17"/>
  <c r="D261" i="17"/>
  <c r="D24" i="13"/>
  <c r="D20" i="13" s="1"/>
  <c r="E193" i="17"/>
  <c r="F193" i="17" s="1"/>
  <c r="E283" i="17"/>
  <c r="F283" i="17" s="1"/>
  <c r="C215" i="17"/>
  <c r="E55" i="18"/>
  <c r="D284" i="18"/>
  <c r="E284" i="18" s="1"/>
  <c r="E65" i="4"/>
  <c r="F65" i="4" s="1"/>
  <c r="D139" i="8"/>
  <c r="D137" i="8"/>
  <c r="D140" i="8"/>
  <c r="D135" i="8"/>
  <c r="D138" i="8"/>
  <c r="D136" i="8"/>
  <c r="F37" i="15"/>
  <c r="E67" i="17"/>
  <c r="F67" i="17" s="1"/>
  <c r="E237" i="17"/>
  <c r="F237" i="17" s="1"/>
  <c r="E221" i="18"/>
  <c r="D245" i="18"/>
  <c r="E245" i="18" s="1"/>
  <c r="E251" i="18"/>
  <c r="E144" i="18"/>
  <c r="D168" i="18"/>
  <c r="D145" i="18"/>
  <c r="C140" i="17"/>
  <c r="C105" i="17"/>
  <c r="E62" i="9"/>
  <c r="F62" i="9" s="1"/>
  <c r="F96" i="10"/>
  <c r="E96" i="10"/>
  <c r="D280" i="17"/>
  <c r="E191" i="17"/>
  <c r="F191" i="17" s="1"/>
  <c r="D264" i="17"/>
  <c r="E250" i="17"/>
  <c r="F250" i="17" s="1"/>
  <c r="C138" i="8"/>
  <c r="C139" i="8"/>
  <c r="C136" i="8"/>
  <c r="C137" i="8"/>
  <c r="C140" i="8"/>
  <c r="E101" i="22"/>
  <c r="E102" i="22"/>
  <c r="E25" i="8"/>
  <c r="E27" i="8" s="1"/>
  <c r="E15" i="8"/>
  <c r="D25" i="8"/>
  <c r="D27" i="8" s="1"/>
  <c r="C205" i="17"/>
  <c r="D21" i="17"/>
  <c r="F183" i="7"/>
  <c r="E205" i="18"/>
  <c r="C229" i="18"/>
  <c r="E229" i="18" s="1"/>
  <c r="C175" i="18"/>
  <c r="E175" i="18" s="1"/>
  <c r="D76" i="18"/>
  <c r="D77" i="18" s="1"/>
  <c r="F90" i="7"/>
  <c r="D31" i="17"/>
  <c r="E30" i="17"/>
  <c r="F30" i="17" s="1"/>
  <c r="E124" i="17"/>
  <c r="F124" i="17" s="1"/>
  <c r="E71" i="10"/>
  <c r="F100" i="17"/>
  <c r="E32" i="18"/>
  <c r="D33" i="18"/>
  <c r="D200" i="17"/>
  <c r="E167" i="7"/>
  <c r="F167" i="7" s="1"/>
  <c r="E203" i="9"/>
  <c r="F203" i="9"/>
  <c r="D266" i="17"/>
  <c r="C90" i="18"/>
  <c r="E84" i="6"/>
  <c r="F84" i="6" s="1"/>
  <c r="D41" i="20"/>
  <c r="E37" i="9"/>
  <c r="F37" i="9" s="1"/>
  <c r="F114" i="9"/>
  <c r="C62" i="17"/>
  <c r="D222" i="18"/>
  <c r="D294" i="18"/>
  <c r="D41" i="4"/>
  <c r="E41" i="4" s="1"/>
  <c r="F41" i="4" s="1"/>
  <c r="E38" i="4"/>
  <c r="F38" i="4" s="1"/>
  <c r="F76" i="9"/>
  <c r="F89" i="9"/>
  <c r="F55" i="15"/>
  <c r="E55" i="15"/>
  <c r="E73" i="18"/>
  <c r="E30" i="7"/>
  <c r="F30" i="7" s="1"/>
  <c r="D95" i="7"/>
  <c r="E95" i="7" s="1"/>
  <c r="E180" i="9"/>
  <c r="F180" i="9"/>
  <c r="E23" i="15"/>
  <c r="F23" i="15" s="1"/>
  <c r="C111" i="17"/>
  <c r="F179" i="17"/>
  <c r="E179" i="17"/>
  <c r="C243" i="18"/>
  <c r="C252" i="18" s="1"/>
  <c r="C254" i="18" s="1"/>
  <c r="C217" i="18"/>
  <c r="C241" i="18" s="1"/>
  <c r="C109" i="22"/>
  <c r="C108" i="22"/>
  <c r="D43" i="4"/>
  <c r="E43" i="4" s="1"/>
  <c r="D121" i="10"/>
  <c r="E121" i="10" s="1"/>
  <c r="E50" i="15"/>
  <c r="F50" i="15" s="1"/>
  <c r="E109" i="17"/>
  <c r="F109" i="17" s="1"/>
  <c r="D111" i="17"/>
  <c r="E111" i="17" s="1"/>
  <c r="E145" i="17"/>
  <c r="F145" i="17" s="1"/>
  <c r="D243" i="18"/>
  <c r="D217" i="18"/>
  <c r="E219" i="18"/>
  <c r="E36" i="20"/>
  <c r="F36" i="20" s="1"/>
  <c r="F34" i="20"/>
  <c r="F25" i="6"/>
  <c r="E88" i="8"/>
  <c r="E90" i="8" s="1"/>
  <c r="E86" i="8" s="1"/>
  <c r="E77" i="8"/>
  <c r="E71" i="8" s="1"/>
  <c r="F128" i="9"/>
  <c r="F48" i="10"/>
  <c r="E48" i="10"/>
  <c r="E75" i="15"/>
  <c r="F75" i="15" s="1"/>
  <c r="F73" i="15"/>
  <c r="E238" i="17"/>
  <c r="F238" i="17" s="1"/>
  <c r="D239" i="17"/>
  <c r="E239" i="17" s="1"/>
  <c r="F239" i="17" s="1"/>
  <c r="E228" i="18"/>
  <c r="C253" i="18"/>
  <c r="D52" i="6"/>
  <c r="D95" i="6"/>
  <c r="E95" i="6" s="1"/>
  <c r="F95" i="6" s="1"/>
  <c r="E153" i="6"/>
  <c r="F153" i="6" s="1"/>
  <c r="E79" i="8"/>
  <c r="F50" i="9"/>
  <c r="F202" i="9"/>
  <c r="F95" i="10"/>
  <c r="E95" i="10"/>
  <c r="D43" i="11"/>
  <c r="F94" i="17"/>
  <c r="C146" i="17"/>
  <c r="E146" i="17" s="1"/>
  <c r="F155" i="17"/>
  <c r="E155" i="17"/>
  <c r="F229" i="17"/>
  <c r="C23" i="22"/>
  <c r="C22" i="22"/>
  <c r="E35" i="7"/>
  <c r="F35" i="7"/>
  <c r="E59" i="7"/>
  <c r="F59" i="7"/>
  <c r="D244" i="18"/>
  <c r="E244" i="18" s="1"/>
  <c r="E220" i="18"/>
  <c r="C39" i="20"/>
  <c r="E49" i="6"/>
  <c r="F49" i="6" s="1"/>
  <c r="E92" i="6"/>
  <c r="F92" i="6" s="1"/>
  <c r="E130" i="7"/>
  <c r="F130" i="7" s="1"/>
  <c r="D53" i="8"/>
  <c r="D43" i="8"/>
  <c r="C166" i="8"/>
  <c r="F102" i="9"/>
  <c r="C207" i="9"/>
  <c r="F204" i="9"/>
  <c r="F47" i="10"/>
  <c r="E47" i="10"/>
  <c r="F73" i="11"/>
  <c r="C75" i="11"/>
  <c r="E164" i="18"/>
  <c r="E278" i="18"/>
  <c r="E200" i="9"/>
  <c r="F200" i="9" s="1"/>
  <c r="E163" i="18"/>
  <c r="E192" i="9"/>
  <c r="F24" i="10"/>
  <c r="E24" i="10"/>
  <c r="E60" i="10"/>
  <c r="F72" i="10"/>
  <c r="E72" i="10"/>
  <c r="F65" i="15"/>
  <c r="F70" i="15"/>
  <c r="E311" i="17"/>
  <c r="E242" i="18"/>
  <c r="E20" i="20"/>
  <c r="F20" i="20" s="1"/>
  <c r="E57" i="13"/>
  <c r="D68" i="17"/>
  <c r="E68" i="17" s="1"/>
  <c r="F68" i="17" s="1"/>
  <c r="E158" i="17"/>
  <c r="E171" i="17"/>
  <c r="F16" i="20"/>
  <c r="F44" i="20"/>
  <c r="D207" i="9"/>
  <c r="C289" i="18"/>
  <c r="E289" i="18" s="1"/>
  <c r="C65" i="18"/>
  <c r="C21" i="8" l="1"/>
  <c r="C181" i="18"/>
  <c r="C235" i="18"/>
  <c r="D44" i="18"/>
  <c r="E43" i="18"/>
  <c r="E112" i="22"/>
  <c r="E55" i="22"/>
  <c r="E37" i="22"/>
  <c r="E47" i="22"/>
  <c r="E255" i="17"/>
  <c r="F255" i="17" s="1"/>
  <c r="E43" i="11"/>
  <c r="F43" i="11" s="1"/>
  <c r="E52" i="6"/>
  <c r="C141" i="8"/>
  <c r="D253" i="18"/>
  <c r="E253" i="18" s="1"/>
  <c r="D155" i="8"/>
  <c r="D21" i="13"/>
  <c r="E282" i="17"/>
  <c r="E192" i="17"/>
  <c r="F192" i="17"/>
  <c r="E20" i="13"/>
  <c r="E21" i="13"/>
  <c r="E37" i="17"/>
  <c r="F37" i="17"/>
  <c r="C70" i="13"/>
  <c r="C72" i="13" s="1"/>
  <c r="C69" i="13" s="1"/>
  <c r="C22" i="13"/>
  <c r="D35" i="5"/>
  <c r="E21" i="5"/>
  <c r="F21" i="5" s="1"/>
  <c r="E36" i="22"/>
  <c r="E30" i="22"/>
  <c r="E46" i="22"/>
  <c r="E54" i="22"/>
  <c r="E111" i="22"/>
  <c r="E40" i="22"/>
  <c r="F36" i="14"/>
  <c r="F38" i="14" s="1"/>
  <c r="F40" i="14" s="1"/>
  <c r="H33" i="14"/>
  <c r="H36" i="14" s="1"/>
  <c r="H38" i="14" s="1"/>
  <c r="H40" i="14" s="1"/>
  <c r="C145" i="18"/>
  <c r="E145" i="18" s="1"/>
  <c r="C180" i="18"/>
  <c r="E24" i="13"/>
  <c r="E17" i="13"/>
  <c r="E28" i="13" s="1"/>
  <c r="E70" i="13" s="1"/>
  <c r="E72" i="13" s="1"/>
  <c r="E69" i="13" s="1"/>
  <c r="D152" i="8"/>
  <c r="D158" i="8" s="1"/>
  <c r="E140" i="8"/>
  <c r="E156" i="8"/>
  <c r="E158" i="8" s="1"/>
  <c r="E154" i="8"/>
  <c r="E152" i="8"/>
  <c r="E153" i="8"/>
  <c r="E157" i="8"/>
  <c r="E155" i="8"/>
  <c r="E194" i="17"/>
  <c r="F194" i="17" s="1"/>
  <c r="E262" i="17"/>
  <c r="F262" i="17" s="1"/>
  <c r="D272" i="17"/>
  <c r="C282" i="17"/>
  <c r="C266" i="17"/>
  <c r="C265" i="17" s="1"/>
  <c r="C194" i="17"/>
  <c r="E302" i="18"/>
  <c r="C303" i="18"/>
  <c r="D20" i="12"/>
  <c r="E17" i="12"/>
  <c r="F17" i="12" s="1"/>
  <c r="D330" i="18"/>
  <c r="E330" i="18" s="1"/>
  <c r="E326" i="18"/>
  <c r="D234" i="18"/>
  <c r="E234" i="18" s="1"/>
  <c r="D211" i="18"/>
  <c r="E210" i="18"/>
  <c r="C263" i="17"/>
  <c r="E61" i="17"/>
  <c r="F61" i="17" s="1"/>
  <c r="E65" i="11"/>
  <c r="F65" i="11" s="1"/>
  <c r="E200" i="17"/>
  <c r="F200" i="17" s="1"/>
  <c r="D180" i="18"/>
  <c r="E180" i="18" s="1"/>
  <c r="C259" i="18"/>
  <c r="C263" i="18" s="1"/>
  <c r="C264" i="18" s="1"/>
  <c r="C266" i="18" s="1"/>
  <c r="C267" i="18" s="1"/>
  <c r="C269" i="18" s="1"/>
  <c r="D154" i="8"/>
  <c r="E135" i="8"/>
  <c r="E141" i="8" s="1"/>
  <c r="C24" i="8"/>
  <c r="C20" i="8" s="1"/>
  <c r="C17" i="8"/>
  <c r="E278" i="17"/>
  <c r="F278" i="17" s="1"/>
  <c r="D288" i="17"/>
  <c r="F159" i="17"/>
  <c r="C161" i="17"/>
  <c r="C162" i="17" s="1"/>
  <c r="F162" i="17" s="1"/>
  <c r="D103" i="22"/>
  <c r="F90" i="17"/>
  <c r="D103" i="17"/>
  <c r="E103" i="17" s="1"/>
  <c r="F103" i="17" s="1"/>
  <c r="E102" i="17"/>
  <c r="F102" i="17" s="1"/>
  <c r="F160" i="17"/>
  <c r="E160" i="17"/>
  <c r="D157" i="8"/>
  <c r="D48" i="22"/>
  <c r="D38" i="22"/>
  <c r="D56" i="22"/>
  <c r="D113" i="22"/>
  <c r="D110" i="22"/>
  <c r="D53" i="22"/>
  <c r="D39" i="22"/>
  <c r="D35" i="22"/>
  <c r="D29" i="22"/>
  <c r="D45" i="22"/>
  <c r="D195" i="17"/>
  <c r="D241" i="18"/>
  <c r="E241" i="18" s="1"/>
  <c r="E217" i="18"/>
  <c r="E222" i="18"/>
  <c r="D223" i="18"/>
  <c r="D246" i="18"/>
  <c r="C141" i="17"/>
  <c r="E207" i="9"/>
  <c r="F207" i="9" s="1"/>
  <c r="C41" i="20"/>
  <c r="E39" i="20"/>
  <c r="E41" i="20" s="1"/>
  <c r="C155" i="8"/>
  <c r="C153" i="8"/>
  <c r="C157" i="8"/>
  <c r="C156" i="8"/>
  <c r="C154" i="8"/>
  <c r="C152" i="8"/>
  <c r="E33" i="18"/>
  <c r="D295" i="18"/>
  <c r="C63" i="17"/>
  <c r="C91" i="18"/>
  <c r="D49" i="17"/>
  <c r="D196" i="17"/>
  <c r="E21" i="17"/>
  <c r="F21" i="17" s="1"/>
  <c r="D161" i="17"/>
  <c r="D126" i="17"/>
  <c r="D91" i="17"/>
  <c r="E21" i="8"/>
  <c r="E168" i="18"/>
  <c r="D263" i="17"/>
  <c r="E261" i="17"/>
  <c r="F261" i="17" s="1"/>
  <c r="D271" i="17"/>
  <c r="D268" i="17"/>
  <c r="E268" i="17" s="1"/>
  <c r="F268" i="17" s="1"/>
  <c r="F254" i="17"/>
  <c r="C66" i="18"/>
  <c r="C294" i="18"/>
  <c r="E294" i="18" s="1"/>
  <c r="C246" i="18"/>
  <c r="E65" i="18"/>
  <c r="D114" i="18"/>
  <c r="D109" i="18"/>
  <c r="D127" i="18"/>
  <c r="D122" i="18"/>
  <c r="E77" i="18"/>
  <c r="D112" i="18"/>
  <c r="D115" i="18"/>
  <c r="D111" i="18"/>
  <c r="E111" i="18" s="1"/>
  <c r="D123" i="18"/>
  <c r="E123" i="18" s="1"/>
  <c r="D110" i="18"/>
  <c r="D126" i="18"/>
  <c r="D125" i="18"/>
  <c r="D124" i="18"/>
  <c r="D113" i="18"/>
  <c r="D121" i="18"/>
  <c r="C53" i="22"/>
  <c r="C45" i="22"/>
  <c r="C29" i="22"/>
  <c r="C110" i="22"/>
  <c r="C39" i="22"/>
  <c r="C35" i="22"/>
  <c r="E138" i="17"/>
  <c r="F138" i="17" s="1"/>
  <c r="D139" i="17"/>
  <c r="E139" i="17" s="1"/>
  <c r="F139" i="17" s="1"/>
  <c r="C111" i="22"/>
  <c r="C54" i="22"/>
  <c r="C46" i="22"/>
  <c r="C40" i="22"/>
  <c r="C36" i="22"/>
  <c r="C30" i="22"/>
  <c r="D169" i="18"/>
  <c r="D181" i="18"/>
  <c r="D28" i="8"/>
  <c r="D99" i="8" s="1"/>
  <c r="D101" i="8" s="1"/>
  <c r="D98" i="8" s="1"/>
  <c r="D112" i="8"/>
  <c r="D111" i="8" s="1"/>
  <c r="F75" i="11"/>
  <c r="D259" i="18"/>
  <c r="E76" i="18"/>
  <c r="E205" i="17"/>
  <c r="F205" i="17" s="1"/>
  <c r="D279" i="17"/>
  <c r="E277" i="17"/>
  <c r="F277" i="17" s="1"/>
  <c r="D287" i="17"/>
  <c r="D284" i="17"/>
  <c r="C216" i="17"/>
  <c r="F214" i="17"/>
  <c r="C304" i="17"/>
  <c r="F45" i="20"/>
  <c r="E75" i="4"/>
  <c r="F75" i="4" s="1"/>
  <c r="F176" i="17"/>
  <c r="C106" i="17"/>
  <c r="D208" i="17"/>
  <c r="E207" i="17"/>
  <c r="F207" i="17" s="1"/>
  <c r="D281" i="17"/>
  <c r="E280" i="17"/>
  <c r="F280" i="17" s="1"/>
  <c r="E215" i="17"/>
  <c r="F215" i="17" s="1"/>
  <c r="E285" i="17"/>
  <c r="F285" i="17"/>
  <c r="C286" i="17"/>
  <c r="C288" i="17"/>
  <c r="C209" i="17"/>
  <c r="C210" i="17"/>
  <c r="E24" i="8"/>
  <c r="E20" i="8" s="1"/>
  <c r="E17" i="8"/>
  <c r="C284" i="17"/>
  <c r="C279" i="17"/>
  <c r="C287" i="17"/>
  <c r="F111" i="17"/>
  <c r="D20" i="8"/>
  <c r="D21" i="8"/>
  <c r="F190" i="17"/>
  <c r="C268" i="18"/>
  <c r="C127" i="17"/>
  <c r="D300" i="17"/>
  <c r="E300" i="17" s="1"/>
  <c r="F300" i="17" s="1"/>
  <c r="E264" i="17"/>
  <c r="F264" i="17" s="1"/>
  <c r="D265" i="17"/>
  <c r="E265" i="17" s="1"/>
  <c r="F265" i="17" s="1"/>
  <c r="E103" i="22"/>
  <c r="D252" i="18"/>
  <c r="E243" i="18"/>
  <c r="D141" i="8"/>
  <c r="D32" i="17"/>
  <c r="E31" i="17"/>
  <c r="F31" i="17" s="1"/>
  <c r="F52" i="6"/>
  <c r="F146" i="17"/>
  <c r="C270" i="17"/>
  <c r="C272" i="17"/>
  <c r="E269" i="17"/>
  <c r="F269" i="17" s="1"/>
  <c r="F206" i="17"/>
  <c r="C123" i="18"/>
  <c r="C115" i="18"/>
  <c r="C121" i="18"/>
  <c r="C124" i="18"/>
  <c r="C122" i="18"/>
  <c r="C114" i="18"/>
  <c r="C109" i="18"/>
  <c r="C111" i="18"/>
  <c r="C127" i="18"/>
  <c r="C125" i="18"/>
  <c r="C112" i="18"/>
  <c r="C110" i="18"/>
  <c r="C126" i="18"/>
  <c r="C113" i="18"/>
  <c r="F46" i="20"/>
  <c r="E125" i="17"/>
  <c r="F125" i="17" s="1"/>
  <c r="C323" i="17" l="1"/>
  <c r="F323" i="17" s="1"/>
  <c r="C28" i="8"/>
  <c r="C112" i="8"/>
  <c r="C111" i="8" s="1"/>
  <c r="D104" i="17"/>
  <c r="E104" i="17" s="1"/>
  <c r="F104" i="17" s="1"/>
  <c r="C281" i="17"/>
  <c r="F282" i="17"/>
  <c r="E22" i="13"/>
  <c r="D87" i="18"/>
  <c r="E87" i="18" s="1"/>
  <c r="D89" i="18"/>
  <c r="E89" i="18" s="1"/>
  <c r="E44" i="18"/>
  <c r="D85" i="18"/>
  <c r="E85" i="18" s="1"/>
  <c r="D100" i="18"/>
  <c r="E100" i="18" s="1"/>
  <c r="D86" i="18"/>
  <c r="E86" i="18" s="1"/>
  <c r="D101" i="18"/>
  <c r="E101" i="18" s="1"/>
  <c r="D83" i="18"/>
  <c r="D99" i="18"/>
  <c r="E99" i="18" s="1"/>
  <c r="D88" i="18"/>
  <c r="E88" i="18" s="1"/>
  <c r="D98" i="18"/>
  <c r="E98" i="18" s="1"/>
  <c r="D97" i="18"/>
  <c r="E97" i="18" s="1"/>
  <c r="D258" i="18"/>
  <c r="E258" i="18" s="1"/>
  <c r="D95" i="18"/>
  <c r="D84" i="18"/>
  <c r="D96" i="18"/>
  <c r="D34" i="12"/>
  <c r="E20" i="12"/>
  <c r="F20" i="12" s="1"/>
  <c r="E266" i="17"/>
  <c r="F266" i="17" s="1"/>
  <c r="C306" i="18"/>
  <c r="E303" i="18"/>
  <c r="E281" i="17"/>
  <c r="F281" i="17" s="1"/>
  <c r="E181" i="18"/>
  <c r="C183" i="17"/>
  <c r="F183" i="17" s="1"/>
  <c r="E169" i="18"/>
  <c r="E113" i="18"/>
  <c r="C169" i="18"/>
  <c r="D43" i="5"/>
  <c r="E35" i="5"/>
  <c r="F35" i="5" s="1"/>
  <c r="E263" i="17"/>
  <c r="F263" i="17" s="1"/>
  <c r="D37" i="22"/>
  <c r="D112" i="22"/>
  <c r="D55" i="22"/>
  <c r="D47" i="22"/>
  <c r="E124" i="18"/>
  <c r="D235" i="18"/>
  <c r="E235" i="18" s="1"/>
  <c r="E211" i="18"/>
  <c r="C196" i="17"/>
  <c r="C195" i="17"/>
  <c r="E56" i="22"/>
  <c r="E113" i="22"/>
  <c r="E48" i="22"/>
  <c r="E38" i="22"/>
  <c r="C113" i="22"/>
  <c r="C56" i="22"/>
  <c r="C48" i="22"/>
  <c r="C38" i="22"/>
  <c r="D162" i="17"/>
  <c r="E161" i="17"/>
  <c r="F161" i="17" s="1"/>
  <c r="E284" i="17"/>
  <c r="F284" i="17" s="1"/>
  <c r="E125" i="18"/>
  <c r="E122" i="18"/>
  <c r="D128" i="18"/>
  <c r="E286" i="17"/>
  <c r="F286" i="17" s="1"/>
  <c r="E279" i="17"/>
  <c r="F279" i="17" s="1"/>
  <c r="E28" i="8"/>
  <c r="E112" i="8"/>
  <c r="E111" i="8" s="1"/>
  <c r="C324" i="17"/>
  <c r="C113" i="17"/>
  <c r="E121" i="18"/>
  <c r="E91" i="17"/>
  <c r="F91" i="17" s="1"/>
  <c r="D92" i="17"/>
  <c r="E32" i="17"/>
  <c r="F32" i="17" s="1"/>
  <c r="D62" i="17"/>
  <c r="D210" i="17"/>
  <c r="D175" i="17"/>
  <c r="D140" i="17"/>
  <c r="D105" i="17"/>
  <c r="E126" i="17"/>
  <c r="F126" i="17" s="1"/>
  <c r="D127" i="17"/>
  <c r="E246" i="18"/>
  <c r="E216" i="17"/>
  <c r="F216" i="17" s="1"/>
  <c r="E223" i="18"/>
  <c r="D247" i="18"/>
  <c r="C128" i="18"/>
  <c r="C129" i="18" s="1"/>
  <c r="E272" i="17"/>
  <c r="F272" i="17" s="1"/>
  <c r="C197" i="17"/>
  <c r="C148" i="17"/>
  <c r="D289" i="17"/>
  <c r="E287" i="17"/>
  <c r="D291" i="17"/>
  <c r="E126" i="18"/>
  <c r="E127" i="18"/>
  <c r="C273" i="17"/>
  <c r="E196" i="17"/>
  <c r="F196" i="17" s="1"/>
  <c r="D197" i="17"/>
  <c r="E197" i="17" s="1"/>
  <c r="F39" i="20"/>
  <c r="D209" i="17"/>
  <c r="E209" i="17" s="1"/>
  <c r="F209" i="17" s="1"/>
  <c r="E208" i="17"/>
  <c r="F208" i="17" s="1"/>
  <c r="C322" i="17"/>
  <c r="C211" i="17"/>
  <c r="D22" i="8"/>
  <c r="E115" i="18"/>
  <c r="E112" i="18"/>
  <c r="D273" i="17"/>
  <c r="E271" i="17"/>
  <c r="F271" i="17" s="1"/>
  <c r="D304" i="17"/>
  <c r="C70" i="17"/>
  <c r="D263" i="18"/>
  <c r="E259" i="18"/>
  <c r="C295" i="18"/>
  <c r="E295" i="18" s="1"/>
  <c r="E66" i="18"/>
  <c r="C247" i="18"/>
  <c r="C116" i="18"/>
  <c r="C117" i="18" s="1"/>
  <c r="F270" i="17"/>
  <c r="E270" i="17"/>
  <c r="E252" i="18"/>
  <c r="D254" i="18"/>
  <c r="E254" i="18" s="1"/>
  <c r="C271" i="18"/>
  <c r="C291" i="17"/>
  <c r="C289" i="17"/>
  <c r="F287" i="17"/>
  <c r="F288" i="17"/>
  <c r="E288" i="17"/>
  <c r="C55" i="22"/>
  <c r="C47" i="22"/>
  <c r="C37" i="22"/>
  <c r="C112" i="22"/>
  <c r="D116" i="18"/>
  <c r="E110" i="18"/>
  <c r="E109" i="18"/>
  <c r="D50" i="17"/>
  <c r="E49" i="17"/>
  <c r="F49" i="17" s="1"/>
  <c r="C158" i="8"/>
  <c r="F41" i="20"/>
  <c r="E114" i="18"/>
  <c r="C105" i="18"/>
  <c r="E43" i="5" l="1"/>
  <c r="F43" i="5" s="1"/>
  <c r="D50" i="5"/>
  <c r="E50" i="5" s="1"/>
  <c r="F50" i="5" s="1"/>
  <c r="D42" i="12"/>
  <c r="E34" i="12"/>
  <c r="F34" i="12" s="1"/>
  <c r="F195" i="17"/>
  <c r="D102" i="18"/>
  <c r="E102" i="18" s="1"/>
  <c r="E96" i="18"/>
  <c r="D90" i="18"/>
  <c r="E90" i="18" s="1"/>
  <c r="E84" i="18"/>
  <c r="E195" i="17"/>
  <c r="E306" i="18"/>
  <c r="C310" i="18"/>
  <c r="E310" i="18" s="1"/>
  <c r="E83" i="18"/>
  <c r="E95" i="18"/>
  <c r="D103" i="18"/>
  <c r="E103" i="18" s="1"/>
  <c r="E247" i="18"/>
  <c r="C99" i="8"/>
  <c r="C101" i="8" s="1"/>
  <c r="C98" i="8" s="1"/>
  <c r="C22" i="8"/>
  <c r="C131" i="18"/>
  <c r="E175" i="17"/>
  <c r="F175" i="17" s="1"/>
  <c r="D176" i="17"/>
  <c r="E176" i="17" s="1"/>
  <c r="E116" i="18"/>
  <c r="E162" i="17"/>
  <c r="C305" i="17"/>
  <c r="E62" i="17"/>
  <c r="F62" i="17" s="1"/>
  <c r="D63" i="17"/>
  <c r="E63" i="17" s="1"/>
  <c r="F63" i="17" s="1"/>
  <c r="D141" i="17"/>
  <c r="D148" i="17" s="1"/>
  <c r="E148" i="17" s="1"/>
  <c r="F148" i="17" s="1"/>
  <c r="E140" i="17"/>
  <c r="F140" i="17" s="1"/>
  <c r="F289" i="17"/>
  <c r="C325" i="17"/>
  <c r="E273" i="17"/>
  <c r="F273" i="17" s="1"/>
  <c r="D305" i="17"/>
  <c r="E291" i="17"/>
  <c r="F291" i="17" s="1"/>
  <c r="E127" i="17"/>
  <c r="F127" i="17" s="1"/>
  <c r="E92" i="17"/>
  <c r="F92" i="17" s="1"/>
  <c r="E99" i="8"/>
  <c r="E101" i="8" s="1"/>
  <c r="E98" i="8" s="1"/>
  <c r="E22" i="8"/>
  <c r="E128" i="18"/>
  <c r="E304" i="17"/>
  <c r="F304" i="17" s="1"/>
  <c r="D211" i="17"/>
  <c r="E211" i="17" s="1"/>
  <c r="F211" i="17" s="1"/>
  <c r="E210" i="17"/>
  <c r="F210" i="17" s="1"/>
  <c r="E50" i="17"/>
  <c r="F50" i="17" s="1"/>
  <c r="E263" i="18"/>
  <c r="D264" i="18"/>
  <c r="F197" i="17"/>
  <c r="D117" i="18"/>
  <c r="E289" i="17"/>
  <c r="D106" i="17"/>
  <c r="E106" i="17" s="1"/>
  <c r="F106" i="17" s="1"/>
  <c r="E105" i="17"/>
  <c r="F105" i="17" s="1"/>
  <c r="D129" i="18"/>
  <c r="E129" i="18" s="1"/>
  <c r="D91" i="18" l="1"/>
  <c r="D183" i="17"/>
  <c r="E183" i="17" s="1"/>
  <c r="D49" i="12"/>
  <c r="E49" i="12" s="1"/>
  <c r="F49" i="12" s="1"/>
  <c r="E42" i="12"/>
  <c r="F42" i="12" s="1"/>
  <c r="D70" i="17"/>
  <c r="E70" i="17" s="1"/>
  <c r="F70" i="17" s="1"/>
  <c r="D323" i="17"/>
  <c r="E323" i="17" s="1"/>
  <c r="E305" i="17"/>
  <c r="D309" i="17"/>
  <c r="D113" i="17"/>
  <c r="E113" i="17" s="1"/>
  <c r="F113" i="17" s="1"/>
  <c r="E117" i="18"/>
  <c r="D131" i="18"/>
  <c r="E131" i="18" s="1"/>
  <c r="F305" i="17"/>
  <c r="C309" i="17"/>
  <c r="E141" i="17"/>
  <c r="F141" i="17" s="1"/>
  <c r="D322" i="17"/>
  <c r="E322" i="17" s="1"/>
  <c r="F322" i="17" s="1"/>
  <c r="E264" i="18"/>
  <c r="D266" i="18"/>
  <c r="D324" i="17"/>
  <c r="D105" i="18" l="1"/>
  <c r="E105" i="18" s="1"/>
  <c r="E91" i="18"/>
  <c r="C310" i="17"/>
  <c r="D325" i="17"/>
  <c r="E325" i="17" s="1"/>
  <c r="F325" i="17" s="1"/>
  <c r="E324" i="17"/>
  <c r="F324" i="17" s="1"/>
  <c r="E266" i="18"/>
  <c r="D267" i="18"/>
  <c r="E309" i="17"/>
  <c r="F309" i="17" s="1"/>
  <c r="D310" i="17"/>
  <c r="E310" i="17" l="1"/>
  <c r="D312" i="17"/>
  <c r="D269" i="18"/>
  <c r="E269" i="18" s="1"/>
  <c r="E267" i="18"/>
  <c r="D268" i="18"/>
  <c r="C312" i="17"/>
  <c r="F310" i="17"/>
  <c r="C313" i="17" l="1"/>
  <c r="E268" i="18"/>
  <c r="D271" i="18"/>
  <c r="E271" i="18" s="1"/>
  <c r="E312" i="17"/>
  <c r="F312" i="17" s="1"/>
  <c r="D313" i="17"/>
  <c r="D314" i="17" l="1"/>
  <c r="E313" i="17"/>
  <c r="D315" i="17"/>
  <c r="E315" i="17" s="1"/>
  <c r="D251" i="17"/>
  <c r="D256" i="17"/>
  <c r="C314" i="17"/>
  <c r="C251" i="17"/>
  <c r="F313" i="17"/>
  <c r="C315" i="17"/>
  <c r="C256" i="17"/>
  <c r="E251" i="17" l="1"/>
  <c r="F251" i="17" s="1"/>
  <c r="C257" i="17"/>
  <c r="C318" i="17"/>
  <c r="E256" i="17"/>
  <c r="F256" i="17" s="1"/>
  <c r="D257" i="17"/>
  <c r="E257" i="17" s="1"/>
  <c r="F315" i="17"/>
  <c r="E314" i="17"/>
  <c r="F314" i="17" s="1"/>
  <c r="D318" i="17"/>
  <c r="E318" i="17" l="1"/>
  <c r="F318" i="17" s="1"/>
  <c r="F257" i="17"/>
</calcChain>
</file>

<file path=xl/sharedStrings.xml><?xml version="1.0" encoding="utf-8"?>
<sst xmlns="http://schemas.openxmlformats.org/spreadsheetml/2006/main" count="2337" uniqueCount="1013">
  <si>
    <t>MIDDLESEX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</si>
  <si>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</si>
  <si>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</si>
  <si>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</si>
  <si>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</si>
  <si>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</si>
  <si>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</si>
  <si>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</si>
  <si>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</si>
  <si>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</si>
  <si>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</si>
  <si>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</si>
  <si>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</si>
  <si>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</si>
  <si>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</si>
  <si>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</si>
  <si>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</si>
  <si>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</si>
  <si>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</si>
  <si>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</si>
  <si>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</si>
  <si>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</si>
  <si>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</si>
  <si>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</si>
  <si>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</si>
  <si>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</si>
  <si>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</si>
  <si>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</si>
  <si>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</si>
  <si>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</si>
  <si>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</si>
  <si>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</si>
  <si>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</si>
  <si>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</si>
  <si>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</si>
  <si>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</si>
  <si>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</si>
  <si>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</si>
  <si>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</si>
  <si>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</si>
  <si>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</si>
  <si>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</si>
  <si>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</si>
  <si>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</si>
  <si>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</si>
  <si>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</si>
  <si>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</si>
  <si>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</si>
  <si>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</si>
  <si>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</si>
  <si>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</si>
  <si>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</si>
  <si>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</si>
  <si>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</si>
  <si>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</si>
  <si>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</si>
  <si>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</si>
  <si>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</si>
  <si>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</si>
  <si>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</si>
  <si>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</si>
  <si>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</si>
  <si>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</si>
  <si>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</si>
  <si>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</si>
  <si>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</si>
  <si>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</si>
  <si>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</si>
  <si>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</si>
  <si>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</si>
  <si>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</si>
  <si>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</si>
  <si>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</si>
  <si>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</si>
  <si>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</si>
  <si>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</si>
  <si>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</si>
  <si>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</si>
  <si>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</si>
  <si>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</si>
  <si>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</si>
  <si>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</si>
  <si>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</si>
  <si>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</si>
  <si>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</si>
  <si>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</si>
  <si>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</si>
  <si>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</si>
  <si>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</si>
  <si>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</si>
  <si>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</si>
  <si>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</si>
  <si>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</si>
  <si>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</si>
  <si>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</si>
  <si>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</si>
  <si>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</si>
  <si>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</si>
  <si>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</si>
  <si>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</si>
  <si>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</si>
  <si>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</si>
  <si>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</si>
  <si>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</si>
  <si>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</si>
  <si>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</si>
  <si>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</si>
  <si>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</si>
  <si>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</si>
  <si>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</si>
  <si>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</si>
  <si>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</si>
  <si>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</si>
  <si>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</si>
  <si>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</si>
  <si>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</si>
  <si>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</si>
  <si>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</si>
  <si>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</si>
  <si>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</si>
  <si>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</si>
  <si>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</si>
  <si>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</si>
  <si>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</si>
  <si>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</si>
  <si>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</si>
  <si>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</si>
  <si>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</si>
  <si>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</si>
  <si>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</si>
  <si>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</si>
  <si>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</si>
  <si>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</si>
  <si>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</si>
  <si>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</si>
  <si>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</si>
  <si>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</si>
  <si>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</si>
  <si>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</si>
  <si>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</si>
  <si>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</si>
  <si>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</si>
  <si>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</si>
  <si>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</si>
  <si>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</si>
  <si>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</si>
  <si>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</si>
  <si>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</si>
  <si>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</si>
  <si>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</si>
  <si>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</si>
  <si>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</si>
  <si>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</si>
  <si>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</si>
  <si>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</si>
  <si>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</si>
  <si>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</si>
  <si>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</si>
  <si>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</si>
  <si>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</si>
  <si>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</si>
  <si>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</si>
  <si>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</si>
  <si>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</si>
  <si>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</si>
  <si>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</si>
  <si>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</si>
  <si>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</si>
  <si>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</si>
  <si>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</si>
  <si>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</si>
  <si>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</si>
  <si>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</si>
  <si>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</si>
  <si>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</si>
  <si>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</si>
  <si>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</si>
  <si>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</si>
  <si>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</si>
  <si>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</si>
  <si>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</si>
  <si>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</si>
  <si>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</si>
  <si>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</si>
  <si>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</si>
  <si>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</si>
  <si>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</si>
  <si>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</si>
  <si>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</si>
  <si>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</si>
  <si>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</si>
  <si>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</si>
  <si>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</si>
  <si>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</si>
  <si>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</si>
  <si>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</si>
  <si>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</si>
  <si>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</si>
  <si>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</si>
  <si>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</si>
  <si>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</si>
  <si>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</si>
  <si>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</si>
  <si>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</si>
  <si>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</si>
  <si>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</si>
  <si>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</si>
  <si>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</si>
  <si>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</si>
  <si>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</si>
  <si>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</si>
  <si>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</si>
  <si>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</si>
  <si>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</si>
  <si>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</si>
  <si>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</si>
  <si>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</si>
  <si>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</si>
  <si>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</si>
  <si>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</si>
  <si>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</si>
  <si>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</si>
  <si>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</si>
  <si>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</si>
  <si>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</si>
  <si>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</si>
  <si>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</si>
  <si>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</si>
  <si>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</si>
  <si>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</si>
  <si>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</si>
  <si>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</si>
  <si>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</si>
  <si>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</si>
  <si>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</si>
  <si>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</si>
  <si>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</si>
  <si>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</si>
  <si>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</si>
  <si>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</si>
  <si>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</si>
  <si>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</si>
  <si>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</si>
  <si>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</si>
  <si>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</si>
  <si>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</si>
  <si>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</si>
  <si>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</si>
  <si>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</si>
  <si>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</si>
  <si>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</si>
  <si>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</si>
  <si>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</si>
  <si>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</si>
  <si>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</si>
  <si>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</si>
  <si>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</si>
  <si>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</si>
  <si>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</si>
  <si>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</si>
  <si>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</si>
  <si>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</si>
  <si>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</si>
  <si>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</si>
  <si>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</si>
  <si>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</si>
  <si>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</si>
  <si>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</si>
  <si>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</si>
  <si>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</si>
  <si>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</si>
  <si>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</si>
  <si>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</si>
  <si>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</si>
  <si>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</si>
  <si>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</si>
  <si>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</si>
  <si>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</si>
  <si>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</si>
  <si>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</si>
  <si>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</si>
  <si>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</si>
  <si>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</si>
  <si>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</si>
  <si>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</si>
  <si>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</si>
  <si>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</si>
  <si>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</si>
  <si>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</si>
  <si>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</si>
  <si>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</si>
  <si>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</si>
  <si>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</si>
  <si>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</si>
  <si>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</si>
  <si>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</si>
  <si>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</si>
  <si>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</si>
  <si>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</si>
  <si>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</si>
  <si>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</si>
  <si>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</si>
  <si>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</si>
  <si>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</si>
  <si>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</si>
  <si>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</si>
  <si>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</si>
  <si>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</si>
  <si>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</si>
  <si>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</si>
  <si>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</si>
  <si>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</si>
  <si>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</si>
  <si>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</si>
  <si>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</si>
  <si>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</si>
  <si>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</si>
  <si>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</si>
  <si>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</si>
  <si>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</si>
  <si>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</si>
  <si>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</si>
  <si>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</si>
  <si>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</si>
  <si>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</si>
  <si>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</si>
  <si>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</si>
  <si>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</si>
  <si>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</si>
  <si>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</si>
  <si>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</si>
  <si>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</si>
  <si>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</si>
  <si>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</si>
  <si>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</si>
  <si>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</si>
  <si>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</si>
  <si>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</si>
  <si>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</si>
  <si>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</si>
  <si>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</si>
  <si>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</si>
  <si>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</si>
  <si>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</si>
  <si>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</si>
  <si>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</si>
  <si>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</si>
  <si>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</si>
  <si>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</si>
  <si>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</si>
  <si>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</si>
  <si>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</si>
  <si>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</si>
  <si>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</si>
  <si>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</si>
  <si>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</si>
  <si>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</si>
  <si>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</si>
  <si>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</si>
  <si>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</si>
  <si>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</si>
  <si>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</si>
  <si>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</si>
  <si>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</si>
  <si>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</si>
  <si>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</si>
  <si>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</si>
  <si>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</si>
  <si>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</si>
  <si>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</si>
  <si>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</si>
  <si>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</si>
  <si>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</si>
  <si>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</si>
  <si>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</si>
  <si>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</si>
  <si>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</si>
  <si>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</si>
  <si>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</si>
  <si>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</si>
  <si>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</si>
  <si>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</si>
  <si>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</si>
  <si>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</si>
  <si>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</si>
  <si>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</si>
  <si>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</si>
  <si>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</si>
  <si>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</si>
  <si>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</si>
  <si>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</si>
  <si>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</si>
  <si>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</si>
  <si>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</si>
  <si>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</si>
  <si>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</si>
  <si>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</si>
  <si>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</si>
  <si>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</si>
  <si>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</si>
  <si>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</si>
  <si>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</si>
  <si>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</si>
  <si>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</si>
  <si>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</si>
  <si>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</si>
  <si>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</si>
  <si>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</si>
  <si>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</si>
  <si>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</si>
  <si>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</si>
  <si>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</si>
  <si>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</si>
  <si>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</si>
  <si>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</si>
  <si>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</si>
  <si>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</si>
  <si>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</si>
  <si>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</si>
  <si>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</si>
  <si>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</si>
  <si>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</si>
  <si>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</si>
  <si>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</si>
  <si>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</si>
  <si>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</si>
  <si>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</si>
  <si>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</si>
  <si>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</si>
  <si>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</si>
  <si>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</si>
  <si>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</si>
  <si>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</si>
  <si>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</si>
  <si>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</si>
  <si>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</si>
  <si>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</si>
  <si>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</si>
  <si>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</si>
  <si>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</si>
  <si>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</si>
  <si>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</si>
  <si>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</si>
  <si>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</si>
  <si>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</si>
  <si>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</si>
  <si>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</si>
  <si>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</si>
  <si>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</si>
  <si>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</si>
  <si>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</si>
  <si>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</si>
  <si>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</si>
  <si>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</si>
  <si>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</si>
  <si>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</si>
  <si>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</si>
  <si>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</si>
  <si>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</si>
  <si>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</si>
  <si>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</si>
  <si>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</si>
  <si>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</si>
  <si>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</si>
  <si>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</si>
  <si>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</si>
  <si>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</si>
  <si>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</si>
  <si>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</si>
  <si>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</si>
  <si>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</si>
  <si>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</si>
  <si>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</si>
  <si>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</si>
  <si>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</si>
  <si>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</si>
  <si>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</si>
  <si>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</si>
  <si>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</si>
  <si>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</si>
  <si>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</si>
  <si>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</si>
  <si>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</si>
  <si>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</si>
  <si>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</si>
  <si>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</si>
  <si>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</si>
  <si>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</si>
  <si>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</si>
  <si>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</si>
  <si>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</si>
  <si>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</si>
  <si>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</si>
  <si>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</si>
  <si>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</si>
  <si>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</si>
  <si>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</si>
  <si>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</si>
  <si>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</si>
  <si>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</si>
  <si>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MIDDLESEX HEALTH SYSTEM,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</si>
  <si>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</si>
  <si>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</si>
  <si>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</si>
  <si>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</si>
  <si>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</si>
  <si>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</si>
  <si>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</si>
  <si>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</si>
  <si>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</si>
  <si>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</si>
  <si>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</si>
  <si>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</si>
  <si>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</si>
  <si>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</si>
  <si>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</si>
  <si>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</si>
  <si>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</si>
  <si>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</si>
  <si>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</si>
  <si>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</si>
  <si>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</si>
  <si>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</si>
  <si>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</si>
  <si>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</si>
  <si>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</si>
  <si>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</si>
  <si>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</si>
  <si>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</si>
  <si>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</si>
  <si>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</si>
  <si>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</si>
  <si>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</si>
  <si>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</si>
  <si>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</si>
  <si>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</si>
  <si>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</si>
  <si>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</si>
  <si>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</si>
  <si>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</si>
  <si>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</si>
  <si>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</si>
  <si>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</si>
  <si>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</si>
  <si>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</si>
  <si>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</si>
  <si>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</si>
  <si>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</si>
  <si>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</si>
  <si>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</si>
  <si>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</si>
  <si>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</si>
  <si>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</si>
  <si>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</si>
  <si>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</si>
  <si>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</si>
  <si>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</si>
  <si>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</si>
  <si>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</si>
  <si>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</si>
  <si>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</si>
  <si>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</si>
  <si>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</si>
  <si>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</si>
  <si>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</si>
  <si>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</si>
  <si>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</si>
  <si>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</si>
  <si>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</si>
  <si>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</si>
  <si>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</si>
  <si>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</si>
  <si>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</si>
  <si>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</si>
  <si>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</si>
  <si>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</si>
  <si>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</si>
  <si>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</si>
  <si>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</si>
  <si>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</si>
  <si>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</si>
  <si>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</si>
  <si>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</si>
  <si>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</si>
  <si>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</si>
  <si>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</si>
  <si>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</si>
  <si>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</si>
  <si>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</si>
  <si>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</si>
  <si>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</si>
  <si>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</si>
  <si>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</si>
  <si>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</si>
  <si>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</si>
  <si>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</si>
  <si>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</si>
  <si>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</si>
  <si>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</si>
  <si>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</si>
  <si>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</si>
  <si>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</si>
  <si>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</si>
  <si>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</si>
  <si>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</si>
  <si>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</si>
  <si>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</si>
  <si>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</si>
  <si>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</si>
  <si>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</si>
  <si>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</si>
  <si>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</si>
  <si>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</si>
  <si>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</si>
  <si>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</si>
  <si>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</si>
  <si>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</si>
  <si>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</si>
  <si>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</si>
  <si>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</si>
  <si>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</si>
  <si>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MH OP Center Saybrook Road</t>
  </si>
  <si>
    <t>Middlesex Hospital</t>
  </si>
  <si>
    <t>Total Outpatient Surgical Procedures(A)</t>
  </si>
  <si>
    <t>MH Shoreline Oscopy Room</t>
  </si>
  <si>
    <t>Total Outpatient Endoscopy Procedures(B)</t>
  </si>
  <si>
    <t>Outpatient Hospital Emergency Room Visits</t>
  </si>
  <si>
    <t>MH Marlborough ED</t>
  </si>
  <si>
    <t>MH Shoreline ED</t>
  </si>
  <si>
    <t>Middlesex Hospital ED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</si>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</sst>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47854470</v>
      </c>
      <c r="D13" s="22">
        <v>22406000</v>
      </c>
      <c r="E13" s="22">
        <f t="shared" ref="E13:E22" si="0">D13-C13</f>
        <v>-25448470</v>
      </c>
      <c r="F13" s="23">
        <f t="shared" ref="F13:F22" si="1">IF(C13=0,0,E13/C13)</f>
        <v>-0.53178877542683056</v>
      </c>
    </row>
    <row r="14" spans="1:8" ht="24" customHeight="1" x14ac:dyDescent="0.2">
      <c r="A14" s="20">
        <v>2</v>
      </c>
      <c r="B14" s="21" t="s">
        <v>17</v>
      </c>
      <c r="C14" s="22">
        <v>10160000</v>
      </c>
      <c r="D14" s="22">
        <v>30358000</v>
      </c>
      <c r="E14" s="22">
        <f t="shared" si="0"/>
        <v>20198000</v>
      </c>
      <c r="F14" s="23">
        <f t="shared" si="1"/>
        <v>1.9879921259842519</v>
      </c>
    </row>
    <row r="15" spans="1:8" ht="24" customHeight="1" x14ac:dyDescent="0.2">
      <c r="A15" s="20">
        <v>3</v>
      </c>
      <c r="B15" s="21" t="s">
        <v>18</v>
      </c>
      <c r="C15" s="22">
        <v>42766700</v>
      </c>
      <c r="D15" s="22">
        <v>40685950</v>
      </c>
      <c r="E15" s="22">
        <f t="shared" si="0"/>
        <v>-2080750</v>
      </c>
      <c r="F15" s="23">
        <f t="shared" si="1"/>
        <v>-4.8653508454007441E-2</v>
      </c>
    </row>
    <row r="16" spans="1:8" ht="24" customHeight="1" x14ac:dyDescent="0.2">
      <c r="A16" s="20">
        <v>4</v>
      </c>
      <c r="B16" s="21" t="s">
        <v>19</v>
      </c>
      <c r="C16" s="22">
        <v>2773844</v>
      </c>
      <c r="D16" s="22">
        <v>1896000</v>
      </c>
      <c r="E16" s="22">
        <f t="shared" si="0"/>
        <v>-877844</v>
      </c>
      <c r="F16" s="23">
        <f t="shared" si="1"/>
        <v>-0.31647201500877481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129301</v>
      </c>
      <c r="E18" s="22">
        <f t="shared" si="0"/>
        <v>129301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1190149</v>
      </c>
      <c r="D19" s="22">
        <v>1091607</v>
      </c>
      <c r="E19" s="22">
        <f t="shared" si="0"/>
        <v>-98542</v>
      </c>
      <c r="F19" s="23">
        <f t="shared" si="1"/>
        <v>-8.279803621227258E-2</v>
      </c>
    </row>
    <row r="20" spans="1:11" ht="24" customHeight="1" x14ac:dyDescent="0.2">
      <c r="A20" s="20">
        <v>8</v>
      </c>
      <c r="B20" s="21" t="s">
        <v>23</v>
      </c>
      <c r="C20" s="22">
        <v>2799860</v>
      </c>
      <c r="D20" s="22">
        <v>3228454</v>
      </c>
      <c r="E20" s="22">
        <f t="shared" si="0"/>
        <v>428594</v>
      </c>
      <c r="F20" s="23">
        <f t="shared" si="1"/>
        <v>0.15307693956126378</v>
      </c>
    </row>
    <row r="21" spans="1:11" ht="24" customHeight="1" x14ac:dyDescent="0.2">
      <c r="A21" s="20">
        <v>9</v>
      </c>
      <c r="B21" s="21" t="s">
        <v>24</v>
      </c>
      <c r="C21" s="22">
        <v>2948541</v>
      </c>
      <c r="D21" s="22">
        <v>3200000</v>
      </c>
      <c r="E21" s="22">
        <f t="shared" si="0"/>
        <v>251459</v>
      </c>
      <c r="F21" s="23">
        <f t="shared" si="1"/>
        <v>8.5282517692648663E-2</v>
      </c>
    </row>
    <row r="22" spans="1:11" ht="24" customHeight="1" x14ac:dyDescent="0.25">
      <c r="A22" s="24"/>
      <c r="B22" s="25" t="s">
        <v>25</v>
      </c>
      <c r="C22" s="26">
        <f>SUM(C13:C21)</f>
        <v>110493564</v>
      </c>
      <c r="D22" s="26">
        <f>SUM(D13:D21)</f>
        <v>102995312</v>
      </c>
      <c r="E22" s="26">
        <f t="shared" si="0"/>
        <v>-7498252</v>
      </c>
      <c r="F22" s="27">
        <f t="shared" si="1"/>
        <v>-6.7861436707752493E-2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10936569</v>
      </c>
      <c r="D25" s="22">
        <v>10752462</v>
      </c>
      <c r="E25" s="22">
        <f>D25-C25</f>
        <v>-184107</v>
      </c>
      <c r="F25" s="23">
        <f>IF(C25=0,0,E25/C25)</f>
        <v>-1.6834072916286635E-2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118316405</v>
      </c>
      <c r="D26" s="22">
        <v>102946004</v>
      </c>
      <c r="E26" s="22">
        <f>D26-C26</f>
        <v>-15370401</v>
      </c>
      <c r="F26" s="23">
        <f>IF(C26=0,0,E26/C26)</f>
        <v>-0.12990929702436446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19086251</v>
      </c>
      <c r="D28" s="22">
        <v>17670207</v>
      </c>
      <c r="E28" s="22">
        <f>D28-C28</f>
        <v>-1416044</v>
      </c>
      <c r="F28" s="23">
        <f>IF(C28=0,0,E28/C28)</f>
        <v>-7.4191835787971144E-2</v>
      </c>
    </row>
    <row r="29" spans="1:11" ht="24" customHeight="1" x14ac:dyDescent="0.25">
      <c r="A29" s="24"/>
      <c r="B29" s="25" t="s">
        <v>32</v>
      </c>
      <c r="C29" s="26">
        <f>SUM(C25:C28)</f>
        <v>148339225</v>
      </c>
      <c r="D29" s="26">
        <f>SUM(D25:D28)</f>
        <v>131368673</v>
      </c>
      <c r="E29" s="26">
        <f>D29-C29</f>
        <v>-16970552</v>
      </c>
      <c r="F29" s="27">
        <f>IF(C29=0,0,E29/C29)</f>
        <v>-0.11440367171933115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11001880</v>
      </c>
      <c r="D32" s="22">
        <v>15289000</v>
      </c>
      <c r="E32" s="22">
        <f>D32-C32</f>
        <v>4287120</v>
      </c>
      <c r="F32" s="23">
        <f>IF(C32=0,0,E32/C32)</f>
        <v>0.38967158340210944</v>
      </c>
    </row>
    <row r="33" spans="1:8" ht="24" customHeight="1" x14ac:dyDescent="0.2">
      <c r="A33" s="20">
        <v>7</v>
      </c>
      <c r="B33" s="21" t="s">
        <v>35</v>
      </c>
      <c r="C33" s="22">
        <v>11981815</v>
      </c>
      <c r="D33" s="22">
        <v>12905000</v>
      </c>
      <c r="E33" s="22">
        <f>D33-C33</f>
        <v>923185</v>
      </c>
      <c r="F33" s="23">
        <f>IF(C33=0,0,E33/C33)</f>
        <v>7.7048844436339567E-2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453616450</v>
      </c>
      <c r="D36" s="22">
        <v>482602053</v>
      </c>
      <c r="E36" s="22">
        <f>D36-C36</f>
        <v>28985603</v>
      </c>
      <c r="F36" s="23">
        <f>IF(C36=0,0,E36/C36)</f>
        <v>6.3898923859573437E-2</v>
      </c>
    </row>
    <row r="37" spans="1:8" ht="24" customHeight="1" x14ac:dyDescent="0.2">
      <c r="A37" s="20">
        <v>2</v>
      </c>
      <c r="B37" s="21" t="s">
        <v>39</v>
      </c>
      <c r="C37" s="22">
        <v>275553635</v>
      </c>
      <c r="D37" s="22">
        <v>299995075</v>
      </c>
      <c r="E37" s="22">
        <f>D37-C37</f>
        <v>24441440</v>
      </c>
      <c r="F37" s="23">
        <f>IF(C37=0,0,E37/C37)</f>
        <v>8.8699392406853927E-2</v>
      </c>
    </row>
    <row r="38" spans="1:8" ht="24" customHeight="1" x14ac:dyDescent="0.25">
      <c r="A38" s="24"/>
      <c r="B38" s="25" t="s">
        <v>40</v>
      </c>
      <c r="C38" s="26">
        <f>C36-C37</f>
        <v>178062815</v>
      </c>
      <c r="D38" s="26">
        <f>D36-D37</f>
        <v>182606978</v>
      </c>
      <c r="E38" s="26">
        <f>D38-C38</f>
        <v>4544163</v>
      </c>
      <c r="F38" s="27">
        <f>IF(C38=0,0,E38/C38)</f>
        <v>2.5519999782099366E-2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10138450</v>
      </c>
      <c r="D40" s="22">
        <v>12763404</v>
      </c>
      <c r="E40" s="22">
        <f>D40-C40</f>
        <v>2624954</v>
      </c>
      <c r="F40" s="23">
        <f>IF(C40=0,0,E40/C40)</f>
        <v>0.25891078024747372</v>
      </c>
    </row>
    <row r="41" spans="1:8" ht="24" customHeight="1" x14ac:dyDescent="0.25">
      <c r="A41" s="24"/>
      <c r="B41" s="25" t="s">
        <v>42</v>
      </c>
      <c r="C41" s="26">
        <f>+C38+C40</f>
        <v>188201265</v>
      </c>
      <c r="D41" s="26">
        <f>+D38+D40</f>
        <v>195370382</v>
      </c>
      <c r="E41" s="26">
        <f>D41-C41</f>
        <v>7169117</v>
      </c>
      <c r="F41" s="27">
        <f>IF(C41=0,0,E41/C41)</f>
        <v>3.8092820470680681E-2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470017749</v>
      </c>
      <c r="D43" s="26">
        <f>D22+D29+D31+D32+D33+D41</f>
        <v>457928367</v>
      </c>
      <c r="E43" s="26">
        <f>D43-C43</f>
        <v>-12089382</v>
      </c>
      <c r="F43" s="27">
        <f>IF(C43=0,0,E43/C43)</f>
        <v>-2.5721118033778762E-2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18972638</v>
      </c>
      <c r="D49" s="22">
        <v>18656957</v>
      </c>
      <c r="E49" s="22">
        <f t="shared" ref="E49:E56" si="2">D49-C49</f>
        <v>-315681</v>
      </c>
      <c r="F49" s="23">
        <f t="shared" ref="F49:F56" si="3">IF(C49=0,0,E49/C49)</f>
        <v>-1.6638751026610006E-2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28400357</v>
      </c>
      <c r="D50" s="22">
        <v>29448800</v>
      </c>
      <c r="E50" s="22">
        <f t="shared" si="2"/>
        <v>1048443</v>
      </c>
      <c r="F50" s="23">
        <f t="shared" si="3"/>
        <v>3.6916542985709649E-2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965643</v>
      </c>
      <c r="D51" s="22">
        <v>13580</v>
      </c>
      <c r="E51" s="22">
        <f t="shared" si="2"/>
        <v>-952063</v>
      </c>
      <c r="F51" s="23">
        <f t="shared" si="3"/>
        <v>-0.98593683172766744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3410000</v>
      </c>
      <c r="D53" s="22">
        <v>3689000</v>
      </c>
      <c r="E53" s="22">
        <f t="shared" si="2"/>
        <v>279000</v>
      </c>
      <c r="F53" s="23">
        <f t="shared" si="3"/>
        <v>8.1818181818181818E-2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5244</v>
      </c>
      <c r="D54" s="22">
        <v>0</v>
      </c>
      <c r="E54" s="22">
        <f t="shared" si="2"/>
        <v>-5244</v>
      </c>
      <c r="F54" s="23">
        <f t="shared" si="3"/>
        <v>-1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4833162</v>
      </c>
      <c r="D55" s="22">
        <v>4521663</v>
      </c>
      <c r="E55" s="22">
        <f t="shared" si="2"/>
        <v>-311499</v>
      </c>
      <c r="F55" s="23">
        <f t="shared" si="3"/>
        <v>-6.4450353619431758E-2</v>
      </c>
    </row>
    <row r="56" spans="1:6" ht="24" customHeight="1" x14ac:dyDescent="0.25">
      <c r="A56" s="24"/>
      <c r="B56" s="25" t="s">
        <v>54</v>
      </c>
      <c r="C56" s="26">
        <f>SUM(C49:C55)</f>
        <v>56587044</v>
      </c>
      <c r="D56" s="26">
        <f>SUM(D49:D55)</f>
        <v>56330000</v>
      </c>
      <c r="E56" s="26">
        <f t="shared" si="2"/>
        <v>-257044</v>
      </c>
      <c r="F56" s="27">
        <f t="shared" si="3"/>
        <v>-4.5424532159693658E-3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52587952</v>
      </c>
      <c r="D59" s="22">
        <v>48150307</v>
      </c>
      <c r="E59" s="22">
        <f>D59-C59</f>
        <v>-4437645</v>
      </c>
      <c r="F59" s="23">
        <f>IF(C59=0,0,E59/C59)</f>
        <v>-8.4385202907312301E-2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52587952</v>
      </c>
      <c r="D61" s="26">
        <f>SUM(D59:D60)</f>
        <v>48150307</v>
      </c>
      <c r="E61" s="26">
        <f>D61-C61</f>
        <v>-4437645</v>
      </c>
      <c r="F61" s="27">
        <f>IF(C61=0,0,E61/C61)</f>
        <v>-8.4385202907312301E-2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64263947</v>
      </c>
      <c r="D63" s="22">
        <v>48654915</v>
      </c>
      <c r="E63" s="22">
        <f>D63-C63</f>
        <v>-15609032</v>
      </c>
      <c r="F63" s="23">
        <f>IF(C63=0,0,E63/C63)</f>
        <v>-0.24288940733752318</v>
      </c>
    </row>
    <row r="64" spans="1:6" ht="24" customHeight="1" x14ac:dyDescent="0.2">
      <c r="A64" s="20">
        <v>4</v>
      </c>
      <c r="B64" s="21" t="s">
        <v>60</v>
      </c>
      <c r="C64" s="22">
        <v>34622749</v>
      </c>
      <c r="D64" s="22">
        <v>35902006</v>
      </c>
      <c r="E64" s="22">
        <f>D64-C64</f>
        <v>1279257</v>
      </c>
      <c r="F64" s="23">
        <f>IF(C64=0,0,E64/C64)</f>
        <v>3.6948452591098413E-2</v>
      </c>
    </row>
    <row r="65" spans="1:6" ht="24" customHeight="1" x14ac:dyDescent="0.25">
      <c r="A65" s="24"/>
      <c r="B65" s="25" t="s">
        <v>61</v>
      </c>
      <c r="C65" s="26">
        <f>SUM(C61:C64)</f>
        <v>151474648</v>
      </c>
      <c r="D65" s="26">
        <f>SUM(D61:D64)</f>
        <v>132707228</v>
      </c>
      <c r="E65" s="26">
        <f>D65-C65</f>
        <v>-18767420</v>
      </c>
      <c r="F65" s="27">
        <f>IF(C65=0,0,E65/C65)</f>
        <v>-0.12389809283465046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245189354</v>
      </c>
      <c r="D70" s="22">
        <v>251796435</v>
      </c>
      <c r="E70" s="22">
        <f>D70-C70</f>
        <v>6607081</v>
      </c>
      <c r="F70" s="23">
        <f>IF(C70=0,0,E70/C70)</f>
        <v>2.6946851044764367E-2</v>
      </c>
    </row>
    <row r="71" spans="1:6" ht="24" customHeight="1" x14ac:dyDescent="0.2">
      <c r="A71" s="20">
        <v>2</v>
      </c>
      <c r="B71" s="21" t="s">
        <v>65</v>
      </c>
      <c r="C71" s="22">
        <v>9788808</v>
      </c>
      <c r="D71" s="22">
        <v>10115458</v>
      </c>
      <c r="E71" s="22">
        <f>D71-C71</f>
        <v>326650</v>
      </c>
      <c r="F71" s="23">
        <f>IF(C71=0,0,E71/C71)</f>
        <v>3.3369742260753302E-2</v>
      </c>
    </row>
    <row r="72" spans="1:6" ht="24" customHeight="1" x14ac:dyDescent="0.2">
      <c r="A72" s="20">
        <v>3</v>
      </c>
      <c r="B72" s="21" t="s">
        <v>66</v>
      </c>
      <c r="C72" s="22">
        <v>6977895</v>
      </c>
      <c r="D72" s="22">
        <v>6979246</v>
      </c>
      <c r="E72" s="22">
        <f>D72-C72</f>
        <v>1351</v>
      </c>
      <c r="F72" s="23">
        <f>IF(C72=0,0,E72/C72)</f>
        <v>1.9361139713337618E-4</v>
      </c>
    </row>
    <row r="73" spans="1:6" ht="24" customHeight="1" x14ac:dyDescent="0.25">
      <c r="A73" s="20"/>
      <c r="B73" s="25" t="s">
        <v>67</v>
      </c>
      <c r="C73" s="26">
        <f>SUM(C70:C72)</f>
        <v>261956057</v>
      </c>
      <c r="D73" s="26">
        <f>SUM(D70:D72)</f>
        <v>268891139</v>
      </c>
      <c r="E73" s="26">
        <f>D73-C73</f>
        <v>6935082</v>
      </c>
      <c r="F73" s="27">
        <f>IF(C73=0,0,E73/C73)</f>
        <v>2.647421891832797E-2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470017749</v>
      </c>
      <c r="D75" s="26">
        <f>D56+D65+D67+D73</f>
        <v>457928367</v>
      </c>
      <c r="E75" s="26">
        <f>D75-C75</f>
        <v>-12089382</v>
      </c>
      <c r="F75" s="27">
        <f>IF(C75=0,0,E75/C75)</f>
        <v>-2.5721118033778762E-2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1" fitToHeight="0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opLeftCell="A55"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370244000</v>
      </c>
      <c r="D11" s="76">
        <v>377006000</v>
      </c>
      <c r="E11" s="76">
        <v>403364000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13560000</v>
      </c>
      <c r="D12" s="185">
        <v>14648000</v>
      </c>
      <c r="E12" s="185">
        <v>12659000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383804000</v>
      </c>
      <c r="D13" s="76">
        <f>+D11+D12</f>
        <v>391654000</v>
      </c>
      <c r="E13" s="76">
        <f>+E11+E12</f>
        <v>416023000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366898000</v>
      </c>
      <c r="D14" s="185">
        <v>390600000</v>
      </c>
      <c r="E14" s="185">
        <v>397793000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16906000</v>
      </c>
      <c r="D15" s="76">
        <f>+D13-D14</f>
        <v>1054000</v>
      </c>
      <c r="E15" s="76">
        <f>+E13-E14</f>
        <v>18230000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14998000</v>
      </c>
      <c r="D16" s="185">
        <v>7195000</v>
      </c>
      <c r="E16" s="185">
        <v>12383085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31904000</v>
      </c>
      <c r="D17" s="76">
        <f>D15+D16</f>
        <v>8249000</v>
      </c>
      <c r="E17" s="76">
        <f>E15+E16</f>
        <v>30613085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4.2391963931976272E-2</v>
      </c>
      <c r="D20" s="189">
        <f>IF(+D27=0,0,+D24/+D27)</f>
        <v>2.6426040932784087E-3</v>
      </c>
      <c r="E20" s="189">
        <f>IF(+E27=0,0,+E24/+E27)</f>
        <v>4.2553083717286604E-2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3.760763486642494E-2</v>
      </c>
      <c r="D21" s="189">
        <f>IF(+D27=0,0,+D26/+D27)</f>
        <v>1.803940839766428E-2</v>
      </c>
      <c r="E21" s="189">
        <f>IF(+E27=0,0,+E26/+E27)</f>
        <v>2.8905016603580688E-2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7.9999598798401211E-2</v>
      </c>
      <c r="D22" s="189">
        <f>IF(+D27=0,0,+D28/+D27)</f>
        <v>2.0682012490942689E-2</v>
      </c>
      <c r="E22" s="189">
        <f>IF(+E27=0,0,+E28/+E27)</f>
        <v>7.1458100320867288E-2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16906000</v>
      </c>
      <c r="D24" s="76">
        <f>+D15</f>
        <v>1054000</v>
      </c>
      <c r="E24" s="76">
        <f>+E15</f>
        <v>18230000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383804000</v>
      </c>
      <c r="D25" s="76">
        <f>+D13</f>
        <v>391654000</v>
      </c>
      <c r="E25" s="76">
        <f>+E13</f>
        <v>416023000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14998000</v>
      </c>
      <c r="D26" s="76">
        <f>+D16</f>
        <v>7195000</v>
      </c>
      <c r="E26" s="76">
        <f>+E16</f>
        <v>12383085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398802000</v>
      </c>
      <c r="D27" s="76">
        <f>SUM(D25:D26)</f>
        <v>398849000</v>
      </c>
      <c r="E27" s="76">
        <f>SUM(E25:E26)</f>
        <v>428406085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31904000</v>
      </c>
      <c r="D28" s="76">
        <f>+D17</f>
        <v>8249000</v>
      </c>
      <c r="E28" s="76">
        <f>+E17</f>
        <v>30613085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276492000</v>
      </c>
      <c r="D31" s="76">
        <v>252186000</v>
      </c>
      <c r="E31" s="76">
        <v>259367000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293600000</v>
      </c>
      <c r="D32" s="76">
        <v>269019000</v>
      </c>
      <c r="E32" s="76">
        <v>276509000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23281000</v>
      </c>
      <c r="D33" s="76">
        <f>+D32-C32</f>
        <v>-24581000</v>
      </c>
      <c r="E33" s="76">
        <f>+E32-D32</f>
        <v>7490000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1.0861000000000001</v>
      </c>
      <c r="D34" s="193">
        <f>IF(C32=0,0,+D33/C32)</f>
        <v>-8.3722752043596735E-2</v>
      </c>
      <c r="E34" s="193">
        <f>IF(D32=0,0,+E33/D32)</f>
        <v>2.7841899642776162E-2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1.7735176974524687</v>
      </c>
      <c r="D38" s="338">
        <f>IF(+D40=0,0,+D39/+D40)</f>
        <v>1.9181048164792756</v>
      </c>
      <c r="E38" s="338">
        <f>IF(+E40=0,0,+E39/+E40)</f>
        <v>1.8116754506697104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118001000</v>
      </c>
      <c r="D39" s="341">
        <v>114812000</v>
      </c>
      <c r="E39" s="341">
        <v>107936000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66535000</v>
      </c>
      <c r="D40" s="341">
        <v>59857000</v>
      </c>
      <c r="E40" s="341">
        <v>59578000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65.013014357963186</v>
      </c>
      <c r="D42" s="343">
        <f>IF((D48/365)=0,0,+D45/(D48/365))</f>
        <v>60.338899266979098</v>
      </c>
      <c r="E42" s="343">
        <f>IF((E48/365)=0,0,+E45/(E48/365))</f>
        <v>54.366161656818711</v>
      </c>
    </row>
    <row r="43" spans="1:14" ht="24" customHeight="1" x14ac:dyDescent="0.2">
      <c r="A43" s="339">
        <v>5</v>
      </c>
      <c r="B43" s="344" t="s">
        <v>16</v>
      </c>
      <c r="C43" s="345">
        <v>39755000</v>
      </c>
      <c r="D43" s="345">
        <v>50370000</v>
      </c>
      <c r="E43" s="345">
        <v>25150000</v>
      </c>
    </row>
    <row r="44" spans="1:14" ht="24" customHeight="1" x14ac:dyDescent="0.2">
      <c r="A44" s="339">
        <v>6</v>
      </c>
      <c r="B44" s="346" t="s">
        <v>17</v>
      </c>
      <c r="C44" s="345">
        <v>21491000</v>
      </c>
      <c r="D44" s="345">
        <v>10160000</v>
      </c>
      <c r="E44" s="345">
        <v>30358000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61246000</v>
      </c>
      <c r="D45" s="341">
        <f>+D43+D44</f>
        <v>60530000</v>
      </c>
      <c r="E45" s="341">
        <f>+E43+E44</f>
        <v>55508000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366898000</v>
      </c>
      <c r="D46" s="341">
        <f>+D14</f>
        <v>390600000</v>
      </c>
      <c r="E46" s="341">
        <f>+E14</f>
        <v>397793000</v>
      </c>
    </row>
    <row r="47" spans="1:14" ht="24" customHeight="1" x14ac:dyDescent="0.2">
      <c r="A47" s="339">
        <v>9</v>
      </c>
      <c r="B47" s="340" t="s">
        <v>356</v>
      </c>
      <c r="C47" s="341">
        <v>23047000</v>
      </c>
      <c r="D47" s="341">
        <v>24444000</v>
      </c>
      <c r="E47" s="341">
        <v>25127000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343851000</v>
      </c>
      <c r="D48" s="341">
        <f>+D46-D47</f>
        <v>366156000</v>
      </c>
      <c r="E48" s="341">
        <f>+E46-E47</f>
        <v>372666000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44.681061678244617</v>
      </c>
      <c r="D50" s="350">
        <f>IF((D55/365)=0,0,+D54/(D55/365))</f>
        <v>42.762409616823071</v>
      </c>
      <c r="E50" s="350">
        <f>IF((E55/365)=0,0,+E54/(E55/365))</f>
        <v>38.548581095486959</v>
      </c>
    </row>
    <row r="51" spans="1:5" ht="24" customHeight="1" x14ac:dyDescent="0.2">
      <c r="A51" s="339">
        <v>12</v>
      </c>
      <c r="B51" s="344" t="s">
        <v>359</v>
      </c>
      <c r="C51" s="351">
        <v>44515000</v>
      </c>
      <c r="D51" s="351">
        <v>44169000</v>
      </c>
      <c r="E51" s="351">
        <v>42471000</v>
      </c>
    </row>
    <row r="52" spans="1:5" ht="24" customHeight="1" x14ac:dyDescent="0.2">
      <c r="A52" s="339">
        <v>13</v>
      </c>
      <c r="B52" s="344" t="s">
        <v>21</v>
      </c>
      <c r="C52" s="341">
        <v>808000</v>
      </c>
      <c r="D52" s="341">
        <v>0</v>
      </c>
      <c r="E52" s="341">
        <v>129301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45323000</v>
      </c>
      <c r="D54" s="352">
        <f>+D51+D52-D53</f>
        <v>44169000</v>
      </c>
      <c r="E54" s="352">
        <f>+E51+E52-E53</f>
        <v>42600301</v>
      </c>
    </row>
    <row r="55" spans="1:5" ht="24" customHeight="1" x14ac:dyDescent="0.2">
      <c r="A55" s="339">
        <v>16</v>
      </c>
      <c r="B55" s="340" t="s">
        <v>75</v>
      </c>
      <c r="C55" s="341">
        <f>+C11</f>
        <v>370244000</v>
      </c>
      <c r="D55" s="341">
        <f>+D11</f>
        <v>377006000</v>
      </c>
      <c r="E55" s="341">
        <f>+E11</f>
        <v>403364000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70.627321136189806</v>
      </c>
      <c r="D57" s="355">
        <f>IF((D61/365)=0,0,+D58/(D61/365))</f>
        <v>59.668024011623459</v>
      </c>
      <c r="E57" s="355">
        <f>IF((E61/365)=0,0,+E58/(E61/365))</f>
        <v>58.352438913128651</v>
      </c>
    </row>
    <row r="58" spans="1:5" ht="24" customHeight="1" x14ac:dyDescent="0.2">
      <c r="A58" s="339">
        <v>18</v>
      </c>
      <c r="B58" s="340" t="s">
        <v>54</v>
      </c>
      <c r="C58" s="353">
        <f>+C40</f>
        <v>66535000</v>
      </c>
      <c r="D58" s="353">
        <f>+D40</f>
        <v>59857000</v>
      </c>
      <c r="E58" s="353">
        <f>+E40</f>
        <v>59578000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366898000</v>
      </c>
      <c r="D59" s="353">
        <f t="shared" si="0"/>
        <v>390600000</v>
      </c>
      <c r="E59" s="353">
        <f t="shared" si="0"/>
        <v>397793000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23047000</v>
      </c>
      <c r="D60" s="356">
        <f t="shared" si="0"/>
        <v>24444000</v>
      </c>
      <c r="E60" s="356">
        <f t="shared" si="0"/>
        <v>25127000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343851000</v>
      </c>
      <c r="D61" s="353">
        <f>+D59-D60</f>
        <v>366156000</v>
      </c>
      <c r="E61" s="353">
        <f>+E59-E60</f>
        <v>372666000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58.995509027156821</v>
      </c>
      <c r="D65" s="357">
        <f>IF(D67=0,0,(D66/D67)*100)</f>
        <v>55.406830417643249</v>
      </c>
      <c r="E65" s="357">
        <f>IF(E67=0,0,(E66/E67)*100)</f>
        <v>58.381296634897573</v>
      </c>
    </row>
    <row r="66" spans="1:5" ht="24" customHeight="1" x14ac:dyDescent="0.2">
      <c r="A66" s="339">
        <v>2</v>
      </c>
      <c r="B66" s="340" t="s">
        <v>67</v>
      </c>
      <c r="C66" s="353">
        <f>+C32</f>
        <v>293600000</v>
      </c>
      <c r="D66" s="353">
        <f>+D32</f>
        <v>269019000</v>
      </c>
      <c r="E66" s="353">
        <f>+E32</f>
        <v>276509000</v>
      </c>
    </row>
    <row r="67" spans="1:5" ht="24" customHeight="1" x14ac:dyDescent="0.2">
      <c r="A67" s="339">
        <v>3</v>
      </c>
      <c r="B67" s="340" t="s">
        <v>43</v>
      </c>
      <c r="C67" s="353">
        <v>497665000</v>
      </c>
      <c r="D67" s="353">
        <v>485534000</v>
      </c>
      <c r="E67" s="353">
        <v>473626000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42.747123664905992</v>
      </c>
      <c r="D69" s="357">
        <f>IF(D75=0,0,(D72/D75)*100)</f>
        <v>27.844920833652726</v>
      </c>
      <c r="E69" s="357">
        <f>IF(E75=0,0,(E72/E75)*100)</f>
        <v>49.625260412029697</v>
      </c>
    </row>
    <row r="70" spans="1:5" ht="24" customHeight="1" x14ac:dyDescent="0.2">
      <c r="A70" s="339">
        <v>5</v>
      </c>
      <c r="B70" s="340" t="s">
        <v>366</v>
      </c>
      <c r="C70" s="353">
        <f>+C28</f>
        <v>31904000</v>
      </c>
      <c r="D70" s="353">
        <f>+D28</f>
        <v>8249000</v>
      </c>
      <c r="E70" s="353">
        <f>+E28</f>
        <v>30613085</v>
      </c>
    </row>
    <row r="71" spans="1:5" ht="24" customHeight="1" x14ac:dyDescent="0.2">
      <c r="A71" s="339">
        <v>6</v>
      </c>
      <c r="B71" s="340" t="s">
        <v>356</v>
      </c>
      <c r="C71" s="356">
        <f>+C47</f>
        <v>23047000</v>
      </c>
      <c r="D71" s="356">
        <f>+D47</f>
        <v>24444000</v>
      </c>
      <c r="E71" s="356">
        <f>+E47</f>
        <v>25127000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54951000</v>
      </c>
      <c r="D72" s="353">
        <f>+D70+D71</f>
        <v>32693000</v>
      </c>
      <c r="E72" s="353">
        <f>+E70+E71</f>
        <v>55740085</v>
      </c>
    </row>
    <row r="73" spans="1:5" ht="24" customHeight="1" x14ac:dyDescent="0.2">
      <c r="A73" s="339">
        <v>8</v>
      </c>
      <c r="B73" s="340" t="s">
        <v>54</v>
      </c>
      <c r="C73" s="341">
        <f>+C40</f>
        <v>66535000</v>
      </c>
      <c r="D73" s="341">
        <f>+D40</f>
        <v>59857000</v>
      </c>
      <c r="E73" s="341">
        <f>+E40</f>
        <v>59578000</v>
      </c>
    </row>
    <row r="74" spans="1:5" ht="24" customHeight="1" x14ac:dyDescent="0.2">
      <c r="A74" s="339">
        <v>9</v>
      </c>
      <c r="B74" s="340" t="s">
        <v>58</v>
      </c>
      <c r="C74" s="353">
        <v>62014000</v>
      </c>
      <c r="D74" s="353">
        <v>57554000</v>
      </c>
      <c r="E74" s="353">
        <v>52744000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128549000</v>
      </c>
      <c r="D75" s="341">
        <f>+D73+D74</f>
        <v>117411000</v>
      </c>
      <c r="E75" s="341">
        <f>+E73+E74</f>
        <v>112322000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17.438571034886142</v>
      </c>
      <c r="D77" s="359">
        <f>IF(D80=0,0,(D78/D80)*100)</f>
        <v>17.623624733214317</v>
      </c>
      <c r="E77" s="359">
        <f>IF(E80=0,0,(E78/E80)*100)</f>
        <v>16.019292155272694</v>
      </c>
    </row>
    <row r="78" spans="1:5" ht="24" customHeight="1" x14ac:dyDescent="0.2">
      <c r="A78" s="339">
        <v>12</v>
      </c>
      <c r="B78" s="340" t="s">
        <v>58</v>
      </c>
      <c r="C78" s="341">
        <f>+C74</f>
        <v>62014000</v>
      </c>
      <c r="D78" s="341">
        <f>+D74</f>
        <v>57554000</v>
      </c>
      <c r="E78" s="341">
        <f>+E74</f>
        <v>52744000</v>
      </c>
    </row>
    <row r="79" spans="1:5" ht="24" customHeight="1" x14ac:dyDescent="0.2">
      <c r="A79" s="339">
        <v>13</v>
      </c>
      <c r="B79" s="340" t="s">
        <v>67</v>
      </c>
      <c r="C79" s="341">
        <f>+C32</f>
        <v>293600000</v>
      </c>
      <c r="D79" s="341">
        <f>+D32</f>
        <v>269019000</v>
      </c>
      <c r="E79" s="341">
        <f>+E32</f>
        <v>276509000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355614000</v>
      </c>
      <c r="D80" s="341">
        <f>+D78+D79</f>
        <v>326573000</v>
      </c>
      <c r="E80" s="341">
        <f>+E78+E79</f>
        <v>329253000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8" fitToHeight="0" orientation="portrait" r:id="rId1"/>
  <headerFooter>
    <oddHeader>_x000D_
                &amp;L&amp;8OFFICE OF HEALTH CARE ACCESS&amp;C&amp;8TWELVE MONTHS ACTUAL FILING&amp;R&amp;8MIDDLESEX HEALTH SYSTEM, INC.</oddHeader>
    <oddFooter>&amp;L&amp;8REPORT 385&amp;C&amp;8PAGE &amp;P of &amp;N&amp;R&amp;8&amp;D, &amp;8&amp;T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13" zoomScale="75" zoomScaleSheetLayoutView="75" workbookViewId="0">
      <selection activeCell="B38" sqref="B3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35793</v>
      </c>
      <c r="D11" s="376">
        <v>10253</v>
      </c>
      <c r="E11" s="376">
        <v>10218</v>
      </c>
      <c r="F11" s="377">
        <v>126</v>
      </c>
      <c r="G11" s="377">
        <v>155</v>
      </c>
      <c r="H11" s="378">
        <f>IF(F11=0,0,$C11/(F11*365))</f>
        <v>0.77827788649706453</v>
      </c>
      <c r="I11" s="378">
        <f>IF(G11=0,0,$C11/(G11*365))</f>
        <v>0.63266460450729123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6828</v>
      </c>
      <c r="D13" s="376">
        <v>666</v>
      </c>
      <c r="E13" s="376">
        <v>0</v>
      </c>
      <c r="F13" s="377">
        <v>20</v>
      </c>
      <c r="G13" s="377">
        <v>24</v>
      </c>
      <c r="H13" s="378">
        <f>IF(F13=0,0,$C13/(F13*365))</f>
        <v>0.93534246575342461</v>
      </c>
      <c r="I13" s="378">
        <f>IF(G13=0,0,$C13/(G13*365))</f>
        <v>0.77945205479452051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6564</v>
      </c>
      <c r="D16" s="376">
        <v>895</v>
      </c>
      <c r="E16" s="376">
        <v>888</v>
      </c>
      <c r="F16" s="377">
        <v>18</v>
      </c>
      <c r="G16" s="377">
        <v>20</v>
      </c>
      <c r="H16" s="378">
        <f t="shared" si="0"/>
        <v>0.99908675799086755</v>
      </c>
      <c r="I16" s="378">
        <f t="shared" si="0"/>
        <v>0.89917808219178086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6564</v>
      </c>
      <c r="D17" s="381">
        <f>SUM(D15:D16)</f>
        <v>895</v>
      </c>
      <c r="E17" s="381">
        <f>SUM(E15:E16)</f>
        <v>888</v>
      </c>
      <c r="F17" s="381">
        <f>SUM(F15:F16)</f>
        <v>18</v>
      </c>
      <c r="G17" s="381">
        <f>SUM(G15:G16)</f>
        <v>20</v>
      </c>
      <c r="H17" s="382">
        <f t="shared" si="0"/>
        <v>0.99908675799086755</v>
      </c>
      <c r="I17" s="382">
        <f t="shared" si="0"/>
        <v>0.89917808219178086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2844</v>
      </c>
      <c r="D21" s="376">
        <v>1112</v>
      </c>
      <c r="E21" s="376">
        <v>1112</v>
      </c>
      <c r="F21" s="377">
        <v>9</v>
      </c>
      <c r="G21" s="377">
        <v>23</v>
      </c>
      <c r="H21" s="378">
        <f>IF(F21=0,0,$C21/(F21*365))</f>
        <v>0.86575342465753424</v>
      </c>
      <c r="I21" s="378">
        <f>IF(G21=0,0,$C21/(G21*365))</f>
        <v>0.33877307921381777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2831</v>
      </c>
      <c r="D23" s="376">
        <v>1078</v>
      </c>
      <c r="E23" s="376">
        <v>1075</v>
      </c>
      <c r="F23" s="377">
        <v>10</v>
      </c>
      <c r="G23" s="377">
        <v>23</v>
      </c>
      <c r="H23" s="378">
        <f>IF(F23=0,0,$C23/(F23*365))</f>
        <v>0.77561643835616434</v>
      </c>
      <c r="I23" s="378">
        <f>IF(G23=0,0,$C23/(G23*365))</f>
        <v>0.33722453841572364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52029</v>
      </c>
      <c r="D31" s="384">
        <f>SUM(D10:D29)-D13-D17-D23</f>
        <v>12260</v>
      </c>
      <c r="E31" s="384">
        <f>SUM(E10:E29)-E17-E23</f>
        <v>12218</v>
      </c>
      <c r="F31" s="384">
        <f>SUM(F10:F29)-F17-F23</f>
        <v>173</v>
      </c>
      <c r="G31" s="384">
        <f>SUM(G10:G29)-G17-G23</f>
        <v>222</v>
      </c>
      <c r="H31" s="385">
        <f>IF(F31=0,0,$C31/(F31*365))</f>
        <v>0.82396072531475173</v>
      </c>
      <c r="I31" s="385">
        <f>IF(G31=0,0,$C31/(G31*365))</f>
        <v>0.64209552017771199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54860</v>
      </c>
      <c r="D33" s="384">
        <f>SUM(D10:D29)-D13-D17</f>
        <v>13338</v>
      </c>
      <c r="E33" s="384">
        <f>SUM(E10:E29)-E17</f>
        <v>13293</v>
      </c>
      <c r="F33" s="384">
        <f>SUM(F10:F29)-F17</f>
        <v>183</v>
      </c>
      <c r="G33" s="384">
        <f>SUM(G10:G29)-G17</f>
        <v>245</v>
      </c>
      <c r="H33" s="385">
        <f>IF(F33=0,0,$C33/(F33*365))</f>
        <v>0.82131896100007484</v>
      </c>
      <c r="I33" s="385">
        <f>IF(G33=0,0,$C33/(G33*365))</f>
        <v>0.61347497903270898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54860</v>
      </c>
      <c r="D36" s="384">
        <f t="shared" si="1"/>
        <v>13338</v>
      </c>
      <c r="E36" s="384">
        <f t="shared" si="1"/>
        <v>13293</v>
      </c>
      <c r="F36" s="384">
        <f t="shared" si="1"/>
        <v>183</v>
      </c>
      <c r="G36" s="384">
        <f t="shared" si="1"/>
        <v>245</v>
      </c>
      <c r="H36" s="387">
        <f t="shared" si="1"/>
        <v>0.82131896100007484</v>
      </c>
      <c r="I36" s="387">
        <f t="shared" si="1"/>
        <v>0.61347497903270898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58224</v>
      </c>
      <c r="D37" s="384">
        <v>13617</v>
      </c>
      <c r="E37" s="384">
        <v>13583</v>
      </c>
      <c r="F37" s="386">
        <v>192</v>
      </c>
      <c r="G37" s="386">
        <v>245</v>
      </c>
      <c r="H37" s="385">
        <f>IF(F37=0,0,$C37/(F37*365))</f>
        <v>0.83082191780821912</v>
      </c>
      <c r="I37" s="385">
        <f>IF(G37=0,0,$C37/(G37*365))</f>
        <v>0.65109309477215549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-3364</v>
      </c>
      <c r="D38" s="384">
        <f t="shared" si="2"/>
        <v>-279</v>
      </c>
      <c r="E38" s="384">
        <f t="shared" si="2"/>
        <v>-290</v>
      </c>
      <c r="F38" s="384">
        <f t="shared" si="2"/>
        <v>-9</v>
      </c>
      <c r="G38" s="384">
        <f t="shared" si="2"/>
        <v>0</v>
      </c>
      <c r="H38" s="387">
        <f t="shared" si="2"/>
        <v>-9.5029568081442806E-3</v>
      </c>
      <c r="I38" s="387">
        <f t="shared" si="2"/>
        <v>-3.7618115739446512E-2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-5.7776861775212969E-2</v>
      </c>
      <c r="D40" s="389">
        <f t="shared" si="3"/>
        <v>-2.0489094514210177E-2</v>
      </c>
      <c r="E40" s="389">
        <f t="shared" si="3"/>
        <v>-2.1350217183243762E-2</v>
      </c>
      <c r="F40" s="389">
        <f t="shared" si="3"/>
        <v>-4.6875E-2</v>
      </c>
      <c r="G40" s="389">
        <f t="shared" si="3"/>
        <v>0</v>
      </c>
      <c r="H40" s="389">
        <f t="shared" si="3"/>
        <v>-1.1438018911698804E-2</v>
      </c>
      <c r="I40" s="389">
        <f t="shared" si="3"/>
        <v>-5.7776861775213038E-2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297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25" right="0.25" top="0.75" bottom="0.75" header="0.3" footer="0.3"/>
  <pageSetup scale="68" orientation="landscape" r:id="rId1"/>
  <headerFooter>
    <oddHeader>&amp;LOFFICE OF HEALTH CARE ACCESS&amp;CTWELVE MONTHS ACTUAL FILING&amp;RMIDDLESEX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7134</v>
      </c>
      <c r="D12" s="409">
        <v>6705</v>
      </c>
      <c r="E12" s="409">
        <f>+D12-C12</f>
        <v>-429</v>
      </c>
      <c r="F12" s="410">
        <f>IF(C12=0,0,+E12/C12)</f>
        <v>-6.0134566862910008E-2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10658</v>
      </c>
      <c r="D13" s="409">
        <v>11363</v>
      </c>
      <c r="E13" s="409">
        <f>+D13-C13</f>
        <v>705</v>
      </c>
      <c r="F13" s="410">
        <f>IF(C13=0,0,+E13/C13)</f>
        <v>6.6147494839557133E-2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11719</v>
      </c>
      <c r="D14" s="409">
        <v>12483</v>
      </c>
      <c r="E14" s="409">
        <f>+D14-C14</f>
        <v>764</v>
      </c>
      <c r="F14" s="410">
        <f>IF(C14=0,0,+E14/C14)</f>
        <v>6.5193275876781295E-2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29511</v>
      </c>
      <c r="D16" s="401">
        <f>SUM(D12:D15)</f>
        <v>30551</v>
      </c>
      <c r="E16" s="401">
        <f>+D16-C16</f>
        <v>1040</v>
      </c>
      <c r="F16" s="402">
        <f>IF(C16=0,0,+E16/C16)</f>
        <v>3.5241096540273117E-2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1787</v>
      </c>
      <c r="D19" s="409">
        <v>1511</v>
      </c>
      <c r="E19" s="409">
        <f>+D19-C19</f>
        <v>-276</v>
      </c>
      <c r="F19" s="410">
        <f>IF(C19=0,0,+E19/C19)</f>
        <v>-0.15444879686625629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10200</v>
      </c>
      <c r="D20" s="409">
        <v>10718</v>
      </c>
      <c r="E20" s="409">
        <f>+D20-C20</f>
        <v>518</v>
      </c>
      <c r="F20" s="410">
        <f>IF(C20=0,0,+E20/C20)</f>
        <v>5.0784313725490193E-2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284</v>
      </c>
      <c r="D21" s="409">
        <v>329</v>
      </c>
      <c r="E21" s="409">
        <f>+D21-C21</f>
        <v>45</v>
      </c>
      <c r="F21" s="410">
        <f>IF(C21=0,0,+E21/C21)</f>
        <v>0.15845070422535212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12271</v>
      </c>
      <c r="D23" s="401">
        <f>SUM(D19:D22)</f>
        <v>12558</v>
      </c>
      <c r="E23" s="401">
        <f>+D23-C23</f>
        <v>287</v>
      </c>
      <c r="F23" s="402">
        <f>IF(C23=0,0,+E23/C23)</f>
        <v>2.3388476896748431E-2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2</v>
      </c>
      <c r="D33" s="409">
        <v>0</v>
      </c>
      <c r="E33" s="409">
        <f>+D33-C33</f>
        <v>-2</v>
      </c>
      <c r="F33" s="410">
        <f>IF(C33=0,0,+E33/C33)</f>
        <v>-1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506</v>
      </c>
      <c r="D34" s="409">
        <v>568</v>
      </c>
      <c r="E34" s="409">
        <f>+D34-C34</f>
        <v>62</v>
      </c>
      <c r="F34" s="410">
        <f>IF(C34=0,0,+E34/C34)</f>
        <v>0.1225296442687747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508</v>
      </c>
      <c r="D37" s="401">
        <f>SUM(D33:D36)</f>
        <v>568</v>
      </c>
      <c r="E37" s="401">
        <f>+D37-C37</f>
        <v>60</v>
      </c>
      <c r="F37" s="402">
        <f>IF(C37=0,0,+E37/C37)</f>
        <v>0.11811023622047244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155</v>
      </c>
      <c r="D43" s="409">
        <v>71</v>
      </c>
      <c r="E43" s="409">
        <f>+D43-C43</f>
        <v>-84</v>
      </c>
      <c r="F43" s="410">
        <f>IF(C43=0,0,+E43/C43)</f>
        <v>-0.54193548387096779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6417</v>
      </c>
      <c r="D44" s="409">
        <v>6346</v>
      </c>
      <c r="E44" s="409">
        <f>+D44-C44</f>
        <v>-71</v>
      </c>
      <c r="F44" s="410">
        <f>IF(C44=0,0,+E44/C44)</f>
        <v>-1.1064360292971793E-2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6572</v>
      </c>
      <c r="D45" s="401">
        <f>SUM(D43:D44)</f>
        <v>6417</v>
      </c>
      <c r="E45" s="401">
        <f>+D45-C45</f>
        <v>-155</v>
      </c>
      <c r="F45" s="402">
        <f>IF(C45=0,0,+E45/C45)</f>
        <v>-2.358490566037736E-2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101</v>
      </c>
      <c r="D48" s="409">
        <v>39</v>
      </c>
      <c r="E48" s="409">
        <f>+D48-C48</f>
        <v>-62</v>
      </c>
      <c r="F48" s="410">
        <f>IF(C48=0,0,+E48/C48)</f>
        <v>-0.61386138613861385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212</v>
      </c>
      <c r="D49" s="409">
        <v>150</v>
      </c>
      <c r="E49" s="409">
        <f>+D49-C49</f>
        <v>-62</v>
      </c>
      <c r="F49" s="410">
        <f>IF(C49=0,0,+E49/C49)</f>
        <v>-0.29245283018867924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313</v>
      </c>
      <c r="D50" s="401">
        <f>SUM(D48:D49)</f>
        <v>189</v>
      </c>
      <c r="E50" s="401">
        <f>+D50-C50</f>
        <v>-124</v>
      </c>
      <c r="F50" s="402">
        <f>IF(C50=0,0,+E50/C50)</f>
        <v>-0.3961661341853035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2634</v>
      </c>
      <c r="D63" s="409">
        <v>2555</v>
      </c>
      <c r="E63" s="409">
        <f>+D63-C63</f>
        <v>-79</v>
      </c>
      <c r="F63" s="410">
        <f>IF(C63=0,0,+E63/C63)</f>
        <v>-2.9992406985573272E-2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4865</v>
      </c>
      <c r="D64" s="409">
        <v>5250</v>
      </c>
      <c r="E64" s="409">
        <f>+D64-C64</f>
        <v>385</v>
      </c>
      <c r="F64" s="410">
        <f>IF(C64=0,0,+E64/C64)</f>
        <v>7.9136690647482008E-2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7499</v>
      </c>
      <c r="D65" s="401">
        <f>SUM(D63:D64)</f>
        <v>7805</v>
      </c>
      <c r="E65" s="401">
        <f>+D65-C65</f>
        <v>306</v>
      </c>
      <c r="F65" s="402">
        <f>IF(C65=0,0,+E65/C65)</f>
        <v>4.0805440725430055E-2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951</v>
      </c>
      <c r="D68" s="409">
        <v>997</v>
      </c>
      <c r="E68" s="409">
        <f>+D68-C68</f>
        <v>46</v>
      </c>
      <c r="F68" s="410">
        <f>IF(C68=0,0,+E68/C68)</f>
        <v>4.8370136698212406E-2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2256</v>
      </c>
      <c r="D69" s="409">
        <v>2361</v>
      </c>
      <c r="E69" s="409">
        <f>+D69-C69</f>
        <v>105</v>
      </c>
      <c r="F69" s="412">
        <f>IF(C69=0,0,+E69/C69)</f>
        <v>4.6542553191489359E-2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3207</v>
      </c>
      <c r="D70" s="401">
        <f>SUM(D68:D69)</f>
        <v>3358</v>
      </c>
      <c r="E70" s="401">
        <f>+D70-C70</f>
        <v>151</v>
      </c>
      <c r="F70" s="402">
        <f>IF(C70=0,0,+E70/C70)</f>
        <v>4.7084502650452137E-2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8263</v>
      </c>
      <c r="D73" s="376">
        <v>7940</v>
      </c>
      <c r="E73" s="409">
        <f>+D73-C73</f>
        <v>-323</v>
      </c>
      <c r="F73" s="410">
        <f>IF(C73=0,0,+E73/C73)</f>
        <v>-3.9089918915648073E-2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79563</v>
      </c>
      <c r="D74" s="376">
        <v>77256</v>
      </c>
      <c r="E74" s="409">
        <f>+D74-C74</f>
        <v>-2307</v>
      </c>
      <c r="F74" s="410">
        <f>IF(C74=0,0,+E74/C74)</f>
        <v>-2.8995890049394818E-2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87826</v>
      </c>
      <c r="D75" s="401">
        <f>SUM(D73:D74)</f>
        <v>85196</v>
      </c>
      <c r="E75" s="401">
        <f>SUM(E73:E74)</f>
        <v>-2630</v>
      </c>
      <c r="F75" s="402">
        <f>IF(C75=0,0,+E75/C75)</f>
        <v>-2.9945574203538817E-2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35449</v>
      </c>
      <c r="D81" s="376">
        <v>38267</v>
      </c>
      <c r="E81" s="409">
        <f t="shared" si="0"/>
        <v>2818</v>
      </c>
      <c r="F81" s="410">
        <f t="shared" si="1"/>
        <v>7.9494485034838788E-2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32854</v>
      </c>
      <c r="D85" s="376">
        <v>33691</v>
      </c>
      <c r="E85" s="409">
        <f t="shared" si="0"/>
        <v>837</v>
      </c>
      <c r="F85" s="410">
        <f t="shared" si="1"/>
        <v>2.5476349911730686E-2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26575</v>
      </c>
      <c r="D86" s="376">
        <v>27390</v>
      </c>
      <c r="E86" s="409">
        <f t="shared" si="0"/>
        <v>815</v>
      </c>
      <c r="F86" s="410">
        <f t="shared" si="1"/>
        <v>3.0667920978363124E-2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6055</v>
      </c>
      <c r="D91" s="376">
        <v>5673</v>
      </c>
      <c r="E91" s="409">
        <f t="shared" si="0"/>
        <v>-382</v>
      </c>
      <c r="F91" s="410">
        <f t="shared" si="1"/>
        <v>-6.3088356729975231E-2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100933</v>
      </c>
      <c r="D92" s="381">
        <f>SUM(D79:D91)</f>
        <v>105021</v>
      </c>
      <c r="E92" s="401">
        <f t="shared" si="0"/>
        <v>4088</v>
      </c>
      <c r="F92" s="402">
        <f t="shared" si="1"/>
        <v>4.0502115264581452E-2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59350</v>
      </c>
      <c r="D95" s="414">
        <v>63188</v>
      </c>
      <c r="E95" s="415">
        <f t="shared" ref="E95:E100" si="2">+D95-C95</f>
        <v>3838</v>
      </c>
      <c r="F95" s="412">
        <f t="shared" ref="F95:F100" si="3">IF(C95=0,0,+E95/C95)</f>
        <v>6.466722830665543E-2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4030</v>
      </c>
      <c r="D96" s="414">
        <v>4636</v>
      </c>
      <c r="E96" s="409">
        <f t="shared" si="2"/>
        <v>606</v>
      </c>
      <c r="F96" s="410">
        <f t="shared" si="3"/>
        <v>0.15037220843672455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595</v>
      </c>
      <c r="D97" s="414">
        <v>683</v>
      </c>
      <c r="E97" s="409">
        <f t="shared" si="2"/>
        <v>88</v>
      </c>
      <c r="F97" s="410">
        <f t="shared" si="3"/>
        <v>0.14789915966386555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407789</v>
      </c>
      <c r="D99" s="414">
        <v>407959</v>
      </c>
      <c r="E99" s="409">
        <f t="shared" si="2"/>
        <v>170</v>
      </c>
      <c r="F99" s="410">
        <f t="shared" si="3"/>
        <v>4.1688226018847985E-4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471764</v>
      </c>
      <c r="D100" s="381">
        <f>SUM(D95:D99)</f>
        <v>476466</v>
      </c>
      <c r="E100" s="401">
        <f t="shared" si="2"/>
        <v>4702</v>
      </c>
      <c r="F100" s="402">
        <f t="shared" si="3"/>
        <v>9.9668478306950085E-3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540.20000000000005</v>
      </c>
      <c r="D104" s="416">
        <v>500.8</v>
      </c>
      <c r="E104" s="417">
        <f>+D104-C104</f>
        <v>-39.400000000000034</v>
      </c>
      <c r="F104" s="410">
        <f>IF(C104=0,0,+E104/C104)</f>
        <v>-7.2935949648278472E-2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137.30000000000001</v>
      </c>
      <c r="D105" s="416">
        <v>139.30000000000001</v>
      </c>
      <c r="E105" s="417">
        <f>+D105-C105</f>
        <v>2</v>
      </c>
      <c r="F105" s="410">
        <f>IF(C105=0,0,+E105/C105)</f>
        <v>1.456664238892935E-2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1429.7</v>
      </c>
      <c r="D106" s="416">
        <v>1464.2</v>
      </c>
      <c r="E106" s="417">
        <f>+D106-C106</f>
        <v>34.5</v>
      </c>
      <c r="F106" s="410">
        <f>IF(C106=0,0,+E106/C106)</f>
        <v>2.4130936560117507E-2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2107.1999999999998</v>
      </c>
      <c r="D107" s="418">
        <f>SUM(D104:D106)</f>
        <v>2104.3000000000002</v>
      </c>
      <c r="E107" s="418">
        <f>+D107-C107</f>
        <v>-2.8999999999996362</v>
      </c>
      <c r="F107" s="402">
        <f>IF(C107=0,0,+E107/C107)</f>
        <v>-1.3762338648441706E-3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4" fitToHeight="0" orientation="portrait" r:id="rId1"/>
  <headerFooter>
    <oddHeader>&amp;LOFFICE OF HEALTH CARE ACCESS&amp;CTWELVE MONTHS ACTUAL FILING&amp;RMIDDLESEX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2000</v>
      </c>
      <c r="D12" s="409">
        <v>2052</v>
      </c>
      <c r="E12" s="409">
        <f>+D12-C12</f>
        <v>52</v>
      </c>
      <c r="F12" s="410">
        <f>IF(C12=0,0,+E12/C12)</f>
        <v>2.5999999999999999E-2</v>
      </c>
    </row>
    <row r="13" spans="1:6" ht="15.75" customHeight="1" x14ac:dyDescent="0.2">
      <c r="A13" s="374">
        <v>2</v>
      </c>
      <c r="B13" s="408" t="s">
        <v>622</v>
      </c>
      <c r="C13" s="409">
        <v>2865</v>
      </c>
      <c r="D13" s="409">
        <v>3198</v>
      </c>
      <c r="E13" s="409">
        <f>+D13-C13</f>
        <v>333</v>
      </c>
      <c r="F13" s="410">
        <f>IF(C13=0,0,+E13/C13)</f>
        <v>0.1162303664921466</v>
      </c>
    </row>
    <row r="14" spans="1:6" ht="15.75" customHeight="1" x14ac:dyDescent="0.25">
      <c r="A14" s="374"/>
      <c r="B14" s="399" t="s">
        <v>623</v>
      </c>
      <c r="C14" s="401">
        <f>SUM(C11:C13)</f>
        <v>4865</v>
      </c>
      <c r="D14" s="401">
        <f>SUM(D11:D13)</f>
        <v>5250</v>
      </c>
      <c r="E14" s="401">
        <f>+D14-C14</f>
        <v>385</v>
      </c>
      <c r="F14" s="402">
        <f>IF(C14=0,0,+E14/C14)</f>
        <v>7.9136690647482008E-2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0</v>
      </c>
      <c r="D17" s="409">
        <v>0</v>
      </c>
      <c r="E17" s="409">
        <f>+D17-C17</f>
        <v>0</v>
      </c>
      <c r="F17" s="410">
        <f>IF(C17=0,0,+E17/C17)</f>
        <v>0</v>
      </c>
    </row>
    <row r="18" spans="1:6" ht="15.75" customHeight="1" x14ac:dyDescent="0.2">
      <c r="A18" s="374">
        <v>2</v>
      </c>
      <c r="B18" s="408" t="s">
        <v>622</v>
      </c>
      <c r="C18" s="409">
        <v>2256</v>
      </c>
      <c r="D18" s="409">
        <v>2361</v>
      </c>
      <c r="E18" s="409">
        <f>+D18-C18</f>
        <v>105</v>
      </c>
      <c r="F18" s="410">
        <f>IF(C18=0,0,+E18/C18)</f>
        <v>4.6542553191489359E-2</v>
      </c>
    </row>
    <row r="19" spans="1:6" ht="15.75" customHeight="1" x14ac:dyDescent="0.25">
      <c r="A19" s="374"/>
      <c r="B19" s="399" t="s">
        <v>625</v>
      </c>
      <c r="C19" s="401">
        <f>SUM(C16:C18)</f>
        <v>2256</v>
      </c>
      <c r="D19" s="401">
        <f>SUM(D16:D18)</f>
        <v>2361</v>
      </c>
      <c r="E19" s="401">
        <f>+D19-C19</f>
        <v>105</v>
      </c>
      <c r="F19" s="402">
        <f>IF(C19=0,0,+E19/C19)</f>
        <v>4.6542553191489359E-2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627</v>
      </c>
      <c r="C22" s="409">
        <v>19891</v>
      </c>
      <c r="D22" s="409">
        <v>19686</v>
      </c>
      <c r="E22" s="409">
        <f>+D22-C22</f>
        <v>-205</v>
      </c>
      <c r="F22" s="410">
        <f>IF(C22=0,0,+E22/C22)</f>
        <v>-1.0306168618973405E-2</v>
      </c>
    </row>
    <row r="23" spans="1:6" ht="15.75" customHeight="1" x14ac:dyDescent="0.2">
      <c r="A23" s="374">
        <v>2</v>
      </c>
      <c r="B23" s="408" t="s">
        <v>628</v>
      </c>
      <c r="C23" s="409">
        <v>20686</v>
      </c>
      <c r="D23" s="409">
        <v>20151</v>
      </c>
      <c r="E23" s="409">
        <f>+D23-C23</f>
        <v>-535</v>
      </c>
      <c r="F23" s="410">
        <f>IF(C23=0,0,+E23/C23)</f>
        <v>-2.5862902446098811E-2</v>
      </c>
    </row>
    <row r="24" spans="1:6" ht="15.75" customHeight="1" x14ac:dyDescent="0.2">
      <c r="A24" s="374">
        <v>3</v>
      </c>
      <c r="B24" s="408" t="s">
        <v>629</v>
      </c>
      <c r="C24" s="409">
        <v>38986</v>
      </c>
      <c r="D24" s="409">
        <v>37419</v>
      </c>
      <c r="E24" s="409">
        <f>+D24-C24</f>
        <v>-1567</v>
      </c>
      <c r="F24" s="410">
        <f>IF(C24=0,0,+E24/C24)</f>
        <v>-4.0193915764633457E-2</v>
      </c>
    </row>
    <row r="25" spans="1:6" ht="15.75" customHeight="1" x14ac:dyDescent="0.25">
      <c r="A25" s="374"/>
      <c r="B25" s="399" t="s">
        <v>630</v>
      </c>
      <c r="C25" s="401">
        <f>SUM(C21:C24)</f>
        <v>79563</v>
      </c>
      <c r="D25" s="401">
        <f>SUM(D21:D24)</f>
        <v>77256</v>
      </c>
      <c r="E25" s="401">
        <f>+D25-C25</f>
        <v>-2307</v>
      </c>
      <c r="F25" s="402">
        <f>IF(C25=0,0,+E25/C25)</f>
        <v>-2.8995890049394818E-2</v>
      </c>
    </row>
    <row r="26" spans="1:6" ht="15.75" customHeight="1" x14ac:dyDescent="0.25">
      <c r="A26" s="136"/>
      <c r="B26" s="399"/>
      <c r="C26" s="401"/>
      <c r="D26" s="401"/>
      <c r="E26" s="401"/>
      <c r="F26" s="402"/>
    </row>
    <row r="27" spans="1:6" ht="15.75" customHeight="1" x14ac:dyDescent="0.25">
      <c r="B27" s="810" t="s">
        <v>631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632</v>
      </c>
      <c r="C29" s="811"/>
      <c r="D29" s="811"/>
      <c r="E29" s="811"/>
      <c r="F29" s="812"/>
    </row>
    <row r="30" spans="1:6" ht="15.75" customHeight="1" x14ac:dyDescent="0.25">
      <c r="A30" s="392"/>
    </row>
    <row r="31" spans="1:6" ht="15.75" customHeight="1" x14ac:dyDescent="0.25">
      <c r="B31" s="810" t="s">
        <v>633</v>
      </c>
      <c r="C31" s="811"/>
      <c r="D31" s="811"/>
      <c r="E31" s="811"/>
      <c r="F31" s="812"/>
    </row>
    <row r="32" spans="1:6" ht="15.75" customHeight="1" x14ac:dyDescent="0.25">
      <c r="A32" s="392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75" bottom="0.75" header="0.3" footer="0.3"/>
  <pageSetup scale="82" fitToHeight="0" orientation="portrait" r:id="rId1"/>
  <headerFooter>
    <oddHeader>&amp;LOFFICE OF HEALTH CARE ACCESS&amp;CTWELVE MONTHS ACTUAL FILING&amp;RMIDDLESEX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634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635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636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637</v>
      </c>
      <c r="D7" s="426" t="s">
        <v>637</v>
      </c>
      <c r="E7" s="426" t="s">
        <v>638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639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640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641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642</v>
      </c>
      <c r="C15" s="448">
        <v>333227086</v>
      </c>
      <c r="D15" s="448">
        <v>311983193</v>
      </c>
      <c r="E15" s="448">
        <f t="shared" ref="E15:E24" si="0">D15-C15</f>
        <v>-21243893</v>
      </c>
      <c r="F15" s="449">
        <f t="shared" ref="F15:F24" si="1">IF(C15=0,0,E15/C15)</f>
        <v>-6.3751999439805446E-2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643</v>
      </c>
      <c r="C16" s="448">
        <v>75470428</v>
      </c>
      <c r="D16" s="448">
        <v>75253837</v>
      </c>
      <c r="E16" s="448">
        <f t="shared" si="0"/>
        <v>-216591</v>
      </c>
      <c r="F16" s="449">
        <f t="shared" si="1"/>
        <v>-2.8698790471944854E-3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644</v>
      </c>
      <c r="C17" s="453">
        <f>IF(C15=0,0,C16/C15)</f>
        <v>0.22648347379540448</v>
      </c>
      <c r="D17" s="453">
        <f>IF(LN_IA1=0,0,LN_IA2/LN_IA1)</f>
        <v>0.24121118921941415</v>
      </c>
      <c r="E17" s="454">
        <f t="shared" si="0"/>
        <v>1.4727715424009663E-2</v>
      </c>
      <c r="F17" s="449">
        <f t="shared" si="1"/>
        <v>6.502777080023972E-2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7504</v>
      </c>
      <c r="D18" s="456">
        <v>7137</v>
      </c>
      <c r="E18" s="456">
        <f t="shared" si="0"/>
        <v>-367</v>
      </c>
      <c r="F18" s="449">
        <f t="shared" si="1"/>
        <v>-4.8907249466950957E-2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645</v>
      </c>
      <c r="C19" s="459">
        <v>1.42635</v>
      </c>
      <c r="D19" s="459">
        <v>1.4930000000000001</v>
      </c>
      <c r="E19" s="460">
        <f t="shared" si="0"/>
        <v>6.6650000000000098E-2</v>
      </c>
      <c r="F19" s="449">
        <f t="shared" si="1"/>
        <v>4.6727661513653797E-2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646</v>
      </c>
      <c r="C20" s="463">
        <f>C18*C19</f>
        <v>10703.330400000001</v>
      </c>
      <c r="D20" s="463">
        <f>LN_IA4*LN_IA5</f>
        <v>10655.541000000001</v>
      </c>
      <c r="E20" s="463">
        <f t="shared" si="0"/>
        <v>-47.789399999999659</v>
      </c>
      <c r="F20" s="449">
        <f t="shared" si="1"/>
        <v>-4.4649093519527018E-3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647</v>
      </c>
      <c r="C21" s="465">
        <f>IF(C20=0,0,C16/C20)</f>
        <v>7051.1163515983772</v>
      </c>
      <c r="D21" s="465">
        <f>IF(LN_IA6=0,0,LN_IA2/LN_IA6)</f>
        <v>7062.4135367692725</v>
      </c>
      <c r="E21" s="465">
        <f t="shared" si="0"/>
        <v>11.297185170895318</v>
      </c>
      <c r="F21" s="449">
        <f t="shared" si="1"/>
        <v>1.602183910684501E-3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34831</v>
      </c>
      <c r="D22" s="456">
        <v>32103</v>
      </c>
      <c r="E22" s="456">
        <f t="shared" si="0"/>
        <v>-2728</v>
      </c>
      <c r="F22" s="449">
        <f t="shared" si="1"/>
        <v>-7.8321035858861354E-2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648</v>
      </c>
      <c r="C23" s="465">
        <f>IF(C22=0,0,C16/C22)</f>
        <v>2166.7602997329964</v>
      </c>
      <c r="D23" s="465">
        <f>IF(LN_IA8=0,0,LN_IA2/LN_IA8)</f>
        <v>2344.1372145905366</v>
      </c>
      <c r="E23" s="465">
        <f t="shared" si="0"/>
        <v>177.37691485754021</v>
      </c>
      <c r="F23" s="449">
        <f t="shared" si="1"/>
        <v>8.1862730676484086E-2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649</v>
      </c>
      <c r="C24" s="466">
        <f>IF(C18=0,0,C22/C18)</f>
        <v>4.641657782515991</v>
      </c>
      <c r="D24" s="466">
        <f>IF(LN_IA4=0,0,LN_IA8/LN_IA4)</f>
        <v>4.4981084489281207</v>
      </c>
      <c r="E24" s="466">
        <f t="shared" si="0"/>
        <v>-0.14354933358787036</v>
      </c>
      <c r="F24" s="449">
        <f t="shared" si="1"/>
        <v>-3.0926307003628358E-2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650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651</v>
      </c>
      <c r="C27" s="448">
        <v>267467305</v>
      </c>
      <c r="D27" s="448">
        <v>297955174</v>
      </c>
      <c r="E27" s="448">
        <f t="shared" ref="E27:E32" si="2">D27-C27</f>
        <v>30487869</v>
      </c>
      <c r="F27" s="449">
        <f t="shared" ref="F27:F32" si="3">IF(C27=0,0,E27/C27)</f>
        <v>0.11398727407075045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652</v>
      </c>
      <c r="C28" s="448">
        <v>57456589</v>
      </c>
      <c r="D28" s="448">
        <v>62672638</v>
      </c>
      <c r="E28" s="448">
        <f t="shared" si="2"/>
        <v>5216049</v>
      </c>
      <c r="F28" s="449">
        <f t="shared" si="3"/>
        <v>9.0782434021622824E-2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653</v>
      </c>
      <c r="C29" s="453">
        <f>IF(C27=0,0,C28/C27)</f>
        <v>0.21481724280281658</v>
      </c>
      <c r="D29" s="453">
        <f>IF(LN_IA11=0,0,LN_IA12/LN_IA11)</f>
        <v>0.21034250608448907</v>
      </c>
      <c r="E29" s="454">
        <f t="shared" si="2"/>
        <v>-4.4747367183275155E-3</v>
      </c>
      <c r="F29" s="449">
        <f t="shared" si="3"/>
        <v>-2.0830435489924484E-2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654</v>
      </c>
      <c r="C30" s="453">
        <f>IF(C15=0,0,C27/C15)</f>
        <v>0.80265775573837961</v>
      </c>
      <c r="D30" s="453">
        <f>IF(LN_IA1=0,0,LN_IA11/LN_IA1)</f>
        <v>0.9550359784925978</v>
      </c>
      <c r="E30" s="454">
        <f t="shared" si="2"/>
        <v>0.1523782227542182</v>
      </c>
      <c r="F30" s="449">
        <f t="shared" si="3"/>
        <v>0.18984208607570566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655</v>
      </c>
      <c r="C31" s="463">
        <f>C30*C18</f>
        <v>6023.143799060801</v>
      </c>
      <c r="D31" s="463">
        <f>LN_IA14*LN_IA4</f>
        <v>6816.0917785016709</v>
      </c>
      <c r="E31" s="463">
        <f t="shared" si="2"/>
        <v>792.94797944086986</v>
      </c>
      <c r="F31" s="449">
        <f t="shared" si="3"/>
        <v>0.13165018234572376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656</v>
      </c>
      <c r="C32" s="465">
        <f>IF(C31=0,0,C28/C31)</f>
        <v>9539.302217715489</v>
      </c>
      <c r="D32" s="465">
        <f>IF(LN_IA15=0,0,LN_IA12/LN_IA15)</f>
        <v>9194.8054745496465</v>
      </c>
      <c r="E32" s="465">
        <f t="shared" si="2"/>
        <v>-344.49674316584242</v>
      </c>
      <c r="F32" s="449">
        <f t="shared" si="3"/>
        <v>-3.6113411159788569E-2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657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658</v>
      </c>
      <c r="C35" s="448">
        <f>C15+C27</f>
        <v>600694391</v>
      </c>
      <c r="D35" s="448">
        <f>LN_IA1+LN_IA11</f>
        <v>609938367</v>
      </c>
      <c r="E35" s="448">
        <f>D35-C35</f>
        <v>9243976</v>
      </c>
      <c r="F35" s="449">
        <f>IF(C35=0,0,E35/C35)</f>
        <v>1.5388816906732196E-2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659</v>
      </c>
      <c r="C36" s="448">
        <f>C16+C28</f>
        <v>132927017</v>
      </c>
      <c r="D36" s="448">
        <f>LN_IA2+LN_IA12</f>
        <v>137926475</v>
      </c>
      <c r="E36" s="448">
        <f>D36-C36</f>
        <v>4999458</v>
      </c>
      <c r="F36" s="449">
        <f>IF(C36=0,0,E36/C36)</f>
        <v>3.761054835075401E-2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660</v>
      </c>
      <c r="C37" s="448">
        <f>C35-C36</f>
        <v>467767374</v>
      </c>
      <c r="D37" s="448">
        <f>LN_IA17-LN_IA18</f>
        <v>472011892</v>
      </c>
      <c r="E37" s="448">
        <f>D37-C37</f>
        <v>4244518</v>
      </c>
      <c r="F37" s="449">
        <f>IF(C37=0,0,E37/C37)</f>
        <v>9.0739932623005049E-3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661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662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642</v>
      </c>
      <c r="C42" s="448">
        <v>145819781</v>
      </c>
      <c r="D42" s="448">
        <v>148962902</v>
      </c>
      <c r="E42" s="448">
        <f t="shared" ref="E42:E53" si="4">D42-C42</f>
        <v>3143121</v>
      </c>
      <c r="F42" s="449">
        <f t="shared" ref="F42:F53" si="5">IF(C42=0,0,E42/C42)</f>
        <v>2.155483281105737E-2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643</v>
      </c>
      <c r="C43" s="448">
        <v>67652225</v>
      </c>
      <c r="D43" s="448">
        <v>76562693</v>
      </c>
      <c r="E43" s="448">
        <f t="shared" si="4"/>
        <v>8910468</v>
      </c>
      <c r="F43" s="449">
        <f t="shared" si="5"/>
        <v>0.13170990311109501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644</v>
      </c>
      <c r="C44" s="453">
        <f>IF(C42=0,0,C43/C42)</f>
        <v>0.46394408588502817</v>
      </c>
      <c r="D44" s="453">
        <f>IF(LN_IB1=0,0,LN_IB2/LN_IB1)</f>
        <v>0.51397154574767889</v>
      </c>
      <c r="E44" s="454">
        <f t="shared" si="4"/>
        <v>5.0027459862650725E-2</v>
      </c>
      <c r="F44" s="449">
        <f t="shared" si="5"/>
        <v>0.10783079553049466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3800</v>
      </c>
      <c r="D45" s="456">
        <v>3908</v>
      </c>
      <c r="E45" s="456">
        <f t="shared" si="4"/>
        <v>108</v>
      </c>
      <c r="F45" s="449">
        <f t="shared" si="5"/>
        <v>2.8421052631578948E-2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645</v>
      </c>
      <c r="C46" s="459">
        <v>1.2761899999999999</v>
      </c>
      <c r="D46" s="459">
        <v>1.3511</v>
      </c>
      <c r="E46" s="460">
        <f t="shared" si="4"/>
        <v>7.4910000000000032E-2</v>
      </c>
      <c r="F46" s="449">
        <f t="shared" si="5"/>
        <v>5.8698156230655336E-2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646</v>
      </c>
      <c r="C47" s="463">
        <f>C45*C46</f>
        <v>4849.5219999999999</v>
      </c>
      <c r="D47" s="463">
        <f>LN_IB4*LN_IB5</f>
        <v>5280.0987999999998</v>
      </c>
      <c r="E47" s="463">
        <f t="shared" si="4"/>
        <v>430.57679999999982</v>
      </c>
      <c r="F47" s="449">
        <f t="shared" si="5"/>
        <v>8.878747224984232E-2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647</v>
      </c>
      <c r="C48" s="465">
        <f>IF(C47=0,0,C43/C47)</f>
        <v>13950.287265425335</v>
      </c>
      <c r="D48" s="465">
        <f>IF(LN_IB6=0,0,LN_IB2/LN_IB6)</f>
        <v>14500.238707654486</v>
      </c>
      <c r="E48" s="465">
        <f t="shared" si="4"/>
        <v>549.95144222915042</v>
      </c>
      <c r="F48" s="449">
        <f t="shared" si="5"/>
        <v>3.9422230651275605E-2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663</v>
      </c>
      <c r="C49" s="465">
        <f>C21-C48</f>
        <v>-6899.170913826958</v>
      </c>
      <c r="D49" s="465">
        <f>LN_IA7-LN_IB7</f>
        <v>-7437.8251708852131</v>
      </c>
      <c r="E49" s="465">
        <f t="shared" si="4"/>
        <v>-538.6542570582551</v>
      </c>
      <c r="F49" s="449">
        <f t="shared" si="5"/>
        <v>7.8075215672467599E-2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664</v>
      </c>
      <c r="C50" s="479">
        <f>C49*C47</f>
        <v>-33457681.128363937</v>
      </c>
      <c r="D50" s="479">
        <f>LN_IB8*LN_IB6</f>
        <v>-39272451.759400807</v>
      </c>
      <c r="E50" s="479">
        <f t="shared" si="4"/>
        <v>-5814770.6310368702</v>
      </c>
      <c r="F50" s="449">
        <f t="shared" si="5"/>
        <v>0.17379478896722958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13174</v>
      </c>
      <c r="D51" s="456">
        <v>13175</v>
      </c>
      <c r="E51" s="456">
        <f t="shared" si="4"/>
        <v>1</v>
      </c>
      <c r="F51" s="449">
        <f t="shared" si="5"/>
        <v>7.5907089722180047E-5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648</v>
      </c>
      <c r="C52" s="465">
        <f>IF(C51=0,0,C43/C51)</f>
        <v>5135.2835129801124</v>
      </c>
      <c r="D52" s="465">
        <f>IF(LN_IB10=0,0,LN_IB2/LN_IB10)</f>
        <v>5811.2100948766602</v>
      </c>
      <c r="E52" s="465">
        <f t="shared" si="4"/>
        <v>675.92658189654776</v>
      </c>
      <c r="F52" s="449">
        <f t="shared" si="5"/>
        <v>0.13162400482622885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649</v>
      </c>
      <c r="C53" s="466">
        <f>IF(C45=0,0,C51/C45)</f>
        <v>3.4668421052631579</v>
      </c>
      <c r="D53" s="466">
        <f>IF(LN_IB4=0,0,LN_IB10/LN_IB4)</f>
        <v>3.3712896622313204</v>
      </c>
      <c r="E53" s="466">
        <f t="shared" si="4"/>
        <v>-9.555244303183752E-2</v>
      </c>
      <c r="F53" s="449">
        <f t="shared" si="5"/>
        <v>-2.7561809892286515E-2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665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651</v>
      </c>
      <c r="C56" s="448">
        <v>308072462</v>
      </c>
      <c r="D56" s="448">
        <v>320703218</v>
      </c>
      <c r="E56" s="448">
        <f t="shared" ref="E56:E63" si="6">D56-C56</f>
        <v>12630756</v>
      </c>
      <c r="F56" s="449">
        <f t="shared" ref="F56:F63" si="7">IF(C56=0,0,E56/C56)</f>
        <v>4.0999302300508765E-2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652</v>
      </c>
      <c r="C57" s="448">
        <v>126327273</v>
      </c>
      <c r="D57" s="448">
        <v>132818781</v>
      </c>
      <c r="E57" s="448">
        <f t="shared" si="6"/>
        <v>6491508</v>
      </c>
      <c r="F57" s="449">
        <f t="shared" si="7"/>
        <v>5.1386433395107012E-2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653</v>
      </c>
      <c r="C58" s="453">
        <f>IF(C56=0,0,C57/C56)</f>
        <v>0.41005701119757987</v>
      </c>
      <c r="D58" s="453">
        <f>IF(LN_IB13=0,0,LN_IB14/LN_IB13)</f>
        <v>0.41414857583374792</v>
      </c>
      <c r="E58" s="454">
        <f t="shared" si="6"/>
        <v>4.0915646361680547E-3</v>
      </c>
      <c r="F58" s="449">
        <f t="shared" si="7"/>
        <v>9.9780384786460705E-3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654</v>
      </c>
      <c r="C59" s="453">
        <f>IF(C42=0,0,C56/C42)</f>
        <v>2.1126932154698546</v>
      </c>
      <c r="D59" s="453">
        <f>IF(LN_IB1=0,0,LN_IB13/LN_IB1)</f>
        <v>2.1529066210055441</v>
      </c>
      <c r="E59" s="454">
        <f t="shared" si="6"/>
        <v>4.0213405535689528E-2</v>
      </c>
      <c r="F59" s="449">
        <f t="shared" si="7"/>
        <v>1.9034190691404395E-2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655</v>
      </c>
      <c r="C60" s="463">
        <f>C59*C45</f>
        <v>8028.2342187854474</v>
      </c>
      <c r="D60" s="463">
        <f>LN_IB16*LN_IB4</f>
        <v>8413.5590748896666</v>
      </c>
      <c r="E60" s="463">
        <f t="shared" si="6"/>
        <v>385.32485610421918</v>
      </c>
      <c r="F60" s="449">
        <f t="shared" si="7"/>
        <v>4.7996215058423282E-2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656</v>
      </c>
      <c r="C61" s="465">
        <f>IF(C60=0,0,C57/C60)</f>
        <v>15735.374623775169</v>
      </c>
      <c r="D61" s="465">
        <f>IF(LN_IB17=0,0,LN_IB14/LN_IB17)</f>
        <v>15786.277818669949</v>
      </c>
      <c r="E61" s="465">
        <f t="shared" si="6"/>
        <v>50.903194894779517</v>
      </c>
      <c r="F61" s="449">
        <f t="shared" si="7"/>
        <v>3.2349528442664447E-3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666</v>
      </c>
      <c r="C62" s="465">
        <f>C32-C61</f>
        <v>-6196.0724060596804</v>
      </c>
      <c r="D62" s="465">
        <f>LN_IA16-LN_IB18</f>
        <v>-6591.4723441203023</v>
      </c>
      <c r="E62" s="465">
        <f t="shared" si="6"/>
        <v>-395.39993806062193</v>
      </c>
      <c r="F62" s="449">
        <f t="shared" si="7"/>
        <v>6.3814609021341617E-2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667</v>
      </c>
      <c r="C63" s="448">
        <f>C62*C60</f>
        <v>-49743520.512400605</v>
      </c>
      <c r="D63" s="448">
        <f>LN_IB19*LN_IB17</f>
        <v>-55457741.957757629</v>
      </c>
      <c r="E63" s="448">
        <f t="shared" si="6"/>
        <v>-5714221.4453570247</v>
      </c>
      <c r="F63" s="449">
        <f t="shared" si="7"/>
        <v>0.11487368377822237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668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658</v>
      </c>
      <c r="C66" s="448">
        <f>C42+C56</f>
        <v>453892243</v>
      </c>
      <c r="D66" s="448">
        <f>LN_IB1+LN_IB13</f>
        <v>469666120</v>
      </c>
      <c r="E66" s="448">
        <f>D66-C66</f>
        <v>15773877</v>
      </c>
      <c r="F66" s="449">
        <f>IF(C66=0,0,E66/C66)</f>
        <v>3.4752470973600666E-2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659</v>
      </c>
      <c r="C67" s="448">
        <f>C43+C57</f>
        <v>193979498</v>
      </c>
      <c r="D67" s="448">
        <f>LN_IB2+LN_IB14</f>
        <v>209381474</v>
      </c>
      <c r="E67" s="448">
        <f>D67-C67</f>
        <v>15401976</v>
      </c>
      <c r="F67" s="449">
        <f>IF(C67=0,0,E67/C67)</f>
        <v>7.9400019892823928E-2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660</v>
      </c>
      <c r="C68" s="448">
        <f>C66-C67</f>
        <v>259912745</v>
      </c>
      <c r="D68" s="448">
        <f>LN_IB21-LN_IB22</f>
        <v>260284646</v>
      </c>
      <c r="E68" s="448">
        <f>D68-C68</f>
        <v>371901</v>
      </c>
      <c r="F68" s="449">
        <f>IF(C68=0,0,E68/C68)</f>
        <v>1.4308686555559252E-3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669</v>
      </c>
      <c r="C70" s="441">
        <f>C50+C63</f>
        <v>-83201201.640764534</v>
      </c>
      <c r="D70" s="441">
        <f>LN_IB9+LN_IB20</f>
        <v>-94730193.717158437</v>
      </c>
      <c r="E70" s="448">
        <f>D70-C70</f>
        <v>-11528992.076393902</v>
      </c>
      <c r="F70" s="449">
        <f>IF(C70=0,0,E70/C70)</f>
        <v>0.13856761499878698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670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671</v>
      </c>
      <c r="C73" s="488">
        <v>414756036</v>
      </c>
      <c r="D73" s="488">
        <v>431645780</v>
      </c>
      <c r="E73" s="488">
        <f>D73-C73</f>
        <v>16889744</v>
      </c>
      <c r="F73" s="489">
        <f>IF(C73=0,0,E73/C73)</f>
        <v>4.0722117423265182E-2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672</v>
      </c>
      <c r="C74" s="488">
        <v>192747761</v>
      </c>
      <c r="D74" s="488">
        <v>212412449</v>
      </c>
      <c r="E74" s="488">
        <f>D74-C74</f>
        <v>19664688</v>
      </c>
      <c r="F74" s="489">
        <f>IF(C74=0,0,E74/C74)</f>
        <v>0.10202291273308228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673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674</v>
      </c>
      <c r="C76" s="441">
        <f>C73-C74</f>
        <v>222008275</v>
      </c>
      <c r="D76" s="441">
        <f>LN_IB32-LN_IB33</f>
        <v>219233331</v>
      </c>
      <c r="E76" s="488">
        <f>D76-C76</f>
        <v>-2774944</v>
      </c>
      <c r="F76" s="489">
        <f>IF(E76=0,0,E76/C76)</f>
        <v>-1.2499281839832321E-2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675</v>
      </c>
      <c r="C77" s="453">
        <f>IF(C73=0,0,C76/C73)</f>
        <v>0.53527436789370797</v>
      </c>
      <c r="D77" s="453">
        <f>IF(LN_IB32=0,0,LN_IB34/LN_IB32)</f>
        <v>0.50790101782067698</v>
      </c>
      <c r="E77" s="493">
        <f>D77-C77</f>
        <v>-2.7373350073030989E-2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676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677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642</v>
      </c>
      <c r="C83" s="448">
        <v>3849533</v>
      </c>
      <c r="D83" s="448">
        <v>4146655</v>
      </c>
      <c r="E83" s="448">
        <f t="shared" ref="E83:E95" si="8">D83-C83</f>
        <v>297122</v>
      </c>
      <c r="F83" s="449">
        <f t="shared" ref="F83:F95" si="9">IF(C83=0,0,E83/C83)</f>
        <v>7.7183907762318177E-2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643</v>
      </c>
      <c r="C84" s="448">
        <v>1360408</v>
      </c>
      <c r="D84" s="448">
        <v>1130602</v>
      </c>
      <c r="E84" s="448">
        <f t="shared" si="8"/>
        <v>-229806</v>
      </c>
      <c r="F84" s="449">
        <f t="shared" si="9"/>
        <v>-0.16892432270318905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644</v>
      </c>
      <c r="C85" s="453">
        <f>IF(C83=0,0,C84/C83)</f>
        <v>0.35339559369928769</v>
      </c>
      <c r="D85" s="453">
        <f>IF(LN_IC1=0,0,LN_IC2/LN_IC1)</f>
        <v>0.27265398254737855</v>
      </c>
      <c r="E85" s="454">
        <f t="shared" si="8"/>
        <v>-8.0741611151909143E-2</v>
      </c>
      <c r="F85" s="449">
        <f t="shared" si="9"/>
        <v>-0.22847373479312255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92</v>
      </c>
      <c r="D86" s="456">
        <v>123</v>
      </c>
      <c r="E86" s="456">
        <f t="shared" si="8"/>
        <v>31</v>
      </c>
      <c r="F86" s="449">
        <f t="shared" si="9"/>
        <v>0.33695652173913043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645</v>
      </c>
      <c r="C87" s="459">
        <v>1.331</v>
      </c>
      <c r="D87" s="459">
        <v>1.2471000000000001</v>
      </c>
      <c r="E87" s="460">
        <f t="shared" si="8"/>
        <v>-8.3899999999999864E-2</v>
      </c>
      <c r="F87" s="449">
        <f t="shared" si="9"/>
        <v>-6.3035311795642271E-2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646</v>
      </c>
      <c r="C88" s="463">
        <f>C86*C87</f>
        <v>122.452</v>
      </c>
      <c r="D88" s="463">
        <f>LN_IC4*LN_IC5</f>
        <v>153.39330000000001</v>
      </c>
      <c r="E88" s="463">
        <f t="shared" si="8"/>
        <v>30.941300000000012</v>
      </c>
      <c r="F88" s="449">
        <f t="shared" si="9"/>
        <v>0.2526810505340869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647</v>
      </c>
      <c r="C89" s="465">
        <f>IF(C88=0,0,C84/C88)</f>
        <v>11109.724626792538</v>
      </c>
      <c r="D89" s="465">
        <f>IF(LN_IC6=0,0,LN_IC2/LN_IC6)</f>
        <v>7370.6087554019632</v>
      </c>
      <c r="E89" s="465">
        <f t="shared" si="8"/>
        <v>-3739.1158713905752</v>
      </c>
      <c r="F89" s="449">
        <f t="shared" si="9"/>
        <v>-0.33656242589246665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678</v>
      </c>
      <c r="C90" s="465">
        <f>C48-C89</f>
        <v>2840.5626386327967</v>
      </c>
      <c r="D90" s="465">
        <f>LN_IB7-LN_IC7</f>
        <v>7129.6299522525223</v>
      </c>
      <c r="E90" s="465">
        <f t="shared" si="8"/>
        <v>4289.0673136197256</v>
      </c>
      <c r="F90" s="449">
        <f t="shared" si="9"/>
        <v>1.5099358328827823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679</v>
      </c>
      <c r="C91" s="465">
        <f>C21-C89</f>
        <v>-4058.6082751941613</v>
      </c>
      <c r="D91" s="465">
        <f>LN_IA7-LN_IC7</f>
        <v>-308.19521863269074</v>
      </c>
      <c r="E91" s="465">
        <f t="shared" si="8"/>
        <v>3750.4130565614705</v>
      </c>
      <c r="F91" s="449">
        <f t="shared" si="9"/>
        <v>-0.92406381751194089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664</v>
      </c>
      <c r="C92" s="441">
        <f>C91*C88</f>
        <v>-496984.7005140754</v>
      </c>
      <c r="D92" s="441">
        <f>LN_IC9*LN_IC6</f>
        <v>-47275.081630289926</v>
      </c>
      <c r="E92" s="441">
        <f t="shared" si="8"/>
        <v>449709.6188837855</v>
      </c>
      <c r="F92" s="449">
        <f t="shared" si="9"/>
        <v>-0.90487618314731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394</v>
      </c>
      <c r="D93" s="456">
        <v>485</v>
      </c>
      <c r="E93" s="456">
        <f t="shared" si="8"/>
        <v>91</v>
      </c>
      <c r="F93" s="449">
        <f t="shared" si="9"/>
        <v>0.23096446700507614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648</v>
      </c>
      <c r="C94" s="499">
        <f>IF(C93=0,0,C84/C93)</f>
        <v>3452.8121827411169</v>
      </c>
      <c r="D94" s="499">
        <f>IF(LN_IC11=0,0,LN_IC2/LN_IC11)</f>
        <v>2331.1381443298969</v>
      </c>
      <c r="E94" s="499">
        <f t="shared" si="8"/>
        <v>-1121.67403841122</v>
      </c>
      <c r="F94" s="449">
        <f t="shared" si="9"/>
        <v>-0.32485810957743605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649</v>
      </c>
      <c r="C95" s="466">
        <f>IF(C86=0,0,C93/C86)</f>
        <v>4.2826086956521738</v>
      </c>
      <c r="D95" s="466">
        <f>IF(LN_IC4=0,0,LN_IC11/LN_IC4)</f>
        <v>3.9430894308943087</v>
      </c>
      <c r="E95" s="466">
        <f t="shared" si="8"/>
        <v>-0.33951926475786509</v>
      </c>
      <c r="F95" s="449">
        <f t="shared" si="9"/>
        <v>-7.9278610044983724E-2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680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651</v>
      </c>
      <c r="C98" s="448">
        <v>11030087</v>
      </c>
      <c r="D98" s="448">
        <v>10302803</v>
      </c>
      <c r="E98" s="448">
        <f t="shared" ref="E98:E106" si="10">D98-C98</f>
        <v>-727284</v>
      </c>
      <c r="F98" s="449">
        <f t="shared" ref="F98:F106" si="11">IF(C98=0,0,E98/C98)</f>
        <v>-6.5936379286944874E-2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652</v>
      </c>
      <c r="C99" s="448">
        <v>2492116</v>
      </c>
      <c r="D99" s="448">
        <v>1943917</v>
      </c>
      <c r="E99" s="448">
        <f t="shared" si="10"/>
        <v>-548199</v>
      </c>
      <c r="F99" s="449">
        <f t="shared" si="11"/>
        <v>-0.21997330782355234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653</v>
      </c>
      <c r="C100" s="453">
        <f>IF(C98=0,0,C99/C98)</f>
        <v>0.22593801843992709</v>
      </c>
      <c r="D100" s="453">
        <f>IF(LN_IC14=0,0,LN_IC15/LN_IC14)</f>
        <v>0.18867845963860513</v>
      </c>
      <c r="E100" s="454">
        <f t="shared" si="10"/>
        <v>-3.7259558801321951E-2</v>
      </c>
      <c r="F100" s="449">
        <f t="shared" si="11"/>
        <v>-0.16491053191753388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654</v>
      </c>
      <c r="C101" s="453">
        <f>IF(C83=0,0,C98/C83)</f>
        <v>2.8653052201396898</v>
      </c>
      <c r="D101" s="453">
        <f>IF(LN_IC1=0,0,LN_IC14/LN_IC1)</f>
        <v>2.4846057846625773</v>
      </c>
      <c r="E101" s="454">
        <f t="shared" si="10"/>
        <v>-0.38069943547711249</v>
      </c>
      <c r="F101" s="449">
        <f t="shared" si="11"/>
        <v>-0.13286522943568035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655</v>
      </c>
      <c r="C102" s="463">
        <f>C101*C86</f>
        <v>263.60808025285144</v>
      </c>
      <c r="D102" s="463">
        <f>LN_IC17*LN_IC4</f>
        <v>305.60651151349703</v>
      </c>
      <c r="E102" s="463">
        <f t="shared" si="10"/>
        <v>41.998431260645589</v>
      </c>
      <c r="F102" s="449">
        <f t="shared" si="11"/>
        <v>0.15932148673273186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656</v>
      </c>
      <c r="C103" s="465">
        <f>IF(C102=0,0,C99/C102)</f>
        <v>9453.86802107726</v>
      </c>
      <c r="D103" s="465">
        <f>IF(LN_IC18=0,0,LN_IC15/LN_IC18)</f>
        <v>6360.8494150627657</v>
      </c>
      <c r="E103" s="465">
        <f t="shared" si="10"/>
        <v>-3093.0186060144943</v>
      </c>
      <c r="F103" s="449">
        <f t="shared" si="11"/>
        <v>-0.32716964094682249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681</v>
      </c>
      <c r="C104" s="465">
        <f>C61-C103</f>
        <v>6281.5066026979093</v>
      </c>
      <c r="D104" s="465">
        <f>LN_IB18-LN_IC19</f>
        <v>9425.428403607184</v>
      </c>
      <c r="E104" s="465">
        <f t="shared" si="10"/>
        <v>3143.9218009092747</v>
      </c>
      <c r="F104" s="449">
        <f t="shared" si="11"/>
        <v>0.50050441713441152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682</v>
      </c>
      <c r="C105" s="465">
        <f>C32-C103</f>
        <v>85.434196638228968</v>
      </c>
      <c r="D105" s="465">
        <f>LN_IA16-LN_IC19</f>
        <v>2833.9560594868808</v>
      </c>
      <c r="E105" s="465">
        <f t="shared" si="10"/>
        <v>2748.5218628486518</v>
      </c>
      <c r="F105" s="449">
        <f t="shared" si="11"/>
        <v>32.171214466816672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667</v>
      </c>
      <c r="C106" s="448">
        <f>C105*C102</f>
        <v>22521.144563748152</v>
      </c>
      <c r="D106" s="448">
        <f>LN_IC21*LN_IC18</f>
        <v>866075.42512232205</v>
      </c>
      <c r="E106" s="448">
        <f t="shared" si="10"/>
        <v>843554.2805585739</v>
      </c>
      <c r="F106" s="449">
        <f t="shared" si="11"/>
        <v>37.456101672400202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683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658</v>
      </c>
      <c r="C109" s="448">
        <f>C83+C98</f>
        <v>14879620</v>
      </c>
      <c r="D109" s="448">
        <f>LN_IC1+LN_IC14</f>
        <v>14449458</v>
      </c>
      <c r="E109" s="448">
        <f>D109-C109</f>
        <v>-430162</v>
      </c>
      <c r="F109" s="449">
        <f>IF(C109=0,0,E109/C109)</f>
        <v>-2.8909474838739162E-2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659</v>
      </c>
      <c r="C110" s="448">
        <f>C84+C99</f>
        <v>3852524</v>
      </c>
      <c r="D110" s="448">
        <f>LN_IC2+LN_IC15</f>
        <v>3074519</v>
      </c>
      <c r="E110" s="448">
        <f>D110-C110</f>
        <v>-778005</v>
      </c>
      <c r="F110" s="449">
        <f>IF(C110=0,0,E110/C110)</f>
        <v>-0.20194682758627849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660</v>
      </c>
      <c r="C111" s="448">
        <f>C109-C110</f>
        <v>11027096</v>
      </c>
      <c r="D111" s="448">
        <f>LN_IC23-LN_IC24</f>
        <v>11374939</v>
      </c>
      <c r="E111" s="448">
        <f>D111-C111</f>
        <v>347843</v>
      </c>
      <c r="F111" s="449">
        <f>IF(C111=0,0,E111/C111)</f>
        <v>3.1544388477256387E-2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669</v>
      </c>
      <c r="C113" s="448">
        <f>C92+C106</f>
        <v>-474463.55595032725</v>
      </c>
      <c r="D113" s="448">
        <f>LN_IC10+LN_IC22</f>
        <v>818800.34349203215</v>
      </c>
      <c r="E113" s="448">
        <f>D113-C113</f>
        <v>1293263.8994423593</v>
      </c>
      <c r="F113" s="449">
        <f>IF(C113=0,0,E113/C113)</f>
        <v>-2.7257391705291569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684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685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642</v>
      </c>
      <c r="C118" s="448">
        <v>76836069</v>
      </c>
      <c r="D118" s="448">
        <v>72029066</v>
      </c>
      <c r="E118" s="448">
        <f t="shared" ref="E118:E130" si="12">D118-C118</f>
        <v>-4807003</v>
      </c>
      <c r="F118" s="449">
        <f t="shared" ref="F118:F130" si="13">IF(C118=0,0,E118/C118)</f>
        <v>-6.2561802842880987E-2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643</v>
      </c>
      <c r="C119" s="448">
        <v>13013835</v>
      </c>
      <c r="D119" s="448">
        <v>12981508</v>
      </c>
      <c r="E119" s="448">
        <f t="shared" si="12"/>
        <v>-32327</v>
      </c>
      <c r="F119" s="449">
        <f t="shared" si="13"/>
        <v>-2.4840487066264479E-3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644</v>
      </c>
      <c r="C120" s="453">
        <f>IF(C118=0,0,C119/C118)</f>
        <v>0.16937143153432277</v>
      </c>
      <c r="D120" s="453">
        <f>IF(LN_ID1=0,0,LN_1D2/LN_ID1)</f>
        <v>0.18022596600100299</v>
      </c>
      <c r="E120" s="454">
        <f t="shared" si="12"/>
        <v>1.0854534466680221E-2</v>
      </c>
      <c r="F120" s="449">
        <f t="shared" si="13"/>
        <v>6.4087162565432843E-2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2251</v>
      </c>
      <c r="D121" s="456">
        <v>2228</v>
      </c>
      <c r="E121" s="456">
        <f t="shared" si="12"/>
        <v>-23</v>
      </c>
      <c r="F121" s="449">
        <f t="shared" si="13"/>
        <v>-1.0217681030653044E-2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645</v>
      </c>
      <c r="C122" s="459">
        <v>1.0746199999999999</v>
      </c>
      <c r="D122" s="459">
        <v>1.1400999999999999</v>
      </c>
      <c r="E122" s="460">
        <f t="shared" si="12"/>
        <v>6.5479999999999983E-2</v>
      </c>
      <c r="F122" s="449">
        <f t="shared" si="13"/>
        <v>6.0933167073011843E-2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646</v>
      </c>
      <c r="C123" s="463">
        <f>C121*C122</f>
        <v>2418.9696199999998</v>
      </c>
      <c r="D123" s="463">
        <f>LN_ID4*LN_ID5</f>
        <v>2540.1427999999996</v>
      </c>
      <c r="E123" s="463">
        <f t="shared" si="12"/>
        <v>121.17317999999977</v>
      </c>
      <c r="F123" s="449">
        <f t="shared" si="13"/>
        <v>5.0092890377019195E-2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647</v>
      </c>
      <c r="C124" s="465">
        <f>IF(C123=0,0,C119/C123)</f>
        <v>5379.9084091018885</v>
      </c>
      <c r="D124" s="465">
        <f>IF(LN_ID6=0,0,LN_1D2/LN_ID6)</f>
        <v>5110.5426041402088</v>
      </c>
      <c r="E124" s="465">
        <f t="shared" si="12"/>
        <v>-269.36580496167971</v>
      </c>
      <c r="F124" s="449">
        <f t="shared" si="13"/>
        <v>-5.0068845875881209E-2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686</v>
      </c>
      <c r="C125" s="465">
        <f>C48-C124</f>
        <v>8570.3788563234466</v>
      </c>
      <c r="D125" s="465">
        <f>LN_IB7-LN_ID7</f>
        <v>9389.6961035142776</v>
      </c>
      <c r="E125" s="465">
        <f t="shared" si="12"/>
        <v>819.31724719083104</v>
      </c>
      <c r="F125" s="449">
        <f t="shared" si="13"/>
        <v>9.5598719837958812E-2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687</v>
      </c>
      <c r="C126" s="465">
        <f>C21-C124</f>
        <v>1671.2079424964886</v>
      </c>
      <c r="D126" s="465">
        <f>LN_IA7-LN_ID7</f>
        <v>1951.8709326290636</v>
      </c>
      <c r="E126" s="465">
        <f t="shared" si="12"/>
        <v>280.66299013257503</v>
      </c>
      <c r="F126" s="449">
        <f t="shared" si="13"/>
        <v>0.1679401964266124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664</v>
      </c>
      <c r="C127" s="479">
        <f>C126*C123</f>
        <v>4042601.2416017125</v>
      </c>
      <c r="D127" s="479">
        <f>LN_ID9*LN_ID6</f>
        <v>4958030.8960470008</v>
      </c>
      <c r="E127" s="479">
        <f t="shared" si="12"/>
        <v>915429.65444528824</v>
      </c>
      <c r="F127" s="449">
        <f t="shared" si="13"/>
        <v>0.22644569665312508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10039</v>
      </c>
      <c r="D128" s="456">
        <v>9360</v>
      </c>
      <c r="E128" s="456">
        <f t="shared" si="12"/>
        <v>-679</v>
      </c>
      <c r="F128" s="449">
        <f t="shared" si="13"/>
        <v>-6.7636218746887133E-2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648</v>
      </c>
      <c r="C129" s="465">
        <f>IF(C128=0,0,C119/C128)</f>
        <v>1296.3278214961649</v>
      </c>
      <c r="D129" s="465">
        <f>IF(LN_ID11=0,0,LN_1D2/LN_ID11)</f>
        <v>1386.9132478632478</v>
      </c>
      <c r="E129" s="465">
        <f t="shared" si="12"/>
        <v>90.585426367082846</v>
      </c>
      <c r="F129" s="449">
        <f t="shared" si="13"/>
        <v>6.9878486648950494E-2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649</v>
      </c>
      <c r="C130" s="466">
        <f>IF(C121=0,0,C128/C121)</f>
        <v>4.4597956463793871</v>
      </c>
      <c r="D130" s="466">
        <f>IF(LN_ID4=0,0,LN_ID11/LN_ID4)</f>
        <v>4.2010771992818672</v>
      </c>
      <c r="E130" s="466">
        <f t="shared" si="12"/>
        <v>-0.2587184470975199</v>
      </c>
      <c r="F130" s="449">
        <f t="shared" si="13"/>
        <v>-5.8011278455674595E-2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688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651</v>
      </c>
      <c r="C133" s="448">
        <v>127898287</v>
      </c>
      <c r="D133" s="448">
        <v>130532218</v>
      </c>
      <c r="E133" s="448">
        <f t="shared" ref="E133:E141" si="14">D133-C133</f>
        <v>2633931</v>
      </c>
      <c r="F133" s="449">
        <f t="shared" ref="F133:F141" si="15">IF(C133=0,0,E133/C133)</f>
        <v>2.0593950566359032E-2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652</v>
      </c>
      <c r="C134" s="448">
        <v>20645716</v>
      </c>
      <c r="D134" s="448">
        <v>21148262</v>
      </c>
      <c r="E134" s="448">
        <f t="shared" si="14"/>
        <v>502546</v>
      </c>
      <c r="F134" s="449">
        <f t="shared" si="15"/>
        <v>2.4341417851529101E-2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653</v>
      </c>
      <c r="C135" s="453">
        <f>IF(C133=0,0,C134/C133)</f>
        <v>0.16142292820544188</v>
      </c>
      <c r="D135" s="453">
        <f>IF(LN_ID14=0,0,LN_ID15/LN_ID14)</f>
        <v>0.1620156488875413</v>
      </c>
      <c r="E135" s="454">
        <f t="shared" si="14"/>
        <v>5.9272068209942352E-4</v>
      </c>
      <c r="F135" s="449">
        <f t="shared" si="15"/>
        <v>3.6718494001364657E-3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654</v>
      </c>
      <c r="C136" s="453">
        <f>IF(C118=0,0,C133/C118)</f>
        <v>1.664560520398304</v>
      </c>
      <c r="D136" s="453">
        <f>IF(LN_ID1=0,0,LN_ID14/LN_ID1)</f>
        <v>1.8122158907349986</v>
      </c>
      <c r="E136" s="454">
        <f t="shared" si="14"/>
        <v>0.14765537033669451</v>
      </c>
      <c r="F136" s="449">
        <f t="shared" si="15"/>
        <v>8.8705318026744279E-2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655</v>
      </c>
      <c r="C137" s="463">
        <f>C136*C121</f>
        <v>3746.9257314165825</v>
      </c>
      <c r="D137" s="463">
        <f>LN_ID17*LN_ID4</f>
        <v>4037.6170045575768</v>
      </c>
      <c r="E137" s="463">
        <f t="shared" si="14"/>
        <v>290.69127314099433</v>
      </c>
      <c r="F137" s="449">
        <f t="shared" si="15"/>
        <v>7.7581274350771307E-2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656</v>
      </c>
      <c r="C138" s="465">
        <f>IF(C137=0,0,C134/C137)</f>
        <v>5510.0414259330864</v>
      </c>
      <c r="D138" s="465">
        <f>IF(LN_ID18=0,0,LN_ID15/LN_ID18)</f>
        <v>5237.8078396559877</v>
      </c>
      <c r="E138" s="465">
        <f t="shared" si="14"/>
        <v>-272.23358627709877</v>
      </c>
      <c r="F138" s="449">
        <f t="shared" si="15"/>
        <v>-4.9406812986165151E-2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689</v>
      </c>
      <c r="C139" s="465">
        <f>C61-C138</f>
        <v>10225.333197842083</v>
      </c>
      <c r="D139" s="465">
        <f>LN_IB18-LN_ID19</f>
        <v>10548.46997901396</v>
      </c>
      <c r="E139" s="465">
        <f t="shared" si="14"/>
        <v>323.13678117187737</v>
      </c>
      <c r="F139" s="449">
        <f t="shared" si="15"/>
        <v>3.1601589397602318E-2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690</v>
      </c>
      <c r="C140" s="465">
        <f>C32-C138</f>
        <v>4029.2607917824025</v>
      </c>
      <c r="D140" s="465">
        <f>LN_IA16-LN_ID19</f>
        <v>3956.9976348936589</v>
      </c>
      <c r="E140" s="465">
        <f t="shared" si="14"/>
        <v>-72.263156888743652</v>
      </c>
      <c r="F140" s="449">
        <f t="shared" si="15"/>
        <v>-1.7934594116152256E-2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667</v>
      </c>
      <c r="C141" s="441">
        <f>C140*C137</f>
        <v>15097340.939317437</v>
      </c>
      <c r="D141" s="441">
        <f>LN_ID21*LN_ID18</f>
        <v>15976840.937640751</v>
      </c>
      <c r="E141" s="441">
        <f t="shared" si="14"/>
        <v>879499.99832331389</v>
      </c>
      <c r="F141" s="449">
        <f t="shared" si="15"/>
        <v>5.8255291568124104E-2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691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658</v>
      </c>
      <c r="C144" s="448">
        <f>C118+C133</f>
        <v>204734356</v>
      </c>
      <c r="D144" s="448">
        <f>LN_ID1+LN_ID14</f>
        <v>202561284</v>
      </c>
      <c r="E144" s="448">
        <f>D144-C144</f>
        <v>-2173072</v>
      </c>
      <c r="F144" s="449">
        <f>IF(C144=0,0,E144/C144)</f>
        <v>-1.0614105235957565E-2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659</v>
      </c>
      <c r="C145" s="448">
        <f>C119+C134</f>
        <v>33659551</v>
      </c>
      <c r="D145" s="448">
        <f>LN_1D2+LN_ID15</f>
        <v>34129770</v>
      </c>
      <c r="E145" s="448">
        <f>D145-C145</f>
        <v>470219</v>
      </c>
      <c r="F145" s="449">
        <f>IF(C145=0,0,E145/C145)</f>
        <v>1.3969853608564179E-2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660</v>
      </c>
      <c r="C146" s="448">
        <f>C144-C145</f>
        <v>171074805</v>
      </c>
      <c r="D146" s="448">
        <f>LN_ID23-LN_ID24</f>
        <v>168431514</v>
      </c>
      <c r="E146" s="448">
        <f>D146-C146</f>
        <v>-2643291</v>
      </c>
      <c r="F146" s="449">
        <f>IF(C146=0,0,E146/C146)</f>
        <v>-1.545108293415854E-2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669</v>
      </c>
      <c r="C148" s="448">
        <f>C127+C141</f>
        <v>19139942.180919148</v>
      </c>
      <c r="D148" s="448">
        <f>LN_ID10+LN_ID22</f>
        <v>20934871.833687752</v>
      </c>
      <c r="E148" s="448">
        <f>D148-C148</f>
        <v>1794929.6527686045</v>
      </c>
      <c r="F148" s="503">
        <f>IF(C148=0,0,E148/C148)</f>
        <v>9.3779262016684281E-2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692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693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642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643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644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645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646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647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694</v>
      </c>
      <c r="C160" s="465">
        <f>C48-C159</f>
        <v>13950.287265425335</v>
      </c>
      <c r="D160" s="465">
        <f>LN_IB7-LN_IE7</f>
        <v>14500.238707654486</v>
      </c>
      <c r="E160" s="465">
        <f t="shared" si="16"/>
        <v>549.95144222915042</v>
      </c>
      <c r="F160" s="449">
        <f t="shared" si="17"/>
        <v>3.9422230651275605E-2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695</v>
      </c>
      <c r="C161" s="465">
        <f>C21-C159</f>
        <v>7051.1163515983772</v>
      </c>
      <c r="D161" s="465">
        <f>LN_IA7-LN_IE7</f>
        <v>7062.4135367692725</v>
      </c>
      <c r="E161" s="465">
        <f t="shared" si="16"/>
        <v>11.297185170895318</v>
      </c>
      <c r="F161" s="449">
        <f t="shared" si="17"/>
        <v>1.602183910684501E-3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664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648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649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696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651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652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653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654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655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656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697</v>
      </c>
      <c r="C174" s="465">
        <f>C61-C173</f>
        <v>15735.374623775169</v>
      </c>
      <c r="D174" s="465">
        <f>LN_IB18-LN_IE19</f>
        <v>15786.277818669949</v>
      </c>
      <c r="E174" s="465">
        <f t="shared" si="18"/>
        <v>50.903194894779517</v>
      </c>
      <c r="F174" s="449">
        <f t="shared" si="19"/>
        <v>3.2349528442664447E-3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698</v>
      </c>
      <c r="C175" s="465">
        <f>C32-C173</f>
        <v>9539.302217715489</v>
      </c>
      <c r="D175" s="465">
        <f>LN_IA16-LN_IE19</f>
        <v>9194.8054745496465</v>
      </c>
      <c r="E175" s="465">
        <f t="shared" si="18"/>
        <v>-344.49674316584242</v>
      </c>
      <c r="F175" s="449">
        <f t="shared" si="19"/>
        <v>-3.6113411159788569E-2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667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699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658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659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660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700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701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702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642</v>
      </c>
      <c r="C188" s="448">
        <f>C118+C153</f>
        <v>76836069</v>
      </c>
      <c r="D188" s="448">
        <f>LN_ID1+LN_IE1</f>
        <v>72029066</v>
      </c>
      <c r="E188" s="448">
        <f t="shared" ref="E188:E200" si="20">D188-C188</f>
        <v>-4807003</v>
      </c>
      <c r="F188" s="449">
        <f t="shared" ref="F188:F200" si="21">IF(C188=0,0,E188/C188)</f>
        <v>-6.2561802842880987E-2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643</v>
      </c>
      <c r="C189" s="448">
        <f>C119+C154</f>
        <v>13013835</v>
      </c>
      <c r="D189" s="448">
        <f>LN_1D2+LN_IE2</f>
        <v>12981508</v>
      </c>
      <c r="E189" s="448">
        <f t="shared" si="20"/>
        <v>-32327</v>
      </c>
      <c r="F189" s="449">
        <f t="shared" si="21"/>
        <v>-2.4840487066264479E-3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644</v>
      </c>
      <c r="C190" s="453">
        <f>IF(C188=0,0,C189/C188)</f>
        <v>0.16937143153432277</v>
      </c>
      <c r="D190" s="453">
        <f>IF(LN_IF1=0,0,LN_IF2/LN_IF1)</f>
        <v>0.18022596600100299</v>
      </c>
      <c r="E190" s="454">
        <f t="shared" si="20"/>
        <v>1.0854534466680221E-2</v>
      </c>
      <c r="F190" s="449">
        <f t="shared" si="21"/>
        <v>6.4087162565432843E-2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2251</v>
      </c>
      <c r="D191" s="456">
        <f>LN_ID4+LN_IE4</f>
        <v>2228</v>
      </c>
      <c r="E191" s="456">
        <f t="shared" si="20"/>
        <v>-23</v>
      </c>
      <c r="F191" s="449">
        <f t="shared" si="21"/>
        <v>-1.0217681030653044E-2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645</v>
      </c>
      <c r="C192" s="459">
        <f>IF((C121+C156)=0,0,(C123+C158)/(C121+C156))</f>
        <v>1.0746199999999999</v>
      </c>
      <c r="D192" s="459">
        <f>IF((LN_ID4+LN_IE4)=0,0,(LN_ID6+LN_IE6)/(LN_ID4+LN_IE4))</f>
        <v>1.1400999999999999</v>
      </c>
      <c r="E192" s="460">
        <f t="shared" si="20"/>
        <v>6.5479999999999983E-2</v>
      </c>
      <c r="F192" s="449">
        <f t="shared" si="21"/>
        <v>6.0933167073011843E-2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646</v>
      </c>
      <c r="C193" s="463">
        <f>C123+C158</f>
        <v>2418.9696199999998</v>
      </c>
      <c r="D193" s="463">
        <f>LN_IF4*LN_IF5</f>
        <v>2540.1427999999996</v>
      </c>
      <c r="E193" s="463">
        <f t="shared" si="20"/>
        <v>121.17317999999977</v>
      </c>
      <c r="F193" s="449">
        <f t="shared" si="21"/>
        <v>5.0092890377019195E-2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647</v>
      </c>
      <c r="C194" s="465">
        <f>IF(C193=0,0,C189/C193)</f>
        <v>5379.9084091018885</v>
      </c>
      <c r="D194" s="465">
        <f>IF(LN_IF6=0,0,LN_IF2/LN_IF6)</f>
        <v>5110.5426041402088</v>
      </c>
      <c r="E194" s="465">
        <f t="shared" si="20"/>
        <v>-269.36580496167971</v>
      </c>
      <c r="F194" s="449">
        <f t="shared" si="21"/>
        <v>-5.0068845875881209E-2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703</v>
      </c>
      <c r="C195" s="465">
        <f>C48-C194</f>
        <v>8570.3788563234466</v>
      </c>
      <c r="D195" s="465">
        <f>LN_IB7-LN_IF7</f>
        <v>9389.6961035142776</v>
      </c>
      <c r="E195" s="465">
        <f t="shared" si="20"/>
        <v>819.31724719083104</v>
      </c>
      <c r="F195" s="449">
        <f t="shared" si="21"/>
        <v>9.5598719837958812E-2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704</v>
      </c>
      <c r="C196" s="465">
        <f>C21-C194</f>
        <v>1671.2079424964886</v>
      </c>
      <c r="D196" s="465">
        <f>LN_IA7-LN_IF7</f>
        <v>1951.8709326290636</v>
      </c>
      <c r="E196" s="465">
        <f t="shared" si="20"/>
        <v>280.66299013257503</v>
      </c>
      <c r="F196" s="449">
        <f t="shared" si="21"/>
        <v>0.1679401964266124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664</v>
      </c>
      <c r="C197" s="479">
        <f>C127+C162</f>
        <v>4042601.2416017125</v>
      </c>
      <c r="D197" s="479">
        <f>LN_IF9*LN_IF6</f>
        <v>4958030.8960470008</v>
      </c>
      <c r="E197" s="479">
        <f t="shared" si="20"/>
        <v>915429.65444528824</v>
      </c>
      <c r="F197" s="449">
        <f t="shared" si="21"/>
        <v>0.22644569665312508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10039</v>
      </c>
      <c r="D198" s="456">
        <f>LN_ID11+LN_IE11</f>
        <v>9360</v>
      </c>
      <c r="E198" s="456">
        <f t="shared" si="20"/>
        <v>-679</v>
      </c>
      <c r="F198" s="449">
        <f t="shared" si="21"/>
        <v>-6.7636218746887133E-2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648</v>
      </c>
      <c r="C199" s="519">
        <f>IF(C198=0,0,C189/C198)</f>
        <v>1296.3278214961649</v>
      </c>
      <c r="D199" s="519">
        <f>IF(LN_IF11=0,0,LN_IF2/LN_IF11)</f>
        <v>1386.9132478632478</v>
      </c>
      <c r="E199" s="519">
        <f t="shared" si="20"/>
        <v>90.585426367082846</v>
      </c>
      <c r="F199" s="449">
        <f t="shared" si="21"/>
        <v>6.9878486648950494E-2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649</v>
      </c>
      <c r="C200" s="466">
        <f>IF(C191=0,0,C198/C191)</f>
        <v>4.4597956463793871</v>
      </c>
      <c r="D200" s="466">
        <f>IF(LN_IF4=0,0,LN_IF11/LN_IF4)</f>
        <v>4.2010771992818672</v>
      </c>
      <c r="E200" s="466">
        <f t="shared" si="20"/>
        <v>-0.2587184470975199</v>
      </c>
      <c r="F200" s="449">
        <f t="shared" si="21"/>
        <v>-5.8011278455674595E-2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705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651</v>
      </c>
      <c r="C203" s="448">
        <f>C133+C168</f>
        <v>127898287</v>
      </c>
      <c r="D203" s="448">
        <f>LN_ID14+LN_IE14</f>
        <v>130532218</v>
      </c>
      <c r="E203" s="448">
        <f t="shared" ref="E203:E211" si="22">D203-C203</f>
        <v>2633931</v>
      </c>
      <c r="F203" s="449">
        <f t="shared" ref="F203:F211" si="23">IF(C203=0,0,E203/C203)</f>
        <v>2.0593950566359032E-2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652</v>
      </c>
      <c r="C204" s="448">
        <f>C134+C169</f>
        <v>20645716</v>
      </c>
      <c r="D204" s="448">
        <f>LN_ID15+LN_IE15</f>
        <v>21148262</v>
      </c>
      <c r="E204" s="448">
        <f t="shared" si="22"/>
        <v>502546</v>
      </c>
      <c r="F204" s="449">
        <f t="shared" si="23"/>
        <v>2.4341417851529101E-2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653</v>
      </c>
      <c r="C205" s="453">
        <f>IF(C203=0,0,C204/C203)</f>
        <v>0.16142292820544188</v>
      </c>
      <c r="D205" s="453">
        <f>IF(LN_IF14=0,0,LN_IF15/LN_IF14)</f>
        <v>0.1620156488875413</v>
      </c>
      <c r="E205" s="454">
        <f t="shared" si="22"/>
        <v>5.9272068209942352E-4</v>
      </c>
      <c r="F205" s="449">
        <f t="shared" si="23"/>
        <v>3.6718494001364657E-3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654</v>
      </c>
      <c r="C206" s="453">
        <f>IF(C188=0,0,C203/C188)</f>
        <v>1.664560520398304</v>
      </c>
      <c r="D206" s="453">
        <f>IF(LN_IF1=0,0,LN_IF14/LN_IF1)</f>
        <v>1.8122158907349986</v>
      </c>
      <c r="E206" s="454">
        <f t="shared" si="22"/>
        <v>0.14765537033669451</v>
      </c>
      <c r="F206" s="449">
        <f t="shared" si="23"/>
        <v>8.8705318026744279E-2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655</v>
      </c>
      <c r="C207" s="463">
        <f>C137+C172</f>
        <v>3746.9257314165825</v>
      </c>
      <c r="D207" s="463">
        <f>LN_ID18+LN_IE18</f>
        <v>4037.6170045575768</v>
      </c>
      <c r="E207" s="463">
        <f t="shared" si="22"/>
        <v>290.69127314099433</v>
      </c>
      <c r="F207" s="449">
        <f t="shared" si="23"/>
        <v>7.7581274350771307E-2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656</v>
      </c>
      <c r="C208" s="465">
        <f>IF(C207=0,0,C204/C207)</f>
        <v>5510.0414259330864</v>
      </c>
      <c r="D208" s="465">
        <f>IF(LN_IF18=0,0,LN_IF15/LN_IF18)</f>
        <v>5237.8078396559877</v>
      </c>
      <c r="E208" s="465">
        <f t="shared" si="22"/>
        <v>-272.23358627709877</v>
      </c>
      <c r="F208" s="449">
        <f t="shared" si="23"/>
        <v>-4.9406812986165151E-2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706</v>
      </c>
      <c r="C209" s="465">
        <f>C61-C208</f>
        <v>10225.333197842083</v>
      </c>
      <c r="D209" s="465">
        <f>LN_IB18-LN_IF19</f>
        <v>10548.46997901396</v>
      </c>
      <c r="E209" s="465">
        <f t="shared" si="22"/>
        <v>323.13678117187737</v>
      </c>
      <c r="F209" s="449">
        <f t="shared" si="23"/>
        <v>3.1601589397602318E-2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707</v>
      </c>
      <c r="C210" s="465">
        <f>C32-C208</f>
        <v>4029.2607917824025</v>
      </c>
      <c r="D210" s="465">
        <f>LN_IA16-LN_IF19</f>
        <v>3956.9976348936589</v>
      </c>
      <c r="E210" s="465">
        <f t="shared" si="22"/>
        <v>-72.263156888743652</v>
      </c>
      <c r="F210" s="449">
        <f t="shared" si="23"/>
        <v>-1.7934594116152256E-2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667</v>
      </c>
      <c r="C211" s="479">
        <f>C141+C176</f>
        <v>15097340.939317437</v>
      </c>
      <c r="D211" s="441">
        <f>LN_IF21*LN_IF18</f>
        <v>15976840.937640751</v>
      </c>
      <c r="E211" s="441">
        <f t="shared" si="22"/>
        <v>879499.99832331389</v>
      </c>
      <c r="F211" s="449">
        <f t="shared" si="23"/>
        <v>5.8255291568124104E-2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708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658</v>
      </c>
      <c r="C214" s="448">
        <f>C188+C203</f>
        <v>204734356</v>
      </c>
      <c r="D214" s="448">
        <f>LN_IF1+LN_IF14</f>
        <v>202561284</v>
      </c>
      <c r="E214" s="448">
        <f>D214-C214</f>
        <v>-2173072</v>
      </c>
      <c r="F214" s="449">
        <f>IF(C214=0,0,E214/C214)</f>
        <v>-1.0614105235957565E-2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659</v>
      </c>
      <c r="C215" s="448">
        <f>C189+C204</f>
        <v>33659551</v>
      </c>
      <c r="D215" s="448">
        <f>LN_IF2+LN_IF15</f>
        <v>34129770</v>
      </c>
      <c r="E215" s="448">
        <f>D215-C215</f>
        <v>470219</v>
      </c>
      <c r="F215" s="449">
        <f>IF(C215=0,0,E215/C215)</f>
        <v>1.3969853608564179E-2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660</v>
      </c>
      <c r="C216" s="448">
        <f>C214-C215</f>
        <v>171074805</v>
      </c>
      <c r="D216" s="448">
        <f>LN_IF23-LN_IF24</f>
        <v>168431514</v>
      </c>
      <c r="E216" s="448">
        <f>D216-C216</f>
        <v>-2643291</v>
      </c>
      <c r="F216" s="449">
        <f>IF(C216=0,0,E216/C216)</f>
        <v>-1.545108293415854E-2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709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710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642</v>
      </c>
      <c r="C221" s="448">
        <v>1934851</v>
      </c>
      <c r="D221" s="448">
        <v>1856087</v>
      </c>
      <c r="E221" s="448">
        <f t="shared" ref="E221:E230" si="24">D221-C221</f>
        <v>-78764</v>
      </c>
      <c r="F221" s="449">
        <f t="shared" ref="F221:F230" si="25">IF(C221=0,0,E221/C221)</f>
        <v>-4.0708044185314526E-2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643</v>
      </c>
      <c r="C222" s="448">
        <v>373735</v>
      </c>
      <c r="D222" s="448">
        <v>410282</v>
      </c>
      <c r="E222" s="448">
        <f t="shared" si="24"/>
        <v>36547</v>
      </c>
      <c r="F222" s="449">
        <f t="shared" si="25"/>
        <v>9.778854000829465E-2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644</v>
      </c>
      <c r="C223" s="453">
        <f>IF(C221=0,0,C222/C221)</f>
        <v>0.19315957662889804</v>
      </c>
      <c r="D223" s="453">
        <f>IF(LN_IG1=0,0,LN_IG2/LN_IG1)</f>
        <v>0.22104675050253572</v>
      </c>
      <c r="E223" s="454">
        <f t="shared" si="24"/>
        <v>2.7887173873637677E-2</v>
      </c>
      <c r="F223" s="449">
        <f t="shared" si="25"/>
        <v>0.14437375749282708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62</v>
      </c>
      <c r="D224" s="456">
        <v>65</v>
      </c>
      <c r="E224" s="456">
        <f t="shared" si="24"/>
        <v>3</v>
      </c>
      <c r="F224" s="449">
        <f t="shared" si="25"/>
        <v>4.8387096774193547E-2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645</v>
      </c>
      <c r="C225" s="459">
        <v>1.22936</v>
      </c>
      <c r="D225" s="459">
        <v>1.0262</v>
      </c>
      <c r="E225" s="460">
        <f t="shared" si="24"/>
        <v>-0.20316000000000001</v>
      </c>
      <c r="F225" s="449">
        <f t="shared" si="25"/>
        <v>-0.16525671894318997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646</v>
      </c>
      <c r="C226" s="463">
        <f>C224*C225</f>
        <v>76.220320000000001</v>
      </c>
      <c r="D226" s="463">
        <f>LN_IG3*LN_IG4</f>
        <v>66.703000000000003</v>
      </c>
      <c r="E226" s="463">
        <f t="shared" si="24"/>
        <v>-9.517319999999998</v>
      </c>
      <c r="F226" s="449">
        <f t="shared" si="25"/>
        <v>-0.12486591502108621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647</v>
      </c>
      <c r="C227" s="465">
        <f>IF(C226=0,0,C222/C226)</f>
        <v>4903.3512323222994</v>
      </c>
      <c r="D227" s="465">
        <f>IF(LN_IG5=0,0,LN_IG2/LN_IG5)</f>
        <v>6150.8777716144696</v>
      </c>
      <c r="E227" s="465">
        <f t="shared" si="24"/>
        <v>1247.5265392921701</v>
      </c>
      <c r="F227" s="449">
        <f t="shared" si="25"/>
        <v>0.25442324650712878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180</v>
      </c>
      <c r="D228" s="456">
        <v>222</v>
      </c>
      <c r="E228" s="456">
        <f t="shared" si="24"/>
        <v>42</v>
      </c>
      <c r="F228" s="449">
        <f t="shared" si="25"/>
        <v>0.23333333333333334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648</v>
      </c>
      <c r="C229" s="465">
        <f>IF(C228=0,0,C222/C228)</f>
        <v>2076.3055555555557</v>
      </c>
      <c r="D229" s="465">
        <f>IF(LN_IG6=0,0,LN_IG2/LN_IG6)</f>
        <v>1848.117117117117</v>
      </c>
      <c r="E229" s="465">
        <f t="shared" si="24"/>
        <v>-228.18843843843865</v>
      </c>
      <c r="F229" s="449">
        <f t="shared" si="25"/>
        <v>-0.10990118377705849</v>
      </c>
      <c r="Q229" s="421"/>
      <c r="U229" s="462"/>
    </row>
    <row r="230" spans="1:21" ht="15.75" customHeight="1" x14ac:dyDescent="0.2">
      <c r="A230" s="451">
        <v>10</v>
      </c>
      <c r="B230" s="447" t="s">
        <v>649</v>
      </c>
      <c r="C230" s="466">
        <f>IF(C224=0,0,C228/C224)</f>
        <v>2.903225806451613</v>
      </c>
      <c r="D230" s="466">
        <f>IF(LN_IG3=0,0,LN_IG6/LN_IG3)</f>
        <v>3.4153846153846152</v>
      </c>
      <c r="E230" s="466">
        <f t="shared" si="24"/>
        <v>0.51215880893300225</v>
      </c>
      <c r="F230" s="449">
        <f t="shared" si="25"/>
        <v>0.17641025641025632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711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651</v>
      </c>
      <c r="C233" s="448">
        <v>3663118</v>
      </c>
      <c r="D233" s="448">
        <v>3518578</v>
      </c>
      <c r="E233" s="448">
        <f>D233-C233</f>
        <v>-144540</v>
      </c>
      <c r="F233" s="449">
        <f>IF(C233=0,0,E233/C233)</f>
        <v>-3.9458188352108778E-2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652</v>
      </c>
      <c r="C234" s="448">
        <v>599314</v>
      </c>
      <c r="D234" s="448">
        <v>586459</v>
      </c>
      <c r="E234" s="448">
        <f>D234-C234</f>
        <v>-12855</v>
      </c>
      <c r="F234" s="449">
        <f>IF(C234=0,0,E234/C234)</f>
        <v>-2.1449523955722711E-2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712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658</v>
      </c>
      <c r="C237" s="448">
        <f>C221+C233</f>
        <v>5597969</v>
      </c>
      <c r="D237" s="448">
        <f>LN_IG1+LN_IG9</f>
        <v>5374665</v>
      </c>
      <c r="E237" s="448">
        <f>D237-C237</f>
        <v>-223304</v>
      </c>
      <c r="F237" s="449">
        <f>IF(C237=0,0,E237/C237)</f>
        <v>-3.9890181599790922E-2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659</v>
      </c>
      <c r="C238" s="448">
        <f>C222+C234</f>
        <v>973049</v>
      </c>
      <c r="D238" s="448">
        <f>LN_IG2+LN_IG10</f>
        <v>996741</v>
      </c>
      <c r="E238" s="448">
        <f>D238-C238</f>
        <v>23692</v>
      </c>
      <c r="F238" s="449">
        <f>IF(C238=0,0,E238/C238)</f>
        <v>2.4348208569147083E-2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660</v>
      </c>
      <c r="C239" s="448">
        <f>C237-C238</f>
        <v>4624920</v>
      </c>
      <c r="D239" s="448">
        <f>LN_IG13-LN_IG14</f>
        <v>4377924</v>
      </c>
      <c r="E239" s="448">
        <f>D239-C239</f>
        <v>-246996</v>
      </c>
      <c r="F239" s="449">
        <f>IF(C239=0,0,E239/C239)</f>
        <v>-5.3405464310734022E-2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713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714</v>
      </c>
      <c r="C243" s="448">
        <v>13366834</v>
      </c>
      <c r="D243" s="448">
        <v>11182242</v>
      </c>
      <c r="E243" s="441">
        <f>D243-C243</f>
        <v>-2184592</v>
      </c>
      <c r="F243" s="503">
        <f>IF(C243=0,0,E243/C243)</f>
        <v>-0.16343376449501804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715</v>
      </c>
      <c r="C244" s="448">
        <v>365751321</v>
      </c>
      <c r="D244" s="448">
        <v>366705400</v>
      </c>
      <c r="E244" s="441">
        <f>D244-C244</f>
        <v>954079</v>
      </c>
      <c r="F244" s="503">
        <f>IF(C244=0,0,E244/C244)</f>
        <v>2.6085456024914806E-3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716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717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718</v>
      </c>
      <c r="C248" s="441">
        <v>6695669</v>
      </c>
      <c r="D248" s="441">
        <v>5726046</v>
      </c>
      <c r="E248" s="441">
        <f>D248-C248</f>
        <v>-969623</v>
      </c>
      <c r="F248" s="449">
        <f>IF(C248=0,0,E248/C248)</f>
        <v>-0.14481346076097848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719</v>
      </c>
      <c r="C249" s="441">
        <v>10271353</v>
      </c>
      <c r="D249" s="441">
        <v>10993577</v>
      </c>
      <c r="E249" s="441">
        <f>D249-C249</f>
        <v>722224</v>
      </c>
      <c r="F249" s="449">
        <f>IF(C249=0,0,E249/C249)</f>
        <v>7.0314397723454741E-2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720</v>
      </c>
      <c r="C250" s="441">
        <f>C248+C249</f>
        <v>16967022</v>
      </c>
      <c r="D250" s="441">
        <f>LN_IH4+LN_IH5</f>
        <v>16719623</v>
      </c>
      <c r="E250" s="441">
        <f>D250-C250</f>
        <v>-247399</v>
      </c>
      <c r="F250" s="449">
        <f>IF(C250=0,0,E250/C250)</f>
        <v>-1.4581168103630679E-2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721</v>
      </c>
      <c r="C251" s="441">
        <f>C250*C313</f>
        <v>4921160.9637280917</v>
      </c>
      <c r="D251" s="441">
        <f>LN_IH6*LN_III10</f>
        <v>5072257.7143385038</v>
      </c>
      <c r="E251" s="441">
        <f>D251-C251</f>
        <v>151096.7506104121</v>
      </c>
      <c r="F251" s="449">
        <f>IF(C251=0,0,E251/C251)</f>
        <v>3.070347662352152E-2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722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658</v>
      </c>
      <c r="C254" s="441">
        <f>C188+C203</f>
        <v>204734356</v>
      </c>
      <c r="D254" s="441">
        <f>LN_IF23</f>
        <v>202561284</v>
      </c>
      <c r="E254" s="441">
        <f>D254-C254</f>
        <v>-2173072</v>
      </c>
      <c r="F254" s="449">
        <f>IF(C254=0,0,E254/C254)</f>
        <v>-1.0614105235957565E-2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659</v>
      </c>
      <c r="C255" s="441">
        <f>C189+C204</f>
        <v>33659551</v>
      </c>
      <c r="D255" s="441">
        <f>LN_IF24</f>
        <v>34129770</v>
      </c>
      <c r="E255" s="441">
        <f>D255-C255</f>
        <v>470219</v>
      </c>
      <c r="F255" s="449">
        <f>IF(C255=0,0,E255/C255)</f>
        <v>1.3969853608564179E-2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723</v>
      </c>
      <c r="C256" s="441">
        <f>C254*C313</f>
        <v>59381706.505785763</v>
      </c>
      <c r="D256" s="441">
        <f>LN_IH8*LN_III10</f>
        <v>61451327.903464839</v>
      </c>
      <c r="E256" s="441">
        <f>D256-C256</f>
        <v>2069621.3976790756</v>
      </c>
      <c r="F256" s="449">
        <f>IF(C256=0,0,E256/C256)</f>
        <v>3.4852844747353721E-2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724</v>
      </c>
      <c r="C257" s="441">
        <f>C256-C255</f>
        <v>25722155.505785763</v>
      </c>
      <c r="D257" s="441">
        <f>LN_IH10-LN_IH9</f>
        <v>27321557.903464839</v>
      </c>
      <c r="E257" s="441">
        <f>D257-C257</f>
        <v>1599402.3976790756</v>
      </c>
      <c r="F257" s="449">
        <f>IF(C257=0,0,E257/C257)</f>
        <v>6.2179952116350322E-2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725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726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557817787</v>
      </c>
      <c r="D261" s="448">
        <f>LN_IA1+LN_IB1+LN_IF1+LN_IG1</f>
        <v>534831248</v>
      </c>
      <c r="E261" s="448">
        <f t="shared" ref="E261:E274" si="26">D261-C261</f>
        <v>-22986539</v>
      </c>
      <c r="F261" s="503">
        <f t="shared" ref="F261:F274" si="27">IF(C261=0,0,E261/C261)</f>
        <v>-4.120797065942252E-2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156510223</v>
      </c>
      <c r="D262" s="448">
        <f>+LN_IA2+LN_IB2+LN_IF2+LN_IG2</f>
        <v>165208320</v>
      </c>
      <c r="E262" s="448">
        <f t="shared" si="26"/>
        <v>8698097</v>
      </c>
      <c r="F262" s="503">
        <f t="shared" si="27"/>
        <v>5.5575264243282053E-2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727</v>
      </c>
      <c r="C263" s="453">
        <f>IF(C261=0,0,C262/C261)</f>
        <v>0.28057589171139141</v>
      </c>
      <c r="D263" s="453">
        <f>IF(LN_IIA1=0,0,LN_IIA2/LN_IIA1)</f>
        <v>0.3088980320760914</v>
      </c>
      <c r="E263" s="454">
        <f t="shared" si="26"/>
        <v>2.8322140364699988E-2</v>
      </c>
      <c r="F263" s="458">
        <f t="shared" si="27"/>
        <v>0.10094288640391447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13617</v>
      </c>
      <c r="D264" s="456">
        <f>LN_IA4+LN_IB4+LN_IF4+LN_IG3</f>
        <v>13338</v>
      </c>
      <c r="E264" s="456">
        <f t="shared" si="26"/>
        <v>-279</v>
      </c>
      <c r="F264" s="503">
        <f t="shared" si="27"/>
        <v>-2.0489094514210177E-2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728</v>
      </c>
      <c r="C265" s="525">
        <f>IF(C264=0,0,C266/C264)</f>
        <v>1.3254051802893443</v>
      </c>
      <c r="D265" s="525">
        <f>IF(LN_IIA4=0,0,LN_IIA6/LN_IIA4)</f>
        <v>1.3901998500524817</v>
      </c>
      <c r="E265" s="525">
        <f t="shared" si="26"/>
        <v>6.4794669763137414E-2</v>
      </c>
      <c r="F265" s="503">
        <f t="shared" si="27"/>
        <v>4.8886688181641429E-2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729</v>
      </c>
      <c r="C266" s="463">
        <f>C20+C47+C193+C226</f>
        <v>18048.04234</v>
      </c>
      <c r="D266" s="463">
        <f>LN_IA6+LN_IB6+LN_IF6+LN_IG5</f>
        <v>18542.4856</v>
      </c>
      <c r="E266" s="463">
        <f t="shared" si="26"/>
        <v>494.44326000000001</v>
      </c>
      <c r="F266" s="503">
        <f t="shared" si="27"/>
        <v>2.7395949692790893E-2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707101172</v>
      </c>
      <c r="D267" s="448">
        <f>LN_IA11+LN_IB13+LN_IF14+LN_IG9</f>
        <v>752709188</v>
      </c>
      <c r="E267" s="448">
        <f t="shared" si="26"/>
        <v>45608016</v>
      </c>
      <c r="F267" s="503">
        <f t="shared" si="27"/>
        <v>6.4499986431927447E-2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654</v>
      </c>
      <c r="C268" s="453">
        <f>IF(C261=0,0,C267/C261)</f>
        <v>1.2676203385389717</v>
      </c>
      <c r="D268" s="453">
        <f>IF(LN_IIA1=0,0,LN_IIA7/LN_IIA1)</f>
        <v>1.4073769825804943</v>
      </c>
      <c r="E268" s="454">
        <f t="shared" si="26"/>
        <v>0.13975664404152255</v>
      </c>
      <c r="F268" s="458">
        <f t="shared" si="27"/>
        <v>0.11025118467458692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205028892</v>
      </c>
      <c r="D269" s="448">
        <f>LN_IA12+LN_IB14+LN_IF15+LN_IG10</f>
        <v>217226140</v>
      </c>
      <c r="E269" s="448">
        <f t="shared" si="26"/>
        <v>12197248</v>
      </c>
      <c r="F269" s="503">
        <f t="shared" si="27"/>
        <v>5.9490386359791675E-2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653</v>
      </c>
      <c r="C270" s="453">
        <f>IF(C267=0,0,C269/C267)</f>
        <v>0.28995693985358012</v>
      </c>
      <c r="D270" s="453">
        <f>IF(LN_IIA7=0,0,LN_IIA9/LN_IIA7)</f>
        <v>0.28859238529714876</v>
      </c>
      <c r="E270" s="454">
        <f t="shared" si="26"/>
        <v>-1.3645545564313633E-3</v>
      </c>
      <c r="F270" s="458">
        <f t="shared" si="27"/>
        <v>-4.7060593104632153E-3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730</v>
      </c>
      <c r="C271" s="441">
        <f>C261+C267</f>
        <v>1264918959</v>
      </c>
      <c r="D271" s="441">
        <f>LN_IIA1+LN_IIA7</f>
        <v>1287540436</v>
      </c>
      <c r="E271" s="441">
        <f t="shared" si="26"/>
        <v>22621477</v>
      </c>
      <c r="F271" s="503">
        <f t="shared" si="27"/>
        <v>1.7883736218076561E-2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731</v>
      </c>
      <c r="C272" s="441">
        <f>C262+C269</f>
        <v>361539115</v>
      </c>
      <c r="D272" s="441">
        <f>LN_IIA2+LN_IIA9</f>
        <v>382434460</v>
      </c>
      <c r="E272" s="441">
        <f t="shared" si="26"/>
        <v>20895345</v>
      </c>
      <c r="F272" s="503">
        <f t="shared" si="27"/>
        <v>5.7795530644035573E-2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732</v>
      </c>
      <c r="C273" s="453">
        <f>IF(C271=0,0,C272/C271)</f>
        <v>0.28581998271716946</v>
      </c>
      <c r="D273" s="453">
        <f>IF(LN_IIA11=0,0,LN_IIA12/LN_IIA11)</f>
        <v>0.29702714517309342</v>
      </c>
      <c r="E273" s="454">
        <f t="shared" si="26"/>
        <v>1.1207162455923958E-2</v>
      </c>
      <c r="F273" s="458">
        <f t="shared" si="27"/>
        <v>3.9210563059245238E-2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58224</v>
      </c>
      <c r="D274" s="508">
        <f>LN_IA8+LN_IB10+LN_IF11+LN_IG6</f>
        <v>54860</v>
      </c>
      <c r="E274" s="528">
        <f t="shared" si="26"/>
        <v>-3364</v>
      </c>
      <c r="F274" s="458">
        <f t="shared" si="27"/>
        <v>-5.7776861775212969E-2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733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734</v>
      </c>
      <c r="C277" s="448">
        <f>C15+C188+C221</f>
        <v>411998006</v>
      </c>
      <c r="D277" s="448">
        <f>LN_IA1+LN_IF1+LN_IG1</f>
        <v>385868346</v>
      </c>
      <c r="E277" s="448">
        <f t="shared" ref="E277:E291" si="28">D277-C277</f>
        <v>-26129660</v>
      </c>
      <c r="F277" s="503">
        <f t="shared" ref="F277:F291" si="29">IF(C277=0,0,E277/C277)</f>
        <v>-6.3421811803623149E-2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735</v>
      </c>
      <c r="C278" s="448">
        <f>C16+C189+C222</f>
        <v>88857998</v>
      </c>
      <c r="D278" s="448">
        <f>LN_IA2+LN_IF2+LN_IG2</f>
        <v>88645627</v>
      </c>
      <c r="E278" s="448">
        <f t="shared" si="28"/>
        <v>-212371</v>
      </c>
      <c r="F278" s="503">
        <f t="shared" si="29"/>
        <v>-2.3900043302798697E-3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736</v>
      </c>
      <c r="C279" s="453">
        <f>IF(C277=0,0,C278/C277)</f>
        <v>0.21567579625615954</v>
      </c>
      <c r="D279" s="453">
        <f>IF(D277=0,0,LN_IIB2/D277)</f>
        <v>0.2297302380952492</v>
      </c>
      <c r="E279" s="454">
        <f t="shared" si="28"/>
        <v>1.405444183908966E-2</v>
      </c>
      <c r="F279" s="458">
        <f t="shared" si="29"/>
        <v>6.5164668836539763E-2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737</v>
      </c>
      <c r="C280" s="456">
        <f>C18+C191+C224</f>
        <v>9817</v>
      </c>
      <c r="D280" s="456">
        <f>LN_IA4+LN_IF4+LN_IG3</f>
        <v>9430</v>
      </c>
      <c r="E280" s="456">
        <f t="shared" si="28"/>
        <v>-387</v>
      </c>
      <c r="F280" s="503">
        <f t="shared" si="29"/>
        <v>-3.9421411836609965E-2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738</v>
      </c>
      <c r="C281" s="525">
        <f>IF(C280=0,0,C282/C280)</f>
        <v>1.344455570948355</v>
      </c>
      <c r="D281" s="525">
        <f>IF(LN_IIB4=0,0,LN_IIB6/LN_IIB4)</f>
        <v>1.4064036903499471</v>
      </c>
      <c r="E281" s="525">
        <f t="shared" si="28"/>
        <v>6.1948119401592061E-2</v>
      </c>
      <c r="F281" s="503">
        <f t="shared" si="29"/>
        <v>4.6076732277508407E-2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739</v>
      </c>
      <c r="C282" s="463">
        <f>C20+C193+C226</f>
        <v>13198.520340000001</v>
      </c>
      <c r="D282" s="463">
        <f>LN_IA6+LN_IF6+LN_IG5</f>
        <v>13262.3868</v>
      </c>
      <c r="E282" s="463">
        <f t="shared" si="28"/>
        <v>63.866459999999279</v>
      </c>
      <c r="F282" s="503">
        <f t="shared" si="29"/>
        <v>4.838910601701529E-3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740</v>
      </c>
      <c r="C283" s="448">
        <f>C27+C203+C233</f>
        <v>399028710</v>
      </c>
      <c r="D283" s="448">
        <f>LN_IA11+LN_IF14+LN_IG9</f>
        <v>432005970</v>
      </c>
      <c r="E283" s="448">
        <f t="shared" si="28"/>
        <v>32977260</v>
      </c>
      <c r="F283" s="503">
        <f t="shared" si="29"/>
        <v>8.2643827808780976E-2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741</v>
      </c>
      <c r="C284" s="453">
        <f>IF(C277=0,0,C283/C277)</f>
        <v>0.96852097386121816</v>
      </c>
      <c r="D284" s="453">
        <f>IF(D277=0,0,LN_IIB7/D277)</f>
        <v>1.1195683047813412</v>
      </c>
      <c r="E284" s="454">
        <f t="shared" si="28"/>
        <v>0.15104733092012301</v>
      </c>
      <c r="F284" s="458">
        <f t="shared" si="29"/>
        <v>0.1559566958245005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742</v>
      </c>
      <c r="C285" s="448">
        <f>C28+C204+C234</f>
        <v>78701619</v>
      </c>
      <c r="D285" s="448">
        <f>LN_IA12+LN_IF15+LN_IG10</f>
        <v>84407359</v>
      </c>
      <c r="E285" s="448">
        <f t="shared" si="28"/>
        <v>5705740</v>
      </c>
      <c r="F285" s="503">
        <f t="shared" si="29"/>
        <v>7.2498381513600121E-2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743</v>
      </c>
      <c r="C286" s="453">
        <f>IF(C283=0,0,C285/C283)</f>
        <v>0.19723297353716729</v>
      </c>
      <c r="D286" s="453">
        <f>IF(LN_IIB7=0,0,LN_IIB9/LN_IIB7)</f>
        <v>0.19538470498451677</v>
      </c>
      <c r="E286" s="454">
        <f t="shared" si="28"/>
        <v>-1.8482685526505227E-3</v>
      </c>
      <c r="F286" s="458">
        <f t="shared" si="29"/>
        <v>-9.3709916729629809E-3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744</v>
      </c>
      <c r="C287" s="441">
        <f>C277+C283</f>
        <v>811026716</v>
      </c>
      <c r="D287" s="441">
        <f>D277+LN_IIB7</f>
        <v>817874316</v>
      </c>
      <c r="E287" s="441">
        <f t="shared" si="28"/>
        <v>6847600</v>
      </c>
      <c r="F287" s="503">
        <f t="shared" si="29"/>
        <v>8.443125072096885E-3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745</v>
      </c>
      <c r="C288" s="441">
        <f>C278+C285</f>
        <v>167559617</v>
      </c>
      <c r="D288" s="441">
        <f>LN_IIB2+LN_IIB9</f>
        <v>173052986</v>
      </c>
      <c r="E288" s="441">
        <f t="shared" si="28"/>
        <v>5493369</v>
      </c>
      <c r="F288" s="503">
        <f t="shared" si="29"/>
        <v>3.2784564075483656E-2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746</v>
      </c>
      <c r="C289" s="453">
        <f>IF(C287=0,0,C288/C287)</f>
        <v>0.20660184639343002</v>
      </c>
      <c r="D289" s="453">
        <f>IF(LN_IIB11=0,0,LN_IIB12/LN_IIB11)</f>
        <v>0.21158872777220211</v>
      </c>
      <c r="E289" s="454">
        <f t="shared" si="28"/>
        <v>4.9868813787720956E-3</v>
      </c>
      <c r="F289" s="458">
        <f t="shared" si="29"/>
        <v>2.4137641874098368E-2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45050</v>
      </c>
      <c r="D290" s="508">
        <f>LN_IA8+LN_IF11+LN_IG6</f>
        <v>41685</v>
      </c>
      <c r="E290" s="528">
        <f t="shared" si="28"/>
        <v>-3365</v>
      </c>
      <c r="F290" s="458">
        <f t="shared" si="29"/>
        <v>-7.4694783573806878E-2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747</v>
      </c>
      <c r="C291" s="448">
        <f>C287-C288</f>
        <v>643467099</v>
      </c>
      <c r="D291" s="516">
        <f>LN_IIB11-LN_IIB12</f>
        <v>644821330</v>
      </c>
      <c r="E291" s="441">
        <f t="shared" si="28"/>
        <v>1354231</v>
      </c>
      <c r="F291" s="503">
        <f t="shared" si="29"/>
        <v>2.1045846821144154E-3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649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640</v>
      </c>
      <c r="C294" s="466">
        <f>IF(C18=0,0,C22/C18)</f>
        <v>4.641657782515991</v>
      </c>
      <c r="D294" s="466">
        <f>IF(LN_IA4=0,0,LN_IA8/LN_IA4)</f>
        <v>4.4981084489281207</v>
      </c>
      <c r="E294" s="466">
        <f t="shared" ref="E294:E300" si="30">D294-C294</f>
        <v>-0.14354933358787036</v>
      </c>
      <c r="F294" s="503">
        <f t="shared" ref="F294:F300" si="31">IF(C294=0,0,E294/C294)</f>
        <v>-3.0926307003628358E-2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661</v>
      </c>
      <c r="C295" s="466">
        <f>IF(C45=0,0,C51/C45)</f>
        <v>3.4668421052631579</v>
      </c>
      <c r="D295" s="466">
        <f>IF(LN_IB4=0,0,(LN_IB10)/(LN_IB4))</f>
        <v>3.3712896622313204</v>
      </c>
      <c r="E295" s="466">
        <f t="shared" si="30"/>
        <v>-9.555244303183752E-2</v>
      </c>
      <c r="F295" s="503">
        <f t="shared" si="31"/>
        <v>-2.7561809892286515E-2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676</v>
      </c>
      <c r="C296" s="466">
        <f>IF(C86=0,0,C93/C86)</f>
        <v>4.2826086956521738</v>
      </c>
      <c r="D296" s="466">
        <f>IF(LN_IC4=0,0,LN_IC11/LN_IC4)</f>
        <v>3.9430894308943087</v>
      </c>
      <c r="E296" s="466">
        <f t="shared" si="30"/>
        <v>-0.33951926475786509</v>
      </c>
      <c r="F296" s="503">
        <f t="shared" si="31"/>
        <v>-7.9278610044983724E-2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4.4597956463793871</v>
      </c>
      <c r="D297" s="466">
        <f>IF(LN_ID4=0,0,LN_ID11/LN_ID4)</f>
        <v>4.2010771992818672</v>
      </c>
      <c r="E297" s="466">
        <f t="shared" si="30"/>
        <v>-0.2587184470975199</v>
      </c>
      <c r="F297" s="503">
        <f t="shared" si="31"/>
        <v>-5.8011278455674595E-2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748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2.903225806451613</v>
      </c>
      <c r="D299" s="466">
        <f>IF(LN_IG3=0,0,LN_IG6/LN_IG3)</f>
        <v>3.4153846153846152</v>
      </c>
      <c r="E299" s="466">
        <f t="shared" si="30"/>
        <v>0.51215880893300225</v>
      </c>
      <c r="F299" s="503">
        <f t="shared" si="31"/>
        <v>0.17641025641025632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749</v>
      </c>
      <c r="C300" s="466">
        <f>IF(C264=0,0,C274/C264)</f>
        <v>4.2758316809870012</v>
      </c>
      <c r="D300" s="466">
        <f>IF(LN_IIA4=0,0,LN_IIA14/LN_IIA4)</f>
        <v>4.1130604288499022</v>
      </c>
      <c r="E300" s="466">
        <f t="shared" si="30"/>
        <v>-0.16277125213709898</v>
      </c>
      <c r="F300" s="503">
        <f t="shared" si="31"/>
        <v>-3.8067740800200554E-2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750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744</v>
      </c>
      <c r="C304" s="441">
        <f>C35+C66+C214+C221+C233</f>
        <v>1264918959</v>
      </c>
      <c r="D304" s="441">
        <f>LN_IIA11</f>
        <v>1287540436</v>
      </c>
      <c r="E304" s="441">
        <f t="shared" ref="E304:E316" si="32">D304-C304</f>
        <v>22621477</v>
      </c>
      <c r="F304" s="449">
        <f>IF(C304=0,0,E304/C304)</f>
        <v>1.7883736218076561E-2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747</v>
      </c>
      <c r="C305" s="441">
        <f>C291</f>
        <v>643467099</v>
      </c>
      <c r="D305" s="441">
        <f>LN_IIB14</f>
        <v>644821330</v>
      </c>
      <c r="E305" s="441">
        <f t="shared" si="32"/>
        <v>1354231</v>
      </c>
      <c r="F305" s="449">
        <f>IF(C305=0,0,E305/C305)</f>
        <v>2.1045846821144154E-3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751</v>
      </c>
      <c r="C306" s="441">
        <f>C250</f>
        <v>16967022</v>
      </c>
      <c r="D306" s="441">
        <f>LN_IH6</f>
        <v>16719623</v>
      </c>
      <c r="E306" s="441">
        <f t="shared" si="32"/>
        <v>-247399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752</v>
      </c>
      <c r="C307" s="441">
        <f>C73-C74</f>
        <v>222008275</v>
      </c>
      <c r="D307" s="441">
        <f>LN_IB32-LN_IB33</f>
        <v>219233331</v>
      </c>
      <c r="E307" s="441">
        <f t="shared" si="32"/>
        <v>-2774944</v>
      </c>
      <c r="F307" s="449">
        <f t="shared" ref="F307:F316" si="33">IF(C307=0,0,E307/C307)</f>
        <v>-1.2499281839832321E-2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753</v>
      </c>
      <c r="C308" s="441">
        <v>15596046</v>
      </c>
      <c r="D308" s="441">
        <v>16163032</v>
      </c>
      <c r="E308" s="441">
        <f t="shared" si="32"/>
        <v>566986</v>
      </c>
      <c r="F308" s="449">
        <f t="shared" si="33"/>
        <v>3.6354470870373169E-2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754</v>
      </c>
      <c r="C309" s="441">
        <f>C305+C307+C308+C306</f>
        <v>898038442</v>
      </c>
      <c r="D309" s="441">
        <f>LN_III2+LN_III3+LN_III4+LN_III5</f>
        <v>896937316</v>
      </c>
      <c r="E309" s="441">
        <f t="shared" si="32"/>
        <v>-1101126</v>
      </c>
      <c r="F309" s="449">
        <f t="shared" si="33"/>
        <v>-1.2261457288484316E-3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755</v>
      </c>
      <c r="C310" s="441">
        <f>C304-C309</f>
        <v>366880517</v>
      </c>
      <c r="D310" s="441">
        <f>LN_III1-LN_III6</f>
        <v>390603120</v>
      </c>
      <c r="E310" s="441">
        <f t="shared" si="32"/>
        <v>23722603</v>
      </c>
      <c r="F310" s="449">
        <f t="shared" si="33"/>
        <v>6.4660296474669435E-2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756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757</v>
      </c>
      <c r="C312" s="441">
        <f>C310+C311</f>
        <v>366880517</v>
      </c>
      <c r="D312" s="441">
        <f>LN_III7+LN_III8</f>
        <v>390603120</v>
      </c>
      <c r="E312" s="441">
        <f t="shared" si="32"/>
        <v>23722603</v>
      </c>
      <c r="F312" s="449">
        <f t="shared" si="33"/>
        <v>6.4660296474669435E-2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758</v>
      </c>
      <c r="C313" s="532">
        <f>IF(C304=0,0,C312/C304)</f>
        <v>0.29004270541572302</v>
      </c>
      <c r="D313" s="532">
        <f>IF(LN_III1=0,0,LN_III9/LN_III1)</f>
        <v>0.30337153620859175</v>
      </c>
      <c r="E313" s="532">
        <f t="shared" si="32"/>
        <v>1.3328830792868729E-2</v>
      </c>
      <c r="F313" s="449">
        <f t="shared" si="33"/>
        <v>4.5954718198357357E-2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721</v>
      </c>
      <c r="C314" s="441">
        <f>C306*C313</f>
        <v>4921160.9637280917</v>
      </c>
      <c r="D314" s="441">
        <f>D313*LN_III5</f>
        <v>5072257.7143385038</v>
      </c>
      <c r="E314" s="441">
        <f t="shared" si="32"/>
        <v>151096.7506104121</v>
      </c>
      <c r="F314" s="449">
        <f t="shared" si="33"/>
        <v>3.070347662352152E-2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724</v>
      </c>
      <c r="C315" s="441">
        <f>(C214*C313)-C215</f>
        <v>25722155.505785763</v>
      </c>
      <c r="D315" s="441">
        <f>D313*LN_IH8-LN_IH9</f>
        <v>27321557.903464839</v>
      </c>
      <c r="E315" s="441">
        <f t="shared" si="32"/>
        <v>1599402.3976790756</v>
      </c>
      <c r="F315" s="449">
        <f t="shared" si="33"/>
        <v>6.2179952116350322E-2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759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760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761</v>
      </c>
      <c r="C318" s="441">
        <f>C314+C315+C316</f>
        <v>30643316.469513856</v>
      </c>
      <c r="D318" s="441">
        <f>D314+D315+D316</f>
        <v>32393815.617803343</v>
      </c>
      <c r="E318" s="441">
        <f>D318-C318</f>
        <v>1750499.1482894868</v>
      </c>
      <c r="F318" s="449">
        <f>IF(C318=0,0,E318/C318)</f>
        <v>5.7124990045741536E-2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762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15097340.939317437</v>
      </c>
      <c r="D322" s="441">
        <f>LN_ID22</f>
        <v>15976840.937640751</v>
      </c>
      <c r="E322" s="441">
        <f>LN_IV2-C322</f>
        <v>879499.99832331389</v>
      </c>
      <c r="F322" s="449">
        <f>IF(C322=0,0,E322/C322)</f>
        <v>5.8255291568124104E-2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748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763</v>
      </c>
      <c r="C324" s="441">
        <f>C92+C106</f>
        <v>-474463.55595032725</v>
      </c>
      <c r="D324" s="441">
        <f>LN_IC10+LN_IC22</f>
        <v>818800.34349203215</v>
      </c>
      <c r="E324" s="441">
        <f>LN_IV1-C324</f>
        <v>1293263.8994423593</v>
      </c>
      <c r="F324" s="449">
        <f>IF(C324=0,0,E324/C324)</f>
        <v>-2.7257391705291569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764</v>
      </c>
      <c r="C325" s="516">
        <f>C324+C322+C323</f>
        <v>14622877.38336711</v>
      </c>
      <c r="D325" s="516">
        <f>LN_IV1+LN_IV2+LN_IV3</f>
        <v>16795641.281132784</v>
      </c>
      <c r="E325" s="441">
        <f>LN_IV4-C325</f>
        <v>2172763.8977656737</v>
      </c>
      <c r="F325" s="449">
        <f>IF(C325=0,0,E325/C325)</f>
        <v>0.14858661813283741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765</v>
      </c>
      <c r="B327" s="530" t="s">
        <v>766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767</v>
      </c>
      <c r="C329" s="518">
        <v>21618618</v>
      </c>
      <c r="D329" s="518">
        <v>22328510</v>
      </c>
      <c r="E329" s="518">
        <f t="shared" ref="E329:E335" si="34">D329-C329</f>
        <v>709892</v>
      </c>
      <c r="F329" s="542">
        <f t="shared" ref="F329:F335" si="35">IF(C329=0,0,E329/C329)</f>
        <v>3.2837066643205411E-2</v>
      </c>
    </row>
    <row r="330" spans="1:22" s="420" customFormat="1" ht="15.75" customHeight="1" x14ac:dyDescent="0.2">
      <c r="A330" s="451">
        <v>2</v>
      </c>
      <c r="B330" s="447" t="s">
        <v>768</v>
      </c>
      <c r="C330" s="516">
        <v>-3902482</v>
      </c>
      <c r="D330" s="516">
        <v>-2327394</v>
      </c>
      <c r="E330" s="518">
        <f t="shared" si="34"/>
        <v>1575088</v>
      </c>
      <c r="F330" s="543">
        <f t="shared" si="35"/>
        <v>-0.40361185522444432</v>
      </c>
    </row>
    <row r="331" spans="1:22" s="420" customFormat="1" ht="15.75" customHeight="1" x14ac:dyDescent="0.2">
      <c r="A331" s="427">
        <v>3</v>
      </c>
      <c r="B331" s="447" t="s">
        <v>769</v>
      </c>
      <c r="C331" s="516">
        <v>357636636</v>
      </c>
      <c r="D331" s="516">
        <v>380107064</v>
      </c>
      <c r="E331" s="518">
        <f t="shared" si="34"/>
        <v>22470428</v>
      </c>
      <c r="F331" s="542">
        <f t="shared" si="35"/>
        <v>6.2830330391542996E-2</v>
      </c>
    </row>
    <row r="332" spans="1:22" s="420" customFormat="1" ht="27" customHeight="1" x14ac:dyDescent="0.2">
      <c r="A332" s="451">
        <v>4</v>
      </c>
      <c r="B332" s="447" t="s">
        <v>770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771</v>
      </c>
      <c r="C333" s="516">
        <v>1264918959</v>
      </c>
      <c r="D333" s="516">
        <v>1287540436</v>
      </c>
      <c r="E333" s="518">
        <f t="shared" si="34"/>
        <v>22621477</v>
      </c>
      <c r="F333" s="542">
        <f t="shared" si="35"/>
        <v>1.7883736218076561E-2</v>
      </c>
    </row>
    <row r="334" spans="1:22" s="420" customFormat="1" ht="15.75" customHeight="1" x14ac:dyDescent="0.2">
      <c r="A334" s="427">
        <v>6</v>
      </c>
      <c r="B334" s="447" t="s">
        <v>772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773</v>
      </c>
      <c r="C335" s="516">
        <v>16967022</v>
      </c>
      <c r="D335" s="516">
        <v>16719623</v>
      </c>
      <c r="E335" s="516">
        <f t="shared" si="34"/>
        <v>-247399</v>
      </c>
      <c r="F335" s="542">
        <f t="shared" si="35"/>
        <v>-1.4581168103630679E-2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1" fitToHeight="0" orientation="portrait" r:id="rId1"/>
  <headerFooter>
    <oddHeader>&amp;LOFFICE OF HEALTH CARE ACCESS&amp;CTWELVE MONTHS ACTUAL FILING&amp;RMIDDLESEX HOSPITAL</oddHeader>
    <oddFooter>&amp;L&amp;"Arial,Regular"REPORT 500&amp;C&amp;"Arial,Regular"&amp;P of &amp;N&amp;R&amp;"Arial,Regular"&amp;D,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634</v>
      </c>
      <c r="B3" s="820"/>
      <c r="C3" s="820"/>
      <c r="D3" s="820"/>
      <c r="E3" s="820"/>
    </row>
    <row r="4" spans="1:5" s="428" customFormat="1" ht="15.75" customHeight="1" x14ac:dyDescent="0.25">
      <c r="A4" s="820" t="s">
        <v>774</v>
      </c>
      <c r="B4" s="820"/>
      <c r="C4" s="820"/>
      <c r="D4" s="820"/>
      <c r="E4" s="820"/>
    </row>
    <row r="5" spans="1:5" s="428" customFormat="1" ht="15.75" customHeight="1" x14ac:dyDescent="0.25">
      <c r="A5" s="820" t="s">
        <v>775</v>
      </c>
      <c r="B5" s="820"/>
      <c r="C5" s="820"/>
      <c r="D5" s="820"/>
      <c r="E5" s="820"/>
    </row>
    <row r="6" spans="1:5" s="428" customFormat="1" ht="15.75" customHeight="1" x14ac:dyDescent="0.25">
      <c r="A6" s="820" t="s">
        <v>776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777</v>
      </c>
      <c r="D9" s="573" t="s">
        <v>778</v>
      </c>
      <c r="E9" s="573" t="s">
        <v>779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780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781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661</v>
      </c>
      <c r="C14" s="589">
        <v>145819781</v>
      </c>
      <c r="D14" s="589">
        <v>148962902</v>
      </c>
      <c r="E14" s="590">
        <f t="shared" ref="E14:E22" si="0">D14-C14</f>
        <v>3143121</v>
      </c>
    </row>
    <row r="15" spans="1:5" s="421" customFormat="1" x14ac:dyDescent="0.2">
      <c r="A15" s="588">
        <v>2</v>
      </c>
      <c r="B15" s="587" t="s">
        <v>640</v>
      </c>
      <c r="C15" s="589">
        <v>333227086</v>
      </c>
      <c r="D15" s="591">
        <v>311983193</v>
      </c>
      <c r="E15" s="590">
        <f t="shared" si="0"/>
        <v>-21243893</v>
      </c>
    </row>
    <row r="16" spans="1:5" s="421" customFormat="1" x14ac:dyDescent="0.2">
      <c r="A16" s="588">
        <v>3</v>
      </c>
      <c r="B16" s="587" t="s">
        <v>782</v>
      </c>
      <c r="C16" s="589">
        <v>76836069</v>
      </c>
      <c r="D16" s="591">
        <v>72029066</v>
      </c>
      <c r="E16" s="590">
        <f t="shared" si="0"/>
        <v>-4807003</v>
      </c>
    </row>
    <row r="17" spans="1:5" s="421" customFormat="1" x14ac:dyDescent="0.2">
      <c r="A17" s="588">
        <v>4</v>
      </c>
      <c r="B17" s="587" t="s">
        <v>115</v>
      </c>
      <c r="C17" s="589">
        <v>76836069</v>
      </c>
      <c r="D17" s="591">
        <v>72029066</v>
      </c>
      <c r="E17" s="590">
        <f t="shared" si="0"/>
        <v>-4807003</v>
      </c>
    </row>
    <row r="18" spans="1:5" s="421" customFormat="1" x14ac:dyDescent="0.2">
      <c r="A18" s="588">
        <v>5</v>
      </c>
      <c r="B18" s="587" t="s">
        <v>748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1934851</v>
      </c>
      <c r="D19" s="591">
        <v>1856087</v>
      </c>
      <c r="E19" s="590">
        <f t="shared" si="0"/>
        <v>-78764</v>
      </c>
    </row>
    <row r="20" spans="1:5" s="421" customFormat="1" x14ac:dyDescent="0.2">
      <c r="A20" s="588">
        <v>7</v>
      </c>
      <c r="B20" s="587" t="s">
        <v>763</v>
      </c>
      <c r="C20" s="589">
        <v>3849533</v>
      </c>
      <c r="D20" s="591">
        <v>4146655</v>
      </c>
      <c r="E20" s="590">
        <f t="shared" si="0"/>
        <v>297122</v>
      </c>
    </row>
    <row r="21" spans="1:5" s="421" customFormat="1" x14ac:dyDescent="0.2">
      <c r="A21" s="588"/>
      <c r="B21" s="592" t="s">
        <v>783</v>
      </c>
      <c r="C21" s="593">
        <f>SUM(C15+C16+C19)</f>
        <v>411998006</v>
      </c>
      <c r="D21" s="593">
        <f>SUM(D15+D16+D19)</f>
        <v>385868346</v>
      </c>
      <c r="E21" s="593">
        <f t="shared" si="0"/>
        <v>-26129660</v>
      </c>
    </row>
    <row r="22" spans="1:5" s="421" customFormat="1" x14ac:dyDescent="0.2">
      <c r="A22" s="588"/>
      <c r="B22" s="592" t="s">
        <v>465</v>
      </c>
      <c r="C22" s="593">
        <f>SUM(C14+C21)</f>
        <v>557817787</v>
      </c>
      <c r="D22" s="593">
        <f>SUM(D14+D21)</f>
        <v>534831248</v>
      </c>
      <c r="E22" s="593">
        <f t="shared" si="0"/>
        <v>-22986539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784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661</v>
      </c>
      <c r="C25" s="589">
        <v>308072462</v>
      </c>
      <c r="D25" s="589">
        <v>320703218</v>
      </c>
      <c r="E25" s="590">
        <f t="shared" ref="E25:E33" si="1">D25-C25</f>
        <v>12630756</v>
      </c>
    </row>
    <row r="26" spans="1:5" s="421" customFormat="1" x14ac:dyDescent="0.2">
      <c r="A26" s="588">
        <v>2</v>
      </c>
      <c r="B26" s="587" t="s">
        <v>640</v>
      </c>
      <c r="C26" s="589">
        <v>267467305</v>
      </c>
      <c r="D26" s="591">
        <v>297955174</v>
      </c>
      <c r="E26" s="590">
        <f t="shared" si="1"/>
        <v>30487869</v>
      </c>
    </row>
    <row r="27" spans="1:5" s="421" customFormat="1" x14ac:dyDescent="0.2">
      <c r="A27" s="588">
        <v>3</v>
      </c>
      <c r="B27" s="587" t="s">
        <v>782</v>
      </c>
      <c r="C27" s="589">
        <v>127898287</v>
      </c>
      <c r="D27" s="591">
        <v>130532218</v>
      </c>
      <c r="E27" s="590">
        <f t="shared" si="1"/>
        <v>2633931</v>
      </c>
    </row>
    <row r="28" spans="1:5" s="421" customFormat="1" x14ac:dyDescent="0.2">
      <c r="A28" s="588">
        <v>4</v>
      </c>
      <c r="B28" s="587" t="s">
        <v>115</v>
      </c>
      <c r="C28" s="589">
        <v>127898287</v>
      </c>
      <c r="D28" s="591">
        <v>130532218</v>
      </c>
      <c r="E28" s="590">
        <f t="shared" si="1"/>
        <v>2633931</v>
      </c>
    </row>
    <row r="29" spans="1:5" s="421" customFormat="1" x14ac:dyDescent="0.2">
      <c r="A29" s="588">
        <v>5</v>
      </c>
      <c r="B29" s="587" t="s">
        <v>748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3663118</v>
      </c>
      <c r="D30" s="591">
        <v>3518578</v>
      </c>
      <c r="E30" s="590">
        <f t="shared" si="1"/>
        <v>-144540</v>
      </c>
    </row>
    <row r="31" spans="1:5" s="421" customFormat="1" x14ac:dyDescent="0.2">
      <c r="A31" s="588">
        <v>7</v>
      </c>
      <c r="B31" s="587" t="s">
        <v>763</v>
      </c>
      <c r="C31" s="590">
        <v>11030087</v>
      </c>
      <c r="D31" s="594">
        <v>10302803</v>
      </c>
      <c r="E31" s="590">
        <f t="shared" si="1"/>
        <v>-727284</v>
      </c>
    </row>
    <row r="32" spans="1:5" s="421" customFormat="1" x14ac:dyDescent="0.2">
      <c r="A32" s="588"/>
      <c r="B32" s="592" t="s">
        <v>785</v>
      </c>
      <c r="C32" s="593">
        <f>SUM(C26+C27+C30)</f>
        <v>399028710</v>
      </c>
      <c r="D32" s="593">
        <f>SUM(D26+D27+D30)</f>
        <v>432005970</v>
      </c>
      <c r="E32" s="593">
        <f t="shared" si="1"/>
        <v>32977260</v>
      </c>
    </row>
    <row r="33" spans="1:5" s="421" customFormat="1" x14ac:dyDescent="0.2">
      <c r="A33" s="588"/>
      <c r="B33" s="592" t="s">
        <v>467</v>
      </c>
      <c r="C33" s="593">
        <f>SUM(C25+C32)</f>
        <v>707101172</v>
      </c>
      <c r="D33" s="593">
        <f>SUM(D25+D32)</f>
        <v>752709188</v>
      </c>
      <c r="E33" s="593">
        <f t="shared" si="1"/>
        <v>45608016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658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786</v>
      </c>
      <c r="C36" s="590">
        <f t="shared" ref="C36:D42" si="2">C14+C25</f>
        <v>453892243</v>
      </c>
      <c r="D36" s="590">
        <f t="shared" si="2"/>
        <v>469666120</v>
      </c>
      <c r="E36" s="590">
        <f t="shared" ref="E36:E44" si="3">D36-C36</f>
        <v>15773877</v>
      </c>
    </row>
    <row r="37" spans="1:5" s="421" customFormat="1" x14ac:dyDescent="0.2">
      <c r="A37" s="588">
        <v>2</v>
      </c>
      <c r="B37" s="587" t="s">
        <v>787</v>
      </c>
      <c r="C37" s="590">
        <f t="shared" si="2"/>
        <v>600694391</v>
      </c>
      <c r="D37" s="590">
        <f t="shared" si="2"/>
        <v>609938367</v>
      </c>
      <c r="E37" s="590">
        <f t="shared" si="3"/>
        <v>9243976</v>
      </c>
    </row>
    <row r="38" spans="1:5" s="421" customFormat="1" x14ac:dyDescent="0.2">
      <c r="A38" s="588">
        <v>3</v>
      </c>
      <c r="B38" s="587" t="s">
        <v>788</v>
      </c>
      <c r="C38" s="590">
        <f t="shared" si="2"/>
        <v>204734356</v>
      </c>
      <c r="D38" s="590">
        <f t="shared" si="2"/>
        <v>202561284</v>
      </c>
      <c r="E38" s="590">
        <f t="shared" si="3"/>
        <v>-2173072</v>
      </c>
    </row>
    <row r="39" spans="1:5" s="421" customFormat="1" x14ac:dyDescent="0.2">
      <c r="A39" s="588">
        <v>4</v>
      </c>
      <c r="B39" s="587" t="s">
        <v>789</v>
      </c>
      <c r="C39" s="590">
        <f t="shared" si="2"/>
        <v>204734356</v>
      </c>
      <c r="D39" s="590">
        <f t="shared" si="2"/>
        <v>202561284</v>
      </c>
      <c r="E39" s="590">
        <f t="shared" si="3"/>
        <v>-2173072</v>
      </c>
    </row>
    <row r="40" spans="1:5" s="421" customFormat="1" x14ac:dyDescent="0.2">
      <c r="A40" s="588">
        <v>5</v>
      </c>
      <c r="B40" s="587" t="s">
        <v>790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791</v>
      </c>
      <c r="C41" s="590">
        <f t="shared" si="2"/>
        <v>5597969</v>
      </c>
      <c r="D41" s="590">
        <f t="shared" si="2"/>
        <v>5374665</v>
      </c>
      <c r="E41" s="590">
        <f t="shared" si="3"/>
        <v>-223304</v>
      </c>
    </row>
    <row r="42" spans="1:5" s="421" customFormat="1" x14ac:dyDescent="0.2">
      <c r="A42" s="588">
        <v>7</v>
      </c>
      <c r="B42" s="587" t="s">
        <v>792</v>
      </c>
      <c r="C42" s="590">
        <f t="shared" si="2"/>
        <v>14879620</v>
      </c>
      <c r="D42" s="590">
        <f t="shared" si="2"/>
        <v>14449458</v>
      </c>
      <c r="E42" s="590">
        <f t="shared" si="3"/>
        <v>-430162</v>
      </c>
    </row>
    <row r="43" spans="1:5" s="421" customFormat="1" x14ac:dyDescent="0.2">
      <c r="A43" s="588"/>
      <c r="B43" s="592" t="s">
        <v>793</v>
      </c>
      <c r="C43" s="593">
        <f>SUM(C37+C38+C41)</f>
        <v>811026716</v>
      </c>
      <c r="D43" s="593">
        <f>SUM(D37+D38+D41)</f>
        <v>817874316</v>
      </c>
      <c r="E43" s="593">
        <f t="shared" si="3"/>
        <v>6847600</v>
      </c>
    </row>
    <row r="44" spans="1:5" s="421" customFormat="1" x14ac:dyDescent="0.2">
      <c r="A44" s="588"/>
      <c r="B44" s="592" t="s">
        <v>730</v>
      </c>
      <c r="C44" s="593">
        <f>SUM(C36+C43)</f>
        <v>1264918959</v>
      </c>
      <c r="D44" s="593">
        <f>SUM(D36+D43)</f>
        <v>1287540436</v>
      </c>
      <c r="E44" s="593">
        <f t="shared" si="3"/>
        <v>22621477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794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661</v>
      </c>
      <c r="C47" s="589">
        <v>67652225</v>
      </c>
      <c r="D47" s="589">
        <v>76562693</v>
      </c>
      <c r="E47" s="590">
        <f t="shared" ref="E47:E55" si="4">D47-C47</f>
        <v>8910468</v>
      </c>
    </row>
    <row r="48" spans="1:5" s="421" customFormat="1" x14ac:dyDescent="0.2">
      <c r="A48" s="588">
        <v>2</v>
      </c>
      <c r="B48" s="587" t="s">
        <v>640</v>
      </c>
      <c r="C48" s="589">
        <v>75470428</v>
      </c>
      <c r="D48" s="591">
        <v>75253837</v>
      </c>
      <c r="E48" s="590">
        <f t="shared" si="4"/>
        <v>-216591</v>
      </c>
    </row>
    <row r="49" spans="1:5" s="421" customFormat="1" x14ac:dyDescent="0.2">
      <c r="A49" s="588">
        <v>3</v>
      </c>
      <c r="B49" s="587" t="s">
        <v>782</v>
      </c>
      <c r="C49" s="589">
        <v>13013835</v>
      </c>
      <c r="D49" s="591">
        <v>12981508</v>
      </c>
      <c r="E49" s="590">
        <f t="shared" si="4"/>
        <v>-32327</v>
      </c>
    </row>
    <row r="50" spans="1:5" s="421" customFormat="1" x14ac:dyDescent="0.2">
      <c r="A50" s="588">
        <v>4</v>
      </c>
      <c r="B50" s="587" t="s">
        <v>115</v>
      </c>
      <c r="C50" s="589">
        <v>13013835</v>
      </c>
      <c r="D50" s="591">
        <v>12981508</v>
      </c>
      <c r="E50" s="590">
        <f t="shared" si="4"/>
        <v>-32327</v>
      </c>
    </row>
    <row r="51" spans="1:5" s="421" customFormat="1" x14ac:dyDescent="0.2">
      <c r="A51" s="588">
        <v>5</v>
      </c>
      <c r="B51" s="587" t="s">
        <v>748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373735</v>
      </c>
      <c r="D52" s="591">
        <v>410282</v>
      </c>
      <c r="E52" s="590">
        <f t="shared" si="4"/>
        <v>36547</v>
      </c>
    </row>
    <row r="53" spans="1:5" s="421" customFormat="1" x14ac:dyDescent="0.2">
      <c r="A53" s="588">
        <v>7</v>
      </c>
      <c r="B53" s="587" t="s">
        <v>763</v>
      </c>
      <c r="C53" s="589">
        <v>1360408</v>
      </c>
      <c r="D53" s="591">
        <v>1130602</v>
      </c>
      <c r="E53" s="590">
        <f t="shared" si="4"/>
        <v>-229806</v>
      </c>
    </row>
    <row r="54" spans="1:5" s="421" customFormat="1" x14ac:dyDescent="0.2">
      <c r="A54" s="588"/>
      <c r="B54" s="592" t="s">
        <v>795</v>
      </c>
      <c r="C54" s="593">
        <f>SUM(C48+C49+C52)</f>
        <v>88857998</v>
      </c>
      <c r="D54" s="593">
        <f>SUM(D48+D49+D52)</f>
        <v>88645627</v>
      </c>
      <c r="E54" s="593">
        <f t="shared" si="4"/>
        <v>-212371</v>
      </c>
    </row>
    <row r="55" spans="1:5" s="421" customFormat="1" x14ac:dyDescent="0.2">
      <c r="A55" s="588"/>
      <c r="B55" s="592" t="s">
        <v>466</v>
      </c>
      <c r="C55" s="593">
        <f>SUM(C47+C54)</f>
        <v>156510223</v>
      </c>
      <c r="D55" s="593">
        <f>SUM(D47+D54)</f>
        <v>165208320</v>
      </c>
      <c r="E55" s="593">
        <f t="shared" si="4"/>
        <v>8698097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796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661</v>
      </c>
      <c r="C58" s="589">
        <v>126327273</v>
      </c>
      <c r="D58" s="589">
        <v>132818781</v>
      </c>
      <c r="E58" s="590">
        <f t="shared" ref="E58:E66" si="5">D58-C58</f>
        <v>6491508</v>
      </c>
    </row>
    <row r="59" spans="1:5" s="421" customFormat="1" x14ac:dyDescent="0.2">
      <c r="A59" s="588">
        <v>2</v>
      </c>
      <c r="B59" s="587" t="s">
        <v>640</v>
      </c>
      <c r="C59" s="589">
        <v>57456589</v>
      </c>
      <c r="D59" s="591">
        <v>62672638</v>
      </c>
      <c r="E59" s="590">
        <f t="shared" si="5"/>
        <v>5216049</v>
      </c>
    </row>
    <row r="60" spans="1:5" s="421" customFormat="1" x14ac:dyDescent="0.2">
      <c r="A60" s="588">
        <v>3</v>
      </c>
      <c r="B60" s="587" t="s">
        <v>782</v>
      </c>
      <c r="C60" s="589">
        <f>C61+C62</f>
        <v>20645716</v>
      </c>
      <c r="D60" s="591">
        <f>D61+D62</f>
        <v>21148262</v>
      </c>
      <c r="E60" s="590">
        <f t="shared" si="5"/>
        <v>502546</v>
      </c>
    </row>
    <row r="61" spans="1:5" s="421" customFormat="1" x14ac:dyDescent="0.2">
      <c r="A61" s="588">
        <v>4</v>
      </c>
      <c r="B61" s="587" t="s">
        <v>115</v>
      </c>
      <c r="C61" s="589">
        <v>20645716</v>
      </c>
      <c r="D61" s="591">
        <v>21148262</v>
      </c>
      <c r="E61" s="590">
        <f t="shared" si="5"/>
        <v>502546</v>
      </c>
    </row>
    <row r="62" spans="1:5" s="421" customFormat="1" x14ac:dyDescent="0.2">
      <c r="A62" s="588">
        <v>5</v>
      </c>
      <c r="B62" s="587" t="s">
        <v>748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599314</v>
      </c>
      <c r="D63" s="591">
        <v>586459</v>
      </c>
      <c r="E63" s="590">
        <f t="shared" si="5"/>
        <v>-12855</v>
      </c>
    </row>
    <row r="64" spans="1:5" s="421" customFormat="1" x14ac:dyDescent="0.2">
      <c r="A64" s="588">
        <v>7</v>
      </c>
      <c r="B64" s="587" t="s">
        <v>763</v>
      </c>
      <c r="C64" s="589">
        <v>2492116</v>
      </c>
      <c r="D64" s="591">
        <v>1943917</v>
      </c>
      <c r="E64" s="590">
        <f t="shared" si="5"/>
        <v>-548199</v>
      </c>
    </row>
    <row r="65" spans="1:5" s="421" customFormat="1" x14ac:dyDescent="0.2">
      <c r="A65" s="588"/>
      <c r="B65" s="592" t="s">
        <v>797</v>
      </c>
      <c r="C65" s="593">
        <f>SUM(C59+C60+C63)</f>
        <v>78701619</v>
      </c>
      <c r="D65" s="593">
        <f>SUM(D59+D60+D63)</f>
        <v>84407359</v>
      </c>
      <c r="E65" s="593">
        <f t="shared" si="5"/>
        <v>5705740</v>
      </c>
    </row>
    <row r="66" spans="1:5" s="421" customFormat="1" x14ac:dyDescent="0.2">
      <c r="A66" s="588"/>
      <c r="B66" s="592" t="s">
        <v>468</v>
      </c>
      <c r="C66" s="593">
        <f>SUM(C58+C65)</f>
        <v>205028892</v>
      </c>
      <c r="D66" s="593">
        <f>SUM(D58+D65)</f>
        <v>217226140</v>
      </c>
      <c r="E66" s="593">
        <f t="shared" si="5"/>
        <v>12197248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659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786</v>
      </c>
      <c r="C69" s="590">
        <f t="shared" ref="C69:D75" si="6">C47+C58</f>
        <v>193979498</v>
      </c>
      <c r="D69" s="590">
        <f t="shared" si="6"/>
        <v>209381474</v>
      </c>
      <c r="E69" s="590">
        <f t="shared" ref="E69:E77" si="7">D69-C69</f>
        <v>15401976</v>
      </c>
    </row>
    <row r="70" spans="1:5" s="421" customFormat="1" x14ac:dyDescent="0.2">
      <c r="A70" s="588">
        <v>2</v>
      </c>
      <c r="B70" s="587" t="s">
        <v>787</v>
      </c>
      <c r="C70" s="590">
        <f t="shared" si="6"/>
        <v>132927017</v>
      </c>
      <c r="D70" s="590">
        <f t="shared" si="6"/>
        <v>137926475</v>
      </c>
      <c r="E70" s="590">
        <f t="shared" si="7"/>
        <v>4999458</v>
      </c>
    </row>
    <row r="71" spans="1:5" s="421" customFormat="1" x14ac:dyDescent="0.2">
      <c r="A71" s="588">
        <v>3</v>
      </c>
      <c r="B71" s="587" t="s">
        <v>788</v>
      </c>
      <c r="C71" s="590">
        <f t="shared" si="6"/>
        <v>33659551</v>
      </c>
      <c r="D71" s="590">
        <f t="shared" si="6"/>
        <v>34129770</v>
      </c>
      <c r="E71" s="590">
        <f t="shared" si="7"/>
        <v>470219</v>
      </c>
    </row>
    <row r="72" spans="1:5" s="421" customFormat="1" x14ac:dyDescent="0.2">
      <c r="A72" s="588">
        <v>4</v>
      </c>
      <c r="B72" s="587" t="s">
        <v>789</v>
      </c>
      <c r="C72" s="590">
        <f t="shared" si="6"/>
        <v>33659551</v>
      </c>
      <c r="D72" s="590">
        <f t="shared" si="6"/>
        <v>34129770</v>
      </c>
      <c r="E72" s="590">
        <f t="shared" si="7"/>
        <v>470219</v>
      </c>
    </row>
    <row r="73" spans="1:5" s="421" customFormat="1" x14ac:dyDescent="0.2">
      <c r="A73" s="588">
        <v>5</v>
      </c>
      <c r="B73" s="587" t="s">
        <v>790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791</v>
      </c>
      <c r="C74" s="590">
        <f t="shared" si="6"/>
        <v>973049</v>
      </c>
      <c r="D74" s="590">
        <f t="shared" si="6"/>
        <v>996741</v>
      </c>
      <c r="E74" s="590">
        <f t="shared" si="7"/>
        <v>23692</v>
      </c>
    </row>
    <row r="75" spans="1:5" s="421" customFormat="1" x14ac:dyDescent="0.2">
      <c r="A75" s="588">
        <v>7</v>
      </c>
      <c r="B75" s="587" t="s">
        <v>792</v>
      </c>
      <c r="C75" s="590">
        <f t="shared" si="6"/>
        <v>3852524</v>
      </c>
      <c r="D75" s="590">
        <f t="shared" si="6"/>
        <v>3074519</v>
      </c>
      <c r="E75" s="590">
        <f t="shared" si="7"/>
        <v>-778005</v>
      </c>
    </row>
    <row r="76" spans="1:5" s="421" customFormat="1" x14ac:dyDescent="0.2">
      <c r="A76" s="588"/>
      <c r="B76" s="592" t="s">
        <v>798</v>
      </c>
      <c r="C76" s="593">
        <f>SUM(C70+C71+C74)</f>
        <v>167559617</v>
      </c>
      <c r="D76" s="593">
        <f>SUM(D70+D71+D74)</f>
        <v>173052986</v>
      </c>
      <c r="E76" s="593">
        <f t="shared" si="7"/>
        <v>5493369</v>
      </c>
    </row>
    <row r="77" spans="1:5" s="421" customFormat="1" x14ac:dyDescent="0.2">
      <c r="A77" s="588"/>
      <c r="B77" s="592" t="s">
        <v>731</v>
      </c>
      <c r="C77" s="593">
        <f>SUM(C69+C76)</f>
        <v>361539115</v>
      </c>
      <c r="D77" s="593">
        <f>SUM(D69+D76)</f>
        <v>382434460</v>
      </c>
      <c r="E77" s="593">
        <f t="shared" si="7"/>
        <v>20895345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799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800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661</v>
      </c>
      <c r="C83" s="599">
        <f t="shared" ref="C83:D89" si="8">IF(C$44=0,0,C14/C$44)</f>
        <v>0.11527993944788363</v>
      </c>
      <c r="D83" s="599">
        <f t="shared" si="8"/>
        <v>0.11569570775018362</v>
      </c>
      <c r="E83" s="599">
        <f t="shared" ref="E83:E91" si="9">D83-C83</f>
        <v>4.1576830229998751E-4</v>
      </c>
    </row>
    <row r="84" spans="1:5" s="421" customFormat="1" x14ac:dyDescent="0.2">
      <c r="A84" s="588">
        <v>2</v>
      </c>
      <c r="B84" s="587" t="s">
        <v>640</v>
      </c>
      <c r="C84" s="599">
        <f t="shared" si="8"/>
        <v>0.26343749821208901</v>
      </c>
      <c r="D84" s="599">
        <f t="shared" si="8"/>
        <v>0.24230943299088745</v>
      </c>
      <c r="E84" s="599">
        <f t="shared" si="9"/>
        <v>-2.1128065221201558E-2</v>
      </c>
    </row>
    <row r="85" spans="1:5" s="421" customFormat="1" x14ac:dyDescent="0.2">
      <c r="A85" s="588">
        <v>3</v>
      </c>
      <c r="B85" s="587" t="s">
        <v>782</v>
      </c>
      <c r="C85" s="599">
        <f t="shared" si="8"/>
        <v>6.0743866991086817E-2</v>
      </c>
      <c r="D85" s="599">
        <f t="shared" si="8"/>
        <v>5.5943148646867044E-2</v>
      </c>
      <c r="E85" s="599">
        <f t="shared" si="9"/>
        <v>-4.8007183442197732E-3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6.0743866991086817E-2</v>
      </c>
      <c r="D86" s="599">
        <f t="shared" si="8"/>
        <v>5.5943148646867044E-2</v>
      </c>
      <c r="E86" s="599">
        <f t="shared" si="9"/>
        <v>-4.8007183442197732E-3</v>
      </c>
    </row>
    <row r="87" spans="1:5" s="421" customFormat="1" x14ac:dyDescent="0.2">
      <c r="A87" s="588">
        <v>5</v>
      </c>
      <c r="B87" s="587" t="s">
        <v>748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1.5296244761242447E-3</v>
      </c>
      <c r="D88" s="599">
        <f t="shared" si="8"/>
        <v>1.4415756958797369E-3</v>
      </c>
      <c r="E88" s="599">
        <f t="shared" si="9"/>
        <v>-8.8048780244507751E-5</v>
      </c>
    </row>
    <row r="89" spans="1:5" s="421" customFormat="1" x14ac:dyDescent="0.2">
      <c r="A89" s="588">
        <v>7</v>
      </c>
      <c r="B89" s="587" t="s">
        <v>763</v>
      </c>
      <c r="C89" s="599">
        <f t="shared" si="8"/>
        <v>3.0433040572364445E-3</v>
      </c>
      <c r="D89" s="599">
        <f t="shared" si="8"/>
        <v>3.2206017644637298E-3</v>
      </c>
      <c r="E89" s="599">
        <f t="shared" si="9"/>
        <v>1.7729770722728529E-4</v>
      </c>
    </row>
    <row r="90" spans="1:5" s="421" customFormat="1" x14ac:dyDescent="0.2">
      <c r="A90" s="588"/>
      <c r="B90" s="592" t="s">
        <v>801</v>
      </c>
      <c r="C90" s="600">
        <f>SUM(C84+C85+C88)</f>
        <v>0.32571098967930007</v>
      </c>
      <c r="D90" s="600">
        <f>SUM(D84+D85+D88)</f>
        <v>0.29969415733363419</v>
      </c>
      <c r="E90" s="601">
        <f t="shared" si="9"/>
        <v>-2.6016832345665875E-2</v>
      </c>
    </row>
    <row r="91" spans="1:5" s="421" customFormat="1" x14ac:dyDescent="0.2">
      <c r="A91" s="588"/>
      <c r="B91" s="592" t="s">
        <v>802</v>
      </c>
      <c r="C91" s="600">
        <f>SUM(C83+C90)</f>
        <v>0.44099092912718368</v>
      </c>
      <c r="D91" s="600">
        <f>SUM(D83+D90)</f>
        <v>0.41538986508381781</v>
      </c>
      <c r="E91" s="601">
        <f t="shared" si="9"/>
        <v>-2.5601064043365873E-2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803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661</v>
      </c>
      <c r="C95" s="599">
        <f t="shared" ref="C95:D101" si="10">IF(C$44=0,0,C25/C$44)</f>
        <v>0.24355114595131941</v>
      </c>
      <c r="D95" s="599">
        <f t="shared" si="10"/>
        <v>0.24908205523729277</v>
      </c>
      <c r="E95" s="599">
        <f t="shared" ref="E95:E103" si="11">D95-C95</f>
        <v>5.5309092859733566E-3</v>
      </c>
    </row>
    <row r="96" spans="1:5" s="421" customFormat="1" x14ac:dyDescent="0.2">
      <c r="A96" s="588">
        <v>2</v>
      </c>
      <c r="B96" s="587" t="s">
        <v>640</v>
      </c>
      <c r="C96" s="599">
        <f t="shared" si="10"/>
        <v>0.21145015109224874</v>
      </c>
      <c r="D96" s="599">
        <f t="shared" si="10"/>
        <v>0.23141422643443876</v>
      </c>
      <c r="E96" s="599">
        <f t="shared" si="11"/>
        <v>1.9964075342190024E-2</v>
      </c>
    </row>
    <row r="97" spans="1:5" s="421" customFormat="1" x14ac:dyDescent="0.2">
      <c r="A97" s="588">
        <v>3</v>
      </c>
      <c r="B97" s="587" t="s">
        <v>782</v>
      </c>
      <c r="C97" s="599">
        <f t="shared" si="10"/>
        <v>0.10111184284968884</v>
      </c>
      <c r="D97" s="599">
        <f t="shared" si="10"/>
        <v>0.10138106295560259</v>
      </c>
      <c r="E97" s="599">
        <f t="shared" si="11"/>
        <v>2.6922010591375056E-4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0.10111184284968884</v>
      </c>
      <c r="D98" s="599">
        <f t="shared" si="10"/>
        <v>0.10138106295560259</v>
      </c>
      <c r="E98" s="599">
        <f t="shared" si="11"/>
        <v>2.6922010591375056E-4</v>
      </c>
    </row>
    <row r="99" spans="1:5" s="421" customFormat="1" x14ac:dyDescent="0.2">
      <c r="A99" s="588">
        <v>5</v>
      </c>
      <c r="B99" s="587" t="s">
        <v>748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2.8959309795593001E-3</v>
      </c>
      <c r="D100" s="599">
        <f t="shared" si="10"/>
        <v>2.7327902888480624E-3</v>
      </c>
      <c r="E100" s="599">
        <f t="shared" si="11"/>
        <v>-1.6314069071123776E-4</v>
      </c>
    </row>
    <row r="101" spans="1:5" s="421" customFormat="1" x14ac:dyDescent="0.2">
      <c r="A101" s="588">
        <v>7</v>
      </c>
      <c r="B101" s="587" t="s">
        <v>763</v>
      </c>
      <c r="C101" s="599">
        <f t="shared" si="10"/>
        <v>8.7199950016718826E-3</v>
      </c>
      <c r="D101" s="599">
        <f t="shared" si="10"/>
        <v>8.0019257740810874E-3</v>
      </c>
      <c r="E101" s="599">
        <f t="shared" si="11"/>
        <v>-7.1806922759079517E-4</v>
      </c>
    </row>
    <row r="102" spans="1:5" s="421" customFormat="1" x14ac:dyDescent="0.2">
      <c r="A102" s="588"/>
      <c r="B102" s="592" t="s">
        <v>804</v>
      </c>
      <c r="C102" s="600">
        <f>SUM(C96+C97+C100)</f>
        <v>0.31545792492149688</v>
      </c>
      <c r="D102" s="600">
        <f>SUM(D96+D97+D100)</f>
        <v>0.33552807967888937</v>
      </c>
      <c r="E102" s="601">
        <f t="shared" si="11"/>
        <v>2.0070154757392489E-2</v>
      </c>
    </row>
    <row r="103" spans="1:5" s="421" customFormat="1" x14ac:dyDescent="0.2">
      <c r="A103" s="588"/>
      <c r="B103" s="592" t="s">
        <v>805</v>
      </c>
      <c r="C103" s="600">
        <f>SUM(C95+C102)</f>
        <v>0.55900907087281626</v>
      </c>
      <c r="D103" s="600">
        <f>SUM(D95+D102)</f>
        <v>0.58461013491618208</v>
      </c>
      <c r="E103" s="601">
        <f t="shared" si="11"/>
        <v>2.5601064043365818E-2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806</v>
      </c>
      <c r="C105" s="601">
        <f>C91+C103</f>
        <v>1</v>
      </c>
      <c r="D105" s="601">
        <f>D91+D103</f>
        <v>0.99999999999999989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807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661</v>
      </c>
      <c r="C109" s="599">
        <f t="shared" ref="C109:D115" si="12">IF(C$77=0,0,C47/C$77)</f>
        <v>0.18712283731733978</v>
      </c>
      <c r="D109" s="599">
        <f t="shared" si="12"/>
        <v>0.20019820651099277</v>
      </c>
      <c r="E109" s="599">
        <f t="shared" ref="E109:E117" si="13">D109-C109</f>
        <v>1.3075369193652986E-2</v>
      </c>
    </row>
    <row r="110" spans="1:5" s="421" customFormat="1" x14ac:dyDescent="0.2">
      <c r="A110" s="588">
        <v>2</v>
      </c>
      <c r="B110" s="587" t="s">
        <v>640</v>
      </c>
      <c r="C110" s="599">
        <f t="shared" si="12"/>
        <v>0.20874761504021494</v>
      </c>
      <c r="D110" s="599">
        <f t="shared" si="12"/>
        <v>0.19677577433790877</v>
      </c>
      <c r="E110" s="599">
        <f t="shared" si="13"/>
        <v>-1.1971840702306169E-2</v>
      </c>
    </row>
    <row r="111" spans="1:5" s="421" customFormat="1" x14ac:dyDescent="0.2">
      <c r="A111" s="588">
        <v>3</v>
      </c>
      <c r="B111" s="587" t="s">
        <v>782</v>
      </c>
      <c r="C111" s="599">
        <f t="shared" si="12"/>
        <v>3.5995648769566742E-2</v>
      </c>
      <c r="D111" s="599">
        <f t="shared" si="12"/>
        <v>3.3944399257326341E-2</v>
      </c>
      <c r="E111" s="599">
        <f t="shared" si="13"/>
        <v>-2.0512495122404009E-3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3.5995648769566742E-2</v>
      </c>
      <c r="D112" s="599">
        <f t="shared" si="12"/>
        <v>3.3944399257326341E-2</v>
      </c>
      <c r="E112" s="599">
        <f t="shared" si="13"/>
        <v>-2.0512495122404009E-3</v>
      </c>
    </row>
    <row r="113" spans="1:5" s="421" customFormat="1" x14ac:dyDescent="0.2">
      <c r="A113" s="588">
        <v>5</v>
      </c>
      <c r="B113" s="587" t="s">
        <v>748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1.033733237965137E-3</v>
      </c>
      <c r="D114" s="599">
        <f t="shared" si="12"/>
        <v>1.0728165029898196E-3</v>
      </c>
      <c r="E114" s="599">
        <f t="shared" si="13"/>
        <v>3.9083265024682625E-5</v>
      </c>
    </row>
    <row r="115" spans="1:5" s="421" customFormat="1" x14ac:dyDescent="0.2">
      <c r="A115" s="588">
        <v>7</v>
      </c>
      <c r="B115" s="587" t="s">
        <v>763</v>
      </c>
      <c r="C115" s="599">
        <f t="shared" si="12"/>
        <v>3.7628238371939368E-3</v>
      </c>
      <c r="D115" s="599">
        <f t="shared" si="12"/>
        <v>2.9563287785310979E-3</v>
      </c>
      <c r="E115" s="599">
        <f t="shared" si="13"/>
        <v>-8.0649505866283886E-4</v>
      </c>
    </row>
    <row r="116" spans="1:5" s="421" customFormat="1" x14ac:dyDescent="0.2">
      <c r="A116" s="588"/>
      <c r="B116" s="592" t="s">
        <v>801</v>
      </c>
      <c r="C116" s="600">
        <f>SUM(C110+C111+C114)</f>
        <v>0.2457769970477468</v>
      </c>
      <c r="D116" s="600">
        <f>SUM(D110+D111+D114)</f>
        <v>0.23179299009822493</v>
      </c>
      <c r="E116" s="601">
        <f t="shared" si="13"/>
        <v>-1.3984006949521871E-2</v>
      </c>
    </row>
    <row r="117" spans="1:5" s="421" customFormat="1" x14ac:dyDescent="0.2">
      <c r="A117" s="588"/>
      <c r="B117" s="592" t="s">
        <v>802</v>
      </c>
      <c r="C117" s="600">
        <f>SUM(C109+C116)</f>
        <v>0.43289983436508661</v>
      </c>
      <c r="D117" s="600">
        <f>SUM(D109+D116)</f>
        <v>0.4319911966092177</v>
      </c>
      <c r="E117" s="601">
        <f t="shared" si="13"/>
        <v>-9.0863775586891293E-4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808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661</v>
      </c>
      <c r="C121" s="599">
        <f t="shared" ref="C121:D127" si="14">IF(C$77=0,0,C58/C$77)</f>
        <v>0.34941522993991952</v>
      </c>
      <c r="D121" s="599">
        <f t="shared" si="14"/>
        <v>0.34729815142704451</v>
      </c>
      <c r="E121" s="599">
        <f t="shared" ref="E121:E129" si="15">D121-C121</f>
        <v>-2.1170785128750147E-3</v>
      </c>
    </row>
    <row r="122" spans="1:5" s="421" customFormat="1" x14ac:dyDescent="0.2">
      <c r="A122" s="588">
        <v>2</v>
      </c>
      <c r="B122" s="587" t="s">
        <v>640</v>
      </c>
      <c r="C122" s="599">
        <f t="shared" si="14"/>
        <v>0.15892219296935547</v>
      </c>
      <c r="D122" s="599">
        <f t="shared" si="14"/>
        <v>0.1638781139126427</v>
      </c>
      <c r="E122" s="599">
        <f t="shared" si="15"/>
        <v>4.9559209432872287E-3</v>
      </c>
    </row>
    <row r="123" spans="1:5" s="421" customFormat="1" x14ac:dyDescent="0.2">
      <c r="A123" s="588">
        <v>3</v>
      </c>
      <c r="B123" s="587" t="s">
        <v>782</v>
      </c>
      <c r="C123" s="599">
        <f t="shared" si="14"/>
        <v>5.7105068700519443E-2</v>
      </c>
      <c r="D123" s="599">
        <f t="shared" si="14"/>
        <v>5.5299049149493483E-2</v>
      </c>
      <c r="E123" s="599">
        <f t="shared" si="15"/>
        <v>-1.80601955102596E-3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5.7105068700519443E-2</v>
      </c>
      <c r="D124" s="599">
        <f t="shared" si="14"/>
        <v>5.5299049149493483E-2</v>
      </c>
      <c r="E124" s="599">
        <f t="shared" si="15"/>
        <v>-1.80601955102596E-3</v>
      </c>
    </row>
    <row r="125" spans="1:5" s="421" customFormat="1" x14ac:dyDescent="0.2">
      <c r="A125" s="588">
        <v>5</v>
      </c>
      <c r="B125" s="587" t="s">
        <v>748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1.6576740251189694E-3</v>
      </c>
      <c r="D126" s="599">
        <f t="shared" si="14"/>
        <v>1.5334889016015974E-3</v>
      </c>
      <c r="E126" s="599">
        <f t="shared" si="15"/>
        <v>-1.2418512351737208E-4</v>
      </c>
    </row>
    <row r="127" spans="1:5" s="421" customFormat="1" x14ac:dyDescent="0.2">
      <c r="A127" s="588">
        <v>7</v>
      </c>
      <c r="B127" s="587" t="s">
        <v>763</v>
      </c>
      <c r="C127" s="599">
        <f t="shared" si="14"/>
        <v>6.8930743496454045E-3</v>
      </c>
      <c r="D127" s="599">
        <f t="shared" si="14"/>
        <v>5.0830069026729444E-3</v>
      </c>
      <c r="E127" s="599">
        <f t="shared" si="15"/>
        <v>-1.8100674469724602E-3</v>
      </c>
    </row>
    <row r="128" spans="1:5" s="421" customFormat="1" x14ac:dyDescent="0.2">
      <c r="A128" s="588"/>
      <c r="B128" s="592" t="s">
        <v>804</v>
      </c>
      <c r="C128" s="600">
        <f>SUM(C122+C123+C126)</f>
        <v>0.21768493569499386</v>
      </c>
      <c r="D128" s="600">
        <f>SUM(D122+D123+D126)</f>
        <v>0.22071065196373779</v>
      </c>
      <c r="E128" s="601">
        <f t="shared" si="15"/>
        <v>3.0257162687439276E-3</v>
      </c>
    </row>
    <row r="129" spans="1:5" s="421" customFormat="1" x14ac:dyDescent="0.2">
      <c r="A129" s="588"/>
      <c r="B129" s="592" t="s">
        <v>805</v>
      </c>
      <c r="C129" s="600">
        <f>SUM(C121+C128)</f>
        <v>0.56710016563491339</v>
      </c>
      <c r="D129" s="600">
        <f>SUM(D121+D128)</f>
        <v>0.5680088033907823</v>
      </c>
      <c r="E129" s="601">
        <f t="shared" si="15"/>
        <v>9.0863775586891293E-4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809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810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811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661</v>
      </c>
      <c r="C137" s="606">
        <v>3800</v>
      </c>
      <c r="D137" s="606">
        <v>3908</v>
      </c>
      <c r="E137" s="607">
        <f t="shared" ref="E137:E145" si="16">D137-C137</f>
        <v>108</v>
      </c>
    </row>
    <row r="138" spans="1:5" s="421" customFormat="1" x14ac:dyDescent="0.2">
      <c r="A138" s="588">
        <v>2</v>
      </c>
      <c r="B138" s="587" t="s">
        <v>640</v>
      </c>
      <c r="C138" s="606">
        <v>7504</v>
      </c>
      <c r="D138" s="606">
        <v>7137</v>
      </c>
      <c r="E138" s="607">
        <f t="shared" si="16"/>
        <v>-367</v>
      </c>
    </row>
    <row r="139" spans="1:5" s="421" customFormat="1" x14ac:dyDescent="0.2">
      <c r="A139" s="588">
        <v>3</v>
      </c>
      <c r="B139" s="587" t="s">
        <v>782</v>
      </c>
      <c r="C139" s="606">
        <f>C140+C141</f>
        <v>2251</v>
      </c>
      <c r="D139" s="606">
        <f>D140+D141</f>
        <v>2228</v>
      </c>
      <c r="E139" s="607">
        <f t="shared" si="16"/>
        <v>-23</v>
      </c>
    </row>
    <row r="140" spans="1:5" s="421" customFormat="1" x14ac:dyDescent="0.2">
      <c r="A140" s="588">
        <v>4</v>
      </c>
      <c r="B140" s="587" t="s">
        <v>115</v>
      </c>
      <c r="C140" s="606">
        <v>2251</v>
      </c>
      <c r="D140" s="606">
        <v>2228</v>
      </c>
      <c r="E140" s="607">
        <f t="shared" si="16"/>
        <v>-23</v>
      </c>
    </row>
    <row r="141" spans="1:5" s="421" customFormat="1" x14ac:dyDescent="0.2">
      <c r="A141" s="588">
        <v>5</v>
      </c>
      <c r="B141" s="587" t="s">
        <v>748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62</v>
      </c>
      <c r="D142" s="606">
        <v>65</v>
      </c>
      <c r="E142" s="607">
        <f t="shared" si="16"/>
        <v>3</v>
      </c>
    </row>
    <row r="143" spans="1:5" s="421" customFormat="1" x14ac:dyDescent="0.2">
      <c r="A143" s="588">
        <v>7</v>
      </c>
      <c r="B143" s="587" t="s">
        <v>763</v>
      </c>
      <c r="C143" s="606">
        <v>92</v>
      </c>
      <c r="D143" s="606">
        <v>123</v>
      </c>
      <c r="E143" s="607">
        <f t="shared" si="16"/>
        <v>31</v>
      </c>
    </row>
    <row r="144" spans="1:5" s="421" customFormat="1" x14ac:dyDescent="0.2">
      <c r="A144" s="588"/>
      <c r="B144" s="592" t="s">
        <v>812</v>
      </c>
      <c r="C144" s="608">
        <f>SUM(C138+C139+C142)</f>
        <v>9817</v>
      </c>
      <c r="D144" s="608">
        <f>SUM(D138+D139+D142)</f>
        <v>9430</v>
      </c>
      <c r="E144" s="609">
        <f t="shared" si="16"/>
        <v>-387</v>
      </c>
    </row>
    <row r="145" spans="1:5" s="421" customFormat="1" x14ac:dyDescent="0.2">
      <c r="A145" s="588"/>
      <c r="B145" s="592" t="s">
        <v>138</v>
      </c>
      <c r="C145" s="608">
        <f>SUM(C137+C144)</f>
        <v>13617</v>
      </c>
      <c r="D145" s="608">
        <f>SUM(D137+D144)</f>
        <v>13338</v>
      </c>
      <c r="E145" s="609">
        <f t="shared" si="16"/>
        <v>-279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661</v>
      </c>
      <c r="C149" s="610">
        <v>13174</v>
      </c>
      <c r="D149" s="610">
        <v>13175</v>
      </c>
      <c r="E149" s="607">
        <f t="shared" ref="E149:E157" si="17">D149-C149</f>
        <v>1</v>
      </c>
    </row>
    <row r="150" spans="1:5" s="421" customFormat="1" x14ac:dyDescent="0.2">
      <c r="A150" s="588">
        <v>2</v>
      </c>
      <c r="B150" s="587" t="s">
        <v>640</v>
      </c>
      <c r="C150" s="610">
        <v>34831</v>
      </c>
      <c r="D150" s="610">
        <v>32103</v>
      </c>
      <c r="E150" s="607">
        <f t="shared" si="17"/>
        <v>-2728</v>
      </c>
    </row>
    <row r="151" spans="1:5" s="421" customFormat="1" x14ac:dyDescent="0.2">
      <c r="A151" s="588">
        <v>3</v>
      </c>
      <c r="B151" s="587" t="s">
        <v>782</v>
      </c>
      <c r="C151" s="610">
        <f>C152+C153</f>
        <v>10039</v>
      </c>
      <c r="D151" s="610">
        <f>D152+D153</f>
        <v>9360</v>
      </c>
      <c r="E151" s="607">
        <f t="shared" si="17"/>
        <v>-679</v>
      </c>
    </row>
    <row r="152" spans="1:5" s="421" customFormat="1" x14ac:dyDescent="0.2">
      <c r="A152" s="588">
        <v>4</v>
      </c>
      <c r="B152" s="587" t="s">
        <v>115</v>
      </c>
      <c r="C152" s="610">
        <v>10039</v>
      </c>
      <c r="D152" s="610">
        <v>9360</v>
      </c>
      <c r="E152" s="607">
        <f t="shared" si="17"/>
        <v>-679</v>
      </c>
    </row>
    <row r="153" spans="1:5" s="421" customFormat="1" x14ac:dyDescent="0.2">
      <c r="A153" s="588">
        <v>5</v>
      </c>
      <c r="B153" s="587" t="s">
        <v>748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180</v>
      </c>
      <c r="D154" s="610">
        <v>222</v>
      </c>
      <c r="E154" s="607">
        <f t="shared" si="17"/>
        <v>42</v>
      </c>
    </row>
    <row r="155" spans="1:5" s="421" customFormat="1" x14ac:dyDescent="0.2">
      <c r="A155" s="588">
        <v>7</v>
      </c>
      <c r="B155" s="587" t="s">
        <v>763</v>
      </c>
      <c r="C155" s="610">
        <v>394</v>
      </c>
      <c r="D155" s="610">
        <v>485</v>
      </c>
      <c r="E155" s="607">
        <f t="shared" si="17"/>
        <v>91</v>
      </c>
    </row>
    <row r="156" spans="1:5" s="421" customFormat="1" x14ac:dyDescent="0.2">
      <c r="A156" s="588"/>
      <c r="B156" s="592" t="s">
        <v>813</v>
      </c>
      <c r="C156" s="608">
        <f>SUM(C150+C151+C154)</f>
        <v>45050</v>
      </c>
      <c r="D156" s="608">
        <f>SUM(D150+D151+D154)</f>
        <v>41685</v>
      </c>
      <c r="E156" s="609">
        <f t="shared" si="17"/>
        <v>-3365</v>
      </c>
    </row>
    <row r="157" spans="1:5" s="421" customFormat="1" x14ac:dyDescent="0.2">
      <c r="A157" s="588"/>
      <c r="B157" s="592" t="s">
        <v>140</v>
      </c>
      <c r="C157" s="608">
        <f>SUM(C149+C156)</f>
        <v>58224</v>
      </c>
      <c r="D157" s="608">
        <f>SUM(D149+D156)</f>
        <v>54860</v>
      </c>
      <c r="E157" s="609">
        <f t="shared" si="17"/>
        <v>-3364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814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661</v>
      </c>
      <c r="C161" s="612">
        <f t="shared" ref="C161:D169" si="18">IF(C137=0,0,C149/C137)</f>
        <v>3.4668421052631579</v>
      </c>
      <c r="D161" s="612">
        <f t="shared" si="18"/>
        <v>3.3712896622313204</v>
      </c>
      <c r="E161" s="613">
        <f t="shared" ref="E161:E169" si="19">D161-C161</f>
        <v>-9.555244303183752E-2</v>
      </c>
    </row>
    <row r="162" spans="1:5" s="421" customFormat="1" x14ac:dyDescent="0.2">
      <c r="A162" s="588">
        <v>2</v>
      </c>
      <c r="B162" s="587" t="s">
        <v>640</v>
      </c>
      <c r="C162" s="612">
        <f t="shared" si="18"/>
        <v>4.641657782515991</v>
      </c>
      <c r="D162" s="612">
        <f t="shared" si="18"/>
        <v>4.4981084489281207</v>
      </c>
      <c r="E162" s="613">
        <f t="shared" si="19"/>
        <v>-0.14354933358787036</v>
      </c>
    </row>
    <row r="163" spans="1:5" s="421" customFormat="1" x14ac:dyDescent="0.2">
      <c r="A163" s="588">
        <v>3</v>
      </c>
      <c r="B163" s="587" t="s">
        <v>782</v>
      </c>
      <c r="C163" s="612">
        <f t="shared" si="18"/>
        <v>4.4597956463793871</v>
      </c>
      <c r="D163" s="612">
        <f t="shared" si="18"/>
        <v>4.2010771992818672</v>
      </c>
      <c r="E163" s="613">
        <f t="shared" si="19"/>
        <v>-0.2587184470975199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4.4597956463793871</v>
      </c>
      <c r="D164" s="612">
        <f t="shared" si="18"/>
        <v>4.2010771992818672</v>
      </c>
      <c r="E164" s="613">
        <f t="shared" si="19"/>
        <v>-0.2587184470975199</v>
      </c>
    </row>
    <row r="165" spans="1:5" s="421" customFormat="1" x14ac:dyDescent="0.2">
      <c r="A165" s="588">
        <v>5</v>
      </c>
      <c r="B165" s="587" t="s">
        <v>748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2.903225806451613</v>
      </c>
      <c r="D166" s="612">
        <f t="shared" si="18"/>
        <v>3.4153846153846152</v>
      </c>
      <c r="E166" s="613">
        <f t="shared" si="19"/>
        <v>0.51215880893300225</v>
      </c>
    </row>
    <row r="167" spans="1:5" s="421" customFormat="1" x14ac:dyDescent="0.2">
      <c r="A167" s="588">
        <v>7</v>
      </c>
      <c r="B167" s="587" t="s">
        <v>763</v>
      </c>
      <c r="C167" s="612">
        <f t="shared" si="18"/>
        <v>4.2826086956521738</v>
      </c>
      <c r="D167" s="612">
        <f t="shared" si="18"/>
        <v>3.9430894308943087</v>
      </c>
      <c r="E167" s="613">
        <f t="shared" si="19"/>
        <v>-0.33951926475786509</v>
      </c>
    </row>
    <row r="168" spans="1:5" s="421" customFormat="1" x14ac:dyDescent="0.2">
      <c r="A168" s="588"/>
      <c r="B168" s="592" t="s">
        <v>815</v>
      </c>
      <c r="C168" s="614">
        <f t="shared" si="18"/>
        <v>4.5889783029438727</v>
      </c>
      <c r="D168" s="614">
        <f t="shared" si="18"/>
        <v>4.4204665959703071</v>
      </c>
      <c r="E168" s="615">
        <f t="shared" si="19"/>
        <v>-0.16851170697356554</v>
      </c>
    </row>
    <row r="169" spans="1:5" s="421" customFormat="1" x14ac:dyDescent="0.2">
      <c r="A169" s="588"/>
      <c r="B169" s="592" t="s">
        <v>749</v>
      </c>
      <c r="C169" s="614">
        <f t="shared" si="18"/>
        <v>4.2758316809870012</v>
      </c>
      <c r="D169" s="614">
        <f t="shared" si="18"/>
        <v>4.1130604288499022</v>
      </c>
      <c r="E169" s="615">
        <f t="shared" si="19"/>
        <v>-0.16277125213709898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816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661</v>
      </c>
      <c r="C173" s="617">
        <f t="shared" ref="C173:D181" si="20">IF(C137=0,0,C203/C137)</f>
        <v>1.2761899999999999</v>
      </c>
      <c r="D173" s="617">
        <f t="shared" si="20"/>
        <v>1.3511</v>
      </c>
      <c r="E173" s="618">
        <f t="shared" ref="E173:E181" si="21">D173-C173</f>
        <v>7.4910000000000032E-2</v>
      </c>
    </row>
    <row r="174" spans="1:5" s="421" customFormat="1" x14ac:dyDescent="0.2">
      <c r="A174" s="588">
        <v>2</v>
      </c>
      <c r="B174" s="587" t="s">
        <v>640</v>
      </c>
      <c r="C174" s="617">
        <f t="shared" si="20"/>
        <v>1.42635</v>
      </c>
      <c r="D174" s="617">
        <f t="shared" si="20"/>
        <v>1.4930000000000001</v>
      </c>
      <c r="E174" s="618">
        <f t="shared" si="21"/>
        <v>6.6650000000000098E-2</v>
      </c>
    </row>
    <row r="175" spans="1:5" s="421" customFormat="1" x14ac:dyDescent="0.2">
      <c r="A175" s="588">
        <v>3</v>
      </c>
      <c r="B175" s="587" t="s">
        <v>782</v>
      </c>
      <c r="C175" s="617">
        <f t="shared" si="20"/>
        <v>1.0746199999999999</v>
      </c>
      <c r="D175" s="617">
        <f t="shared" si="20"/>
        <v>1.1400999999999999</v>
      </c>
      <c r="E175" s="618">
        <f t="shared" si="21"/>
        <v>6.5479999999999983E-2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1.0746199999999999</v>
      </c>
      <c r="D176" s="617">
        <f t="shared" si="20"/>
        <v>1.1400999999999999</v>
      </c>
      <c r="E176" s="618">
        <f t="shared" si="21"/>
        <v>6.5479999999999983E-2</v>
      </c>
    </row>
    <row r="177" spans="1:5" s="421" customFormat="1" x14ac:dyDescent="0.2">
      <c r="A177" s="588">
        <v>5</v>
      </c>
      <c r="B177" s="587" t="s">
        <v>748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1.22936</v>
      </c>
      <c r="D178" s="617">
        <f t="shared" si="20"/>
        <v>1.0262</v>
      </c>
      <c r="E178" s="618">
        <f t="shared" si="21"/>
        <v>-0.20316000000000001</v>
      </c>
    </row>
    <row r="179" spans="1:5" s="421" customFormat="1" x14ac:dyDescent="0.2">
      <c r="A179" s="588">
        <v>7</v>
      </c>
      <c r="B179" s="587" t="s">
        <v>763</v>
      </c>
      <c r="C179" s="617">
        <f t="shared" si="20"/>
        <v>1.331</v>
      </c>
      <c r="D179" s="617">
        <f t="shared" si="20"/>
        <v>1.2471000000000001</v>
      </c>
      <c r="E179" s="618">
        <f t="shared" si="21"/>
        <v>-8.3899999999999864E-2</v>
      </c>
    </row>
    <row r="180" spans="1:5" s="421" customFormat="1" x14ac:dyDescent="0.2">
      <c r="A180" s="588"/>
      <c r="B180" s="592" t="s">
        <v>817</v>
      </c>
      <c r="C180" s="619">
        <f t="shared" si="20"/>
        <v>1.344455570948355</v>
      </c>
      <c r="D180" s="619">
        <f t="shared" si="20"/>
        <v>1.4064036903499471</v>
      </c>
      <c r="E180" s="620">
        <f t="shared" si="21"/>
        <v>6.1948119401592061E-2</v>
      </c>
    </row>
    <row r="181" spans="1:5" s="421" customFormat="1" x14ac:dyDescent="0.2">
      <c r="A181" s="588"/>
      <c r="B181" s="592" t="s">
        <v>728</v>
      </c>
      <c r="C181" s="619">
        <f t="shared" si="20"/>
        <v>1.3254051802893443</v>
      </c>
      <c r="D181" s="619">
        <f t="shared" si="20"/>
        <v>1.3901998500524817</v>
      </c>
      <c r="E181" s="620">
        <f t="shared" si="21"/>
        <v>6.4794669763137414E-2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818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819</v>
      </c>
      <c r="C185" s="589">
        <v>414756036</v>
      </c>
      <c r="D185" s="589">
        <v>431645780</v>
      </c>
      <c r="E185" s="590">
        <f>D185-C185</f>
        <v>16889744</v>
      </c>
    </row>
    <row r="186" spans="1:5" s="421" customFormat="1" ht="25.5" x14ac:dyDescent="0.2">
      <c r="A186" s="588">
        <v>2</v>
      </c>
      <c r="B186" s="587" t="s">
        <v>820</v>
      </c>
      <c r="C186" s="589">
        <v>192747761</v>
      </c>
      <c r="D186" s="589">
        <v>212412449</v>
      </c>
      <c r="E186" s="590">
        <f>D186-C186</f>
        <v>19664688</v>
      </c>
    </row>
    <row r="187" spans="1:5" s="421" customFormat="1" x14ac:dyDescent="0.2">
      <c r="A187" s="588"/>
      <c r="B187" s="587" t="s">
        <v>673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752</v>
      </c>
      <c r="C188" s="622">
        <f>+C185-C186</f>
        <v>222008275</v>
      </c>
      <c r="D188" s="622">
        <f>+D185-D186</f>
        <v>219233331</v>
      </c>
      <c r="E188" s="590">
        <f t="shared" ref="E188:E197" si="22">D188-C188</f>
        <v>-2774944</v>
      </c>
    </row>
    <row r="189" spans="1:5" s="421" customFormat="1" x14ac:dyDescent="0.2">
      <c r="A189" s="588">
        <v>4</v>
      </c>
      <c r="B189" s="587" t="s">
        <v>675</v>
      </c>
      <c r="C189" s="623">
        <f>IF(C185=0,0,+C188/C185)</f>
        <v>0.53527436789370797</v>
      </c>
      <c r="D189" s="623">
        <f>IF(D185=0,0,+D188/D185)</f>
        <v>0.50790101782067698</v>
      </c>
      <c r="E189" s="599">
        <f t="shared" si="22"/>
        <v>-2.7373350073030989E-2</v>
      </c>
    </row>
    <row r="190" spans="1:5" s="421" customFormat="1" x14ac:dyDescent="0.2">
      <c r="A190" s="588">
        <v>5</v>
      </c>
      <c r="B190" s="587" t="s">
        <v>767</v>
      </c>
      <c r="C190" s="589">
        <v>21618618</v>
      </c>
      <c r="D190" s="589">
        <v>22328510</v>
      </c>
      <c r="E190" s="622">
        <f t="shared" si="22"/>
        <v>709892</v>
      </c>
    </row>
    <row r="191" spans="1:5" s="421" customFormat="1" x14ac:dyDescent="0.2">
      <c r="A191" s="588">
        <v>6</v>
      </c>
      <c r="B191" s="587" t="s">
        <v>753</v>
      </c>
      <c r="C191" s="589">
        <v>15596046</v>
      </c>
      <c r="D191" s="589">
        <v>16163032</v>
      </c>
      <c r="E191" s="622">
        <f t="shared" si="22"/>
        <v>566986</v>
      </c>
    </row>
    <row r="192" spans="1:5" ht="29.25" x14ac:dyDescent="0.2">
      <c r="A192" s="588">
        <v>7</v>
      </c>
      <c r="B192" s="624" t="s">
        <v>821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822</v>
      </c>
      <c r="C193" s="589">
        <v>6695669</v>
      </c>
      <c r="D193" s="589">
        <v>5726046</v>
      </c>
      <c r="E193" s="622">
        <f t="shared" si="22"/>
        <v>-969623</v>
      </c>
    </row>
    <row r="194" spans="1:5" s="421" customFormat="1" x14ac:dyDescent="0.2">
      <c r="A194" s="588">
        <v>9</v>
      </c>
      <c r="B194" s="587" t="s">
        <v>823</v>
      </c>
      <c r="C194" s="589">
        <v>10271353</v>
      </c>
      <c r="D194" s="589">
        <v>10993577</v>
      </c>
      <c r="E194" s="622">
        <f t="shared" si="22"/>
        <v>722224</v>
      </c>
    </row>
    <row r="195" spans="1:5" s="421" customFormat="1" x14ac:dyDescent="0.2">
      <c r="A195" s="588">
        <v>10</v>
      </c>
      <c r="B195" s="587" t="s">
        <v>824</v>
      </c>
      <c r="C195" s="589">
        <f>+C193+C194</f>
        <v>16967022</v>
      </c>
      <c r="D195" s="589">
        <f>+D193+D194</f>
        <v>16719623</v>
      </c>
      <c r="E195" s="625">
        <f t="shared" si="22"/>
        <v>-247399</v>
      </c>
    </row>
    <row r="196" spans="1:5" s="421" customFormat="1" x14ac:dyDescent="0.2">
      <c r="A196" s="588">
        <v>11</v>
      </c>
      <c r="B196" s="587" t="s">
        <v>825</v>
      </c>
      <c r="C196" s="589">
        <v>13366834</v>
      </c>
      <c r="D196" s="589">
        <v>11182242</v>
      </c>
      <c r="E196" s="622">
        <f t="shared" si="22"/>
        <v>-2184592</v>
      </c>
    </row>
    <row r="197" spans="1:5" s="421" customFormat="1" x14ac:dyDescent="0.2">
      <c r="A197" s="588">
        <v>12</v>
      </c>
      <c r="B197" s="587" t="s">
        <v>715</v>
      </c>
      <c r="C197" s="589">
        <v>365751321</v>
      </c>
      <c r="D197" s="589">
        <v>366705400</v>
      </c>
      <c r="E197" s="622">
        <f t="shared" si="22"/>
        <v>954079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826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827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661</v>
      </c>
      <c r="C203" s="629">
        <v>4849.5219999999999</v>
      </c>
      <c r="D203" s="629">
        <v>5280.0987999999998</v>
      </c>
      <c r="E203" s="630">
        <f t="shared" ref="E203:E211" si="23">D203-C203</f>
        <v>430.57679999999982</v>
      </c>
    </row>
    <row r="204" spans="1:5" s="421" customFormat="1" x14ac:dyDescent="0.2">
      <c r="A204" s="588">
        <v>2</v>
      </c>
      <c r="B204" s="587" t="s">
        <v>640</v>
      </c>
      <c r="C204" s="629">
        <v>10703.330400000001</v>
      </c>
      <c r="D204" s="629">
        <v>10655.541000000001</v>
      </c>
      <c r="E204" s="630">
        <f t="shared" si="23"/>
        <v>-47.789399999999659</v>
      </c>
    </row>
    <row r="205" spans="1:5" s="421" customFormat="1" x14ac:dyDescent="0.2">
      <c r="A205" s="588">
        <v>3</v>
      </c>
      <c r="B205" s="587" t="s">
        <v>782</v>
      </c>
      <c r="C205" s="629">
        <f>C206+C207</f>
        <v>2418.9696199999998</v>
      </c>
      <c r="D205" s="629">
        <f>D206+D207</f>
        <v>2540.1427999999996</v>
      </c>
      <c r="E205" s="630">
        <f t="shared" si="23"/>
        <v>121.17317999999977</v>
      </c>
    </row>
    <row r="206" spans="1:5" s="421" customFormat="1" x14ac:dyDescent="0.2">
      <c r="A206" s="588">
        <v>4</v>
      </c>
      <c r="B206" s="587" t="s">
        <v>115</v>
      </c>
      <c r="C206" s="629">
        <v>2418.9696199999998</v>
      </c>
      <c r="D206" s="629">
        <v>2540.1427999999996</v>
      </c>
      <c r="E206" s="630">
        <f t="shared" si="23"/>
        <v>121.17317999999977</v>
      </c>
    </row>
    <row r="207" spans="1:5" s="421" customFormat="1" x14ac:dyDescent="0.2">
      <c r="A207" s="588">
        <v>5</v>
      </c>
      <c r="B207" s="587" t="s">
        <v>748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76.220320000000001</v>
      </c>
      <c r="D208" s="629">
        <v>66.703000000000003</v>
      </c>
      <c r="E208" s="630">
        <f t="shared" si="23"/>
        <v>-9.517319999999998</v>
      </c>
    </row>
    <row r="209" spans="1:5" s="421" customFormat="1" x14ac:dyDescent="0.2">
      <c r="A209" s="588">
        <v>7</v>
      </c>
      <c r="B209" s="587" t="s">
        <v>763</v>
      </c>
      <c r="C209" s="629">
        <v>122.452</v>
      </c>
      <c r="D209" s="629">
        <v>153.39330000000001</v>
      </c>
      <c r="E209" s="630">
        <f t="shared" si="23"/>
        <v>30.941300000000012</v>
      </c>
    </row>
    <row r="210" spans="1:5" s="421" customFormat="1" x14ac:dyDescent="0.2">
      <c r="A210" s="588"/>
      <c r="B210" s="592" t="s">
        <v>828</v>
      </c>
      <c r="C210" s="631">
        <f>C204+C205+C208</f>
        <v>13198.520340000001</v>
      </c>
      <c r="D210" s="631">
        <f>D204+D205+D208</f>
        <v>13262.3868</v>
      </c>
      <c r="E210" s="632">
        <f t="shared" si="23"/>
        <v>63.866459999999279</v>
      </c>
    </row>
    <row r="211" spans="1:5" s="421" customFormat="1" x14ac:dyDescent="0.2">
      <c r="A211" s="588"/>
      <c r="B211" s="592" t="s">
        <v>729</v>
      </c>
      <c r="C211" s="631">
        <f>C210+C203</f>
        <v>18048.04234</v>
      </c>
      <c r="D211" s="631">
        <f>D210+D203</f>
        <v>18542.4856</v>
      </c>
      <c r="E211" s="632">
        <f t="shared" si="23"/>
        <v>494.44326000000001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829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661</v>
      </c>
      <c r="C215" s="633">
        <f>IF(C14*C137=0,0,C25/C14*C137)</f>
        <v>8028.2342187854474</v>
      </c>
      <c r="D215" s="633">
        <f>IF(D14*D137=0,0,D25/D14*D137)</f>
        <v>8413.5590748896666</v>
      </c>
      <c r="E215" s="633">
        <f t="shared" ref="E215:E223" si="24">D215-C215</f>
        <v>385.32485610421918</v>
      </c>
    </row>
    <row r="216" spans="1:5" s="421" customFormat="1" x14ac:dyDescent="0.2">
      <c r="A216" s="588">
        <v>2</v>
      </c>
      <c r="B216" s="587" t="s">
        <v>640</v>
      </c>
      <c r="C216" s="633">
        <f>IF(C15*C138=0,0,C26/C15*C138)</f>
        <v>6023.143799060801</v>
      </c>
      <c r="D216" s="633">
        <f>IF(D15*D138=0,0,D26/D15*D138)</f>
        <v>6816.0917785016709</v>
      </c>
      <c r="E216" s="633">
        <f t="shared" si="24"/>
        <v>792.94797944086986</v>
      </c>
    </row>
    <row r="217" spans="1:5" s="421" customFormat="1" x14ac:dyDescent="0.2">
      <c r="A217" s="588">
        <v>3</v>
      </c>
      <c r="B217" s="587" t="s">
        <v>782</v>
      </c>
      <c r="C217" s="633">
        <f>C218+C219</f>
        <v>3746.9257314165825</v>
      </c>
      <c r="D217" s="633">
        <f>D218+D219</f>
        <v>4037.6170045575768</v>
      </c>
      <c r="E217" s="633">
        <f t="shared" si="24"/>
        <v>290.69127314099433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3746.9257314165825</v>
      </c>
      <c r="D218" s="633">
        <f t="shared" si="25"/>
        <v>4037.6170045575768</v>
      </c>
      <c r="E218" s="633">
        <f t="shared" si="24"/>
        <v>290.69127314099433</v>
      </c>
    </row>
    <row r="219" spans="1:5" s="421" customFormat="1" x14ac:dyDescent="0.2">
      <c r="A219" s="588">
        <v>5</v>
      </c>
      <c r="B219" s="587" t="s">
        <v>748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117.38026132244809</v>
      </c>
      <c r="D220" s="633">
        <f t="shared" si="25"/>
        <v>123.22028547153232</v>
      </c>
      <c r="E220" s="633">
        <f t="shared" si="24"/>
        <v>5.8400241490842291</v>
      </c>
    </row>
    <row r="221" spans="1:5" s="421" customFormat="1" x14ac:dyDescent="0.2">
      <c r="A221" s="588">
        <v>7</v>
      </c>
      <c r="B221" s="587" t="s">
        <v>763</v>
      </c>
      <c r="C221" s="633">
        <f t="shared" si="25"/>
        <v>263.60808025285144</v>
      </c>
      <c r="D221" s="633">
        <f t="shared" si="25"/>
        <v>305.60651151349703</v>
      </c>
      <c r="E221" s="633">
        <f t="shared" si="24"/>
        <v>41.998431260645589</v>
      </c>
    </row>
    <row r="222" spans="1:5" s="421" customFormat="1" x14ac:dyDescent="0.2">
      <c r="A222" s="588"/>
      <c r="B222" s="592" t="s">
        <v>830</v>
      </c>
      <c r="C222" s="634">
        <f>C216+C218+C219+C220</f>
        <v>9887.4497917998324</v>
      </c>
      <c r="D222" s="634">
        <f>D216+D218+D219+D220</f>
        <v>10976.929068530781</v>
      </c>
      <c r="E222" s="634">
        <f t="shared" si="24"/>
        <v>1089.4792767309482</v>
      </c>
    </row>
    <row r="223" spans="1:5" s="421" customFormat="1" x14ac:dyDescent="0.2">
      <c r="A223" s="588"/>
      <c r="B223" s="592" t="s">
        <v>831</v>
      </c>
      <c r="C223" s="634">
        <f>C215+C222</f>
        <v>17915.684010585279</v>
      </c>
      <c r="D223" s="634">
        <f>D215+D222</f>
        <v>19390.488143420447</v>
      </c>
      <c r="E223" s="634">
        <f t="shared" si="24"/>
        <v>1474.8041328351683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832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661</v>
      </c>
      <c r="C227" s="636">
        <f t="shared" ref="C227:D235" si="26">IF(C203=0,0,C47/C203)</f>
        <v>13950.287265425335</v>
      </c>
      <c r="D227" s="636">
        <f t="shared" si="26"/>
        <v>14500.238707654486</v>
      </c>
      <c r="E227" s="636">
        <f t="shared" ref="E227:E235" si="27">D227-C227</f>
        <v>549.95144222915042</v>
      </c>
    </row>
    <row r="228" spans="1:5" s="421" customFormat="1" x14ac:dyDescent="0.2">
      <c r="A228" s="588">
        <v>2</v>
      </c>
      <c r="B228" s="587" t="s">
        <v>640</v>
      </c>
      <c r="C228" s="636">
        <f t="shared" si="26"/>
        <v>7051.1163515983772</v>
      </c>
      <c r="D228" s="636">
        <f t="shared" si="26"/>
        <v>7062.4135367692725</v>
      </c>
      <c r="E228" s="636">
        <f t="shared" si="27"/>
        <v>11.297185170895318</v>
      </c>
    </row>
    <row r="229" spans="1:5" s="421" customFormat="1" x14ac:dyDescent="0.2">
      <c r="A229" s="588">
        <v>3</v>
      </c>
      <c r="B229" s="587" t="s">
        <v>782</v>
      </c>
      <c r="C229" s="636">
        <f t="shared" si="26"/>
        <v>5379.9084091018885</v>
      </c>
      <c r="D229" s="636">
        <f t="shared" si="26"/>
        <v>5110.5426041402088</v>
      </c>
      <c r="E229" s="636">
        <f t="shared" si="27"/>
        <v>-269.36580496167971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5379.9084091018885</v>
      </c>
      <c r="D230" s="636">
        <f t="shared" si="26"/>
        <v>5110.5426041402088</v>
      </c>
      <c r="E230" s="636">
        <f t="shared" si="27"/>
        <v>-269.36580496167971</v>
      </c>
    </row>
    <row r="231" spans="1:5" s="421" customFormat="1" x14ac:dyDescent="0.2">
      <c r="A231" s="588">
        <v>5</v>
      </c>
      <c r="B231" s="587" t="s">
        <v>748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4903.3512323222994</v>
      </c>
      <c r="D232" s="636">
        <f t="shared" si="26"/>
        <v>6150.8777716144696</v>
      </c>
      <c r="E232" s="636">
        <f t="shared" si="27"/>
        <v>1247.5265392921701</v>
      </c>
    </row>
    <row r="233" spans="1:5" s="421" customFormat="1" x14ac:dyDescent="0.2">
      <c r="A233" s="588">
        <v>7</v>
      </c>
      <c r="B233" s="587" t="s">
        <v>763</v>
      </c>
      <c r="C233" s="636">
        <f t="shared" si="26"/>
        <v>11109.724626792538</v>
      </c>
      <c r="D233" s="636">
        <f t="shared" si="26"/>
        <v>7370.6087554019632</v>
      </c>
      <c r="E233" s="636">
        <f t="shared" si="27"/>
        <v>-3739.1158713905752</v>
      </c>
    </row>
    <row r="234" spans="1:5" x14ac:dyDescent="0.2">
      <c r="A234" s="588"/>
      <c r="B234" s="592" t="s">
        <v>833</v>
      </c>
      <c r="C234" s="637">
        <f t="shared" si="26"/>
        <v>6732.4211889648832</v>
      </c>
      <c r="D234" s="637">
        <f t="shared" si="26"/>
        <v>6683.9874554103635</v>
      </c>
      <c r="E234" s="637">
        <f t="shared" si="27"/>
        <v>-48.433733554519677</v>
      </c>
    </row>
    <row r="235" spans="1:5" s="421" customFormat="1" x14ac:dyDescent="0.2">
      <c r="A235" s="588"/>
      <c r="B235" s="592" t="s">
        <v>834</v>
      </c>
      <c r="C235" s="637">
        <f t="shared" si="26"/>
        <v>8671.8670120318438</v>
      </c>
      <c r="D235" s="637">
        <f t="shared" si="26"/>
        <v>8909.7181232272342</v>
      </c>
      <c r="E235" s="637">
        <f t="shared" si="27"/>
        <v>237.85111119539033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835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661</v>
      </c>
      <c r="C239" s="636">
        <f t="shared" ref="C239:D247" si="28">IF(C215=0,0,C58/C215)</f>
        <v>15735.374623775169</v>
      </c>
      <c r="D239" s="636">
        <f t="shared" si="28"/>
        <v>15786.277818669949</v>
      </c>
      <c r="E239" s="638">
        <f t="shared" ref="E239:E247" si="29">D239-C239</f>
        <v>50.903194894779517</v>
      </c>
    </row>
    <row r="240" spans="1:5" s="421" customFormat="1" x14ac:dyDescent="0.2">
      <c r="A240" s="588">
        <v>2</v>
      </c>
      <c r="B240" s="587" t="s">
        <v>640</v>
      </c>
      <c r="C240" s="636">
        <f t="shared" si="28"/>
        <v>9539.302217715489</v>
      </c>
      <c r="D240" s="636">
        <f t="shared" si="28"/>
        <v>9194.8054745496465</v>
      </c>
      <c r="E240" s="638">
        <f t="shared" si="29"/>
        <v>-344.49674316584242</v>
      </c>
    </row>
    <row r="241" spans="1:5" x14ac:dyDescent="0.2">
      <c r="A241" s="588">
        <v>3</v>
      </c>
      <c r="B241" s="587" t="s">
        <v>782</v>
      </c>
      <c r="C241" s="636">
        <f t="shared" si="28"/>
        <v>5510.0414259330864</v>
      </c>
      <c r="D241" s="636">
        <f t="shared" si="28"/>
        <v>5237.8078396559877</v>
      </c>
      <c r="E241" s="638">
        <f t="shared" si="29"/>
        <v>-272.23358627709877</v>
      </c>
    </row>
    <row r="242" spans="1:5" x14ac:dyDescent="0.2">
      <c r="A242" s="588">
        <v>4</v>
      </c>
      <c r="B242" s="587" t="s">
        <v>115</v>
      </c>
      <c r="C242" s="636">
        <f t="shared" si="28"/>
        <v>5510.0414259330864</v>
      </c>
      <c r="D242" s="636">
        <f t="shared" si="28"/>
        <v>5237.8078396559877</v>
      </c>
      <c r="E242" s="638">
        <f t="shared" si="29"/>
        <v>-272.23358627709877</v>
      </c>
    </row>
    <row r="243" spans="1:5" x14ac:dyDescent="0.2">
      <c r="A243" s="588">
        <v>5</v>
      </c>
      <c r="B243" s="587" t="s">
        <v>748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5105.7477061979052</v>
      </c>
      <c r="D244" s="636">
        <f t="shared" si="28"/>
        <v>4759.4354919384605</v>
      </c>
      <c r="E244" s="638">
        <f t="shared" si="29"/>
        <v>-346.31221425944477</v>
      </c>
    </row>
    <row r="245" spans="1:5" x14ac:dyDescent="0.2">
      <c r="A245" s="588">
        <v>7</v>
      </c>
      <c r="B245" s="587" t="s">
        <v>763</v>
      </c>
      <c r="C245" s="636">
        <f t="shared" si="28"/>
        <v>9453.86802107726</v>
      </c>
      <c r="D245" s="636">
        <f t="shared" si="28"/>
        <v>6360.8494150627657</v>
      </c>
      <c r="E245" s="638">
        <f t="shared" si="29"/>
        <v>-3093.0186060144943</v>
      </c>
    </row>
    <row r="246" spans="1:5" ht="25.5" x14ac:dyDescent="0.2">
      <c r="A246" s="588"/>
      <c r="B246" s="592" t="s">
        <v>836</v>
      </c>
      <c r="C246" s="637">
        <f t="shared" si="28"/>
        <v>7959.7490411805957</v>
      </c>
      <c r="D246" s="637">
        <f t="shared" si="28"/>
        <v>7689.5239527404174</v>
      </c>
      <c r="E246" s="639">
        <f t="shared" si="29"/>
        <v>-270.2250884401783</v>
      </c>
    </row>
    <row r="247" spans="1:5" x14ac:dyDescent="0.2">
      <c r="A247" s="588"/>
      <c r="B247" s="592" t="s">
        <v>837</v>
      </c>
      <c r="C247" s="637">
        <f t="shared" si="28"/>
        <v>11444.100704101556</v>
      </c>
      <c r="D247" s="637">
        <f t="shared" si="28"/>
        <v>11202.716424326267</v>
      </c>
      <c r="E247" s="639">
        <f t="shared" si="29"/>
        <v>-241.38427977528954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765</v>
      </c>
      <c r="B249" s="626" t="s">
        <v>762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15097340.939317437</v>
      </c>
      <c r="D251" s="622">
        <f>((IF((IF(D15=0,0,D26/D15)*D138)=0,0,D59/(IF(D15=0,0,D26/D15)*D138)))-(IF((IF(D17=0,0,D28/D17)*D140)=0,0,D61/(IF(D17=0,0,D28/D17)*D140))))*(IF(D17=0,0,D28/D17)*D140)</f>
        <v>15976840.937640751</v>
      </c>
      <c r="E251" s="622">
        <f>D251-C251</f>
        <v>879499.99832331389</v>
      </c>
    </row>
    <row r="252" spans="1:5" x14ac:dyDescent="0.2">
      <c r="A252" s="588">
        <v>2</v>
      </c>
      <c r="B252" s="587" t="s">
        <v>748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763</v>
      </c>
      <c r="C253" s="622">
        <f>IF(C233=0,0,(C228-C233)*C209+IF(C221=0,0,(C240-C245)*C221))</f>
        <v>-474463.55595032725</v>
      </c>
      <c r="D253" s="622">
        <f>IF(D233=0,0,(D228-D233)*D209+IF(D221=0,0,(D240-D245)*D221))</f>
        <v>818800.34349203215</v>
      </c>
      <c r="E253" s="622">
        <f>D253-C253</f>
        <v>1293263.8994423593</v>
      </c>
    </row>
    <row r="254" spans="1:5" ht="15" customHeight="1" x14ac:dyDescent="0.2">
      <c r="A254" s="588"/>
      <c r="B254" s="592" t="s">
        <v>764</v>
      </c>
      <c r="C254" s="640">
        <f>+C251+C252+C253</f>
        <v>14622877.38336711</v>
      </c>
      <c r="D254" s="640">
        <f>+D251+D252+D253</f>
        <v>16795641.281132784</v>
      </c>
      <c r="E254" s="640">
        <f>D254-C254</f>
        <v>2172763.8977656737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838</v>
      </c>
      <c r="B256" s="626" t="s">
        <v>839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730</v>
      </c>
      <c r="C258" s="622">
        <f>+C44</f>
        <v>1264918959</v>
      </c>
      <c r="D258" s="625">
        <f>+D44</f>
        <v>1287540436</v>
      </c>
      <c r="E258" s="622">
        <f t="shared" ref="E258:E271" si="30">D258-C258</f>
        <v>22621477</v>
      </c>
    </row>
    <row r="259" spans="1:5" x14ac:dyDescent="0.2">
      <c r="A259" s="588">
        <v>2</v>
      </c>
      <c r="B259" s="587" t="s">
        <v>747</v>
      </c>
      <c r="C259" s="622">
        <f>+(C43-C76)</f>
        <v>643467099</v>
      </c>
      <c r="D259" s="625">
        <f>+(D43-D76)</f>
        <v>644821330</v>
      </c>
      <c r="E259" s="622">
        <f t="shared" si="30"/>
        <v>1354231</v>
      </c>
    </row>
    <row r="260" spans="1:5" x14ac:dyDescent="0.2">
      <c r="A260" s="588">
        <v>3</v>
      </c>
      <c r="B260" s="587" t="s">
        <v>751</v>
      </c>
      <c r="C260" s="622">
        <f>C195</f>
        <v>16967022</v>
      </c>
      <c r="D260" s="622">
        <f>D195</f>
        <v>16719623</v>
      </c>
      <c r="E260" s="622">
        <f t="shared" si="30"/>
        <v>-247399</v>
      </c>
    </row>
    <row r="261" spans="1:5" x14ac:dyDescent="0.2">
      <c r="A261" s="588">
        <v>4</v>
      </c>
      <c r="B261" s="587" t="s">
        <v>752</v>
      </c>
      <c r="C261" s="622">
        <f>C188</f>
        <v>222008275</v>
      </c>
      <c r="D261" s="622">
        <f>D188</f>
        <v>219233331</v>
      </c>
      <c r="E261" s="622">
        <f t="shared" si="30"/>
        <v>-2774944</v>
      </c>
    </row>
    <row r="262" spans="1:5" x14ac:dyDescent="0.2">
      <c r="A262" s="588">
        <v>5</v>
      </c>
      <c r="B262" s="587" t="s">
        <v>753</v>
      </c>
      <c r="C262" s="622">
        <f>C191</f>
        <v>15596046</v>
      </c>
      <c r="D262" s="622">
        <f>D191</f>
        <v>16163032</v>
      </c>
      <c r="E262" s="622">
        <f t="shared" si="30"/>
        <v>566986</v>
      </c>
    </row>
    <row r="263" spans="1:5" x14ac:dyDescent="0.2">
      <c r="A263" s="588">
        <v>6</v>
      </c>
      <c r="B263" s="587" t="s">
        <v>754</v>
      </c>
      <c r="C263" s="622">
        <f>+C259+C260+C261+C262</f>
        <v>898038442</v>
      </c>
      <c r="D263" s="622">
        <f>+D259+D260+D261+D262</f>
        <v>896937316</v>
      </c>
      <c r="E263" s="622">
        <f t="shared" si="30"/>
        <v>-1101126</v>
      </c>
    </row>
    <row r="264" spans="1:5" x14ac:dyDescent="0.2">
      <c r="A264" s="588">
        <v>7</v>
      </c>
      <c r="B264" s="587" t="s">
        <v>659</v>
      </c>
      <c r="C264" s="622">
        <f>+C258-C263</f>
        <v>366880517</v>
      </c>
      <c r="D264" s="622">
        <f>+D258-D263</f>
        <v>390603120</v>
      </c>
      <c r="E264" s="622">
        <f t="shared" si="30"/>
        <v>23722603</v>
      </c>
    </row>
    <row r="265" spans="1:5" x14ac:dyDescent="0.2">
      <c r="A265" s="588">
        <v>8</v>
      </c>
      <c r="B265" s="587" t="s">
        <v>840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841</v>
      </c>
      <c r="C266" s="622">
        <f>+C264+C265</f>
        <v>366880517</v>
      </c>
      <c r="D266" s="622">
        <f>+D264+D265</f>
        <v>390603120</v>
      </c>
      <c r="E266" s="641">
        <f t="shared" si="30"/>
        <v>23722603</v>
      </c>
    </row>
    <row r="267" spans="1:5" x14ac:dyDescent="0.2">
      <c r="A267" s="588">
        <v>10</v>
      </c>
      <c r="B267" s="587" t="s">
        <v>842</v>
      </c>
      <c r="C267" s="642">
        <f>IF(C258=0,0,C266/C258)</f>
        <v>0.29004270541572302</v>
      </c>
      <c r="D267" s="642">
        <f>IF(D258=0,0,D266/D258)</f>
        <v>0.30337153620859175</v>
      </c>
      <c r="E267" s="643">
        <f t="shared" si="30"/>
        <v>1.3328830792868729E-2</v>
      </c>
    </row>
    <row r="268" spans="1:5" x14ac:dyDescent="0.2">
      <c r="A268" s="588">
        <v>11</v>
      </c>
      <c r="B268" s="587" t="s">
        <v>721</v>
      </c>
      <c r="C268" s="622">
        <f>+C260*C267</f>
        <v>4921160.9637280917</v>
      </c>
      <c r="D268" s="644">
        <f>+D260*D267</f>
        <v>5072257.7143385038</v>
      </c>
      <c r="E268" s="622">
        <f t="shared" si="30"/>
        <v>151096.7506104121</v>
      </c>
    </row>
    <row r="269" spans="1:5" x14ac:dyDescent="0.2">
      <c r="A269" s="588">
        <v>12</v>
      </c>
      <c r="B269" s="587" t="s">
        <v>843</v>
      </c>
      <c r="C269" s="622">
        <f>((C17+C18+C28+C29)*C267)-(C50+C51+C61+C62)</f>
        <v>25722155.505785763</v>
      </c>
      <c r="D269" s="644">
        <f>((D17+D18+D28+D29)*D267)-(D50+D51+D61+D62)</f>
        <v>27321557.903464839</v>
      </c>
      <c r="E269" s="622">
        <f t="shared" si="30"/>
        <v>1599402.3976790756</v>
      </c>
    </row>
    <row r="270" spans="1:5" s="648" customFormat="1" x14ac:dyDescent="0.2">
      <c r="A270" s="645">
        <v>13</v>
      </c>
      <c r="B270" s="646" t="s">
        <v>844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845</v>
      </c>
      <c r="C271" s="622">
        <f>+C268+C269+C270</f>
        <v>30643316.469513856</v>
      </c>
      <c r="D271" s="622">
        <f>+D268+D269+D270</f>
        <v>32393815.617803343</v>
      </c>
      <c r="E271" s="625">
        <f t="shared" si="30"/>
        <v>1750499.1482894868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846</v>
      </c>
      <c r="B273" s="626" t="s">
        <v>847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848</v>
      </c>
      <c r="C275" s="425"/>
      <c r="D275" s="425"/>
      <c r="E275" s="596"/>
    </row>
    <row r="276" spans="1:5" x14ac:dyDescent="0.2">
      <c r="A276" s="588">
        <v>1</v>
      </c>
      <c r="B276" s="587" t="s">
        <v>661</v>
      </c>
      <c r="C276" s="623">
        <f t="shared" ref="C276:D284" si="31">IF(C14=0,0,+C47/C14)</f>
        <v>0.46394408588502817</v>
      </c>
      <c r="D276" s="623">
        <f t="shared" si="31"/>
        <v>0.51397154574767889</v>
      </c>
      <c r="E276" s="650">
        <f t="shared" ref="E276:E284" si="32">D276-C276</f>
        <v>5.0027459862650725E-2</v>
      </c>
    </row>
    <row r="277" spans="1:5" x14ac:dyDescent="0.2">
      <c r="A277" s="588">
        <v>2</v>
      </c>
      <c r="B277" s="587" t="s">
        <v>640</v>
      </c>
      <c r="C277" s="623">
        <f t="shared" si="31"/>
        <v>0.22648347379540448</v>
      </c>
      <c r="D277" s="623">
        <f t="shared" si="31"/>
        <v>0.24121118921941415</v>
      </c>
      <c r="E277" s="650">
        <f t="shared" si="32"/>
        <v>1.4727715424009663E-2</v>
      </c>
    </row>
    <row r="278" spans="1:5" x14ac:dyDescent="0.2">
      <c r="A278" s="588">
        <v>3</v>
      </c>
      <c r="B278" s="587" t="s">
        <v>782</v>
      </c>
      <c r="C278" s="623">
        <f t="shared" si="31"/>
        <v>0.16937143153432277</v>
      </c>
      <c r="D278" s="623">
        <f t="shared" si="31"/>
        <v>0.18022596600100299</v>
      </c>
      <c r="E278" s="650">
        <f t="shared" si="32"/>
        <v>1.0854534466680221E-2</v>
      </c>
    </row>
    <row r="279" spans="1:5" x14ac:dyDescent="0.2">
      <c r="A279" s="588">
        <v>4</v>
      </c>
      <c r="B279" s="587" t="s">
        <v>115</v>
      </c>
      <c r="C279" s="623">
        <f t="shared" si="31"/>
        <v>0.16937143153432277</v>
      </c>
      <c r="D279" s="623">
        <f t="shared" si="31"/>
        <v>0.18022596600100299</v>
      </c>
      <c r="E279" s="650">
        <f t="shared" si="32"/>
        <v>1.0854534466680221E-2</v>
      </c>
    </row>
    <row r="280" spans="1:5" x14ac:dyDescent="0.2">
      <c r="A280" s="588">
        <v>5</v>
      </c>
      <c r="B280" s="587" t="s">
        <v>748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0.19315957662889804</v>
      </c>
      <c r="D281" s="623">
        <f t="shared" si="31"/>
        <v>0.22104675050253572</v>
      </c>
      <c r="E281" s="650">
        <f t="shared" si="32"/>
        <v>2.7887173873637677E-2</v>
      </c>
    </row>
    <row r="282" spans="1:5" x14ac:dyDescent="0.2">
      <c r="A282" s="588">
        <v>7</v>
      </c>
      <c r="B282" s="587" t="s">
        <v>763</v>
      </c>
      <c r="C282" s="623">
        <f t="shared" si="31"/>
        <v>0.35339559369928769</v>
      </c>
      <c r="D282" s="623">
        <f t="shared" si="31"/>
        <v>0.27265398254737855</v>
      </c>
      <c r="E282" s="650">
        <f t="shared" si="32"/>
        <v>-8.0741611151909143E-2</v>
      </c>
    </row>
    <row r="283" spans="1:5" ht="29.25" customHeight="1" x14ac:dyDescent="0.2">
      <c r="A283" s="588"/>
      <c r="B283" s="592" t="s">
        <v>849</v>
      </c>
      <c r="C283" s="651">
        <f t="shared" si="31"/>
        <v>0.21567579625615954</v>
      </c>
      <c r="D283" s="651">
        <f t="shared" si="31"/>
        <v>0.2297302380952492</v>
      </c>
      <c r="E283" s="652">
        <f t="shared" si="32"/>
        <v>1.405444183908966E-2</v>
      </c>
    </row>
    <row r="284" spans="1:5" x14ac:dyDescent="0.2">
      <c r="A284" s="588"/>
      <c r="B284" s="592" t="s">
        <v>850</v>
      </c>
      <c r="C284" s="651">
        <f t="shared" si="31"/>
        <v>0.28057589171139141</v>
      </c>
      <c r="D284" s="651">
        <f t="shared" si="31"/>
        <v>0.3088980320760914</v>
      </c>
      <c r="E284" s="652">
        <f t="shared" si="32"/>
        <v>2.8322140364699988E-2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851</v>
      </c>
      <c r="C286" s="596"/>
      <c r="D286" s="596"/>
      <c r="E286" s="596"/>
    </row>
    <row r="287" spans="1:5" x14ac:dyDescent="0.2">
      <c r="A287" s="588">
        <v>1</v>
      </c>
      <c r="B287" s="587" t="s">
        <v>661</v>
      </c>
      <c r="C287" s="623">
        <f t="shared" ref="C287:D295" si="33">IF(C25=0,0,+C58/C25)</f>
        <v>0.41005701119757987</v>
      </c>
      <c r="D287" s="623">
        <f t="shared" si="33"/>
        <v>0.41414857583374792</v>
      </c>
      <c r="E287" s="650">
        <f t="shared" ref="E287:E295" si="34">D287-C287</f>
        <v>4.0915646361680547E-3</v>
      </c>
    </row>
    <row r="288" spans="1:5" x14ac:dyDescent="0.2">
      <c r="A288" s="588">
        <v>2</v>
      </c>
      <c r="B288" s="587" t="s">
        <v>640</v>
      </c>
      <c r="C288" s="623">
        <f t="shared" si="33"/>
        <v>0.21481724280281658</v>
      </c>
      <c r="D288" s="623">
        <f t="shared" si="33"/>
        <v>0.21034250608448907</v>
      </c>
      <c r="E288" s="650">
        <f t="shared" si="34"/>
        <v>-4.4747367183275155E-3</v>
      </c>
    </row>
    <row r="289" spans="1:5" x14ac:dyDescent="0.2">
      <c r="A289" s="588">
        <v>3</v>
      </c>
      <c r="B289" s="587" t="s">
        <v>782</v>
      </c>
      <c r="C289" s="623">
        <f t="shared" si="33"/>
        <v>0.16142292820544188</v>
      </c>
      <c r="D289" s="623">
        <f t="shared" si="33"/>
        <v>0.1620156488875413</v>
      </c>
      <c r="E289" s="650">
        <f t="shared" si="34"/>
        <v>5.9272068209942352E-4</v>
      </c>
    </row>
    <row r="290" spans="1:5" x14ac:dyDescent="0.2">
      <c r="A290" s="588">
        <v>4</v>
      </c>
      <c r="B290" s="587" t="s">
        <v>115</v>
      </c>
      <c r="C290" s="623">
        <f t="shared" si="33"/>
        <v>0.16142292820544188</v>
      </c>
      <c r="D290" s="623">
        <f t="shared" si="33"/>
        <v>0.1620156488875413</v>
      </c>
      <c r="E290" s="650">
        <f t="shared" si="34"/>
        <v>5.9272068209942352E-4</v>
      </c>
    </row>
    <row r="291" spans="1:5" x14ac:dyDescent="0.2">
      <c r="A291" s="588">
        <v>5</v>
      </c>
      <c r="B291" s="587" t="s">
        <v>748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0.16360761515190064</v>
      </c>
      <c r="D292" s="623">
        <f t="shared" si="33"/>
        <v>0.1666750033678378</v>
      </c>
      <c r="E292" s="650">
        <f t="shared" si="34"/>
        <v>3.0673882159371613E-3</v>
      </c>
    </row>
    <row r="293" spans="1:5" x14ac:dyDescent="0.2">
      <c r="A293" s="588">
        <v>7</v>
      </c>
      <c r="B293" s="587" t="s">
        <v>763</v>
      </c>
      <c r="C293" s="623">
        <f t="shared" si="33"/>
        <v>0.22593801843992709</v>
      </c>
      <c r="D293" s="623">
        <f t="shared" si="33"/>
        <v>0.18867845963860513</v>
      </c>
      <c r="E293" s="650">
        <f t="shared" si="34"/>
        <v>-3.7259558801321951E-2</v>
      </c>
    </row>
    <row r="294" spans="1:5" ht="29.25" customHeight="1" x14ac:dyDescent="0.2">
      <c r="A294" s="588"/>
      <c r="B294" s="592" t="s">
        <v>852</v>
      </c>
      <c r="C294" s="651">
        <f t="shared" si="33"/>
        <v>0.19723297353716729</v>
      </c>
      <c r="D294" s="651">
        <f t="shared" si="33"/>
        <v>0.19538470498451677</v>
      </c>
      <c r="E294" s="652">
        <f t="shared" si="34"/>
        <v>-1.8482685526505227E-3</v>
      </c>
    </row>
    <row r="295" spans="1:5" x14ac:dyDescent="0.2">
      <c r="A295" s="588"/>
      <c r="B295" s="592" t="s">
        <v>853</v>
      </c>
      <c r="C295" s="651">
        <f t="shared" si="33"/>
        <v>0.28995693985358012</v>
      </c>
      <c r="D295" s="651">
        <f t="shared" si="33"/>
        <v>0.28859238529714876</v>
      </c>
      <c r="E295" s="652">
        <f t="shared" si="34"/>
        <v>-1.3645545564313633E-3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854</v>
      </c>
      <c r="B297" s="579" t="s">
        <v>855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856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659</v>
      </c>
      <c r="C301" s="590">
        <f>+C48+C47+C50+C51+C52+C59+C58+C61+C62+C63</f>
        <v>361539115</v>
      </c>
      <c r="D301" s="590">
        <f>+D48+D47+D50+D51+D52+D59+D58+D61+D62+D63</f>
        <v>382434460</v>
      </c>
      <c r="E301" s="590">
        <f>D301-C301</f>
        <v>20895345</v>
      </c>
    </row>
    <row r="302" spans="1:5" ht="25.5" x14ac:dyDescent="0.2">
      <c r="A302" s="588">
        <v>2</v>
      </c>
      <c r="B302" s="587" t="s">
        <v>857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858</v>
      </c>
      <c r="C303" s="593">
        <f>+C301+C302</f>
        <v>361539115</v>
      </c>
      <c r="D303" s="593">
        <f>+D301+D302</f>
        <v>382434460</v>
      </c>
      <c r="E303" s="593">
        <f>D303-C303</f>
        <v>20895345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859</v>
      </c>
      <c r="C305" s="589">
        <v>-3902482</v>
      </c>
      <c r="D305" s="654">
        <v>-2327394</v>
      </c>
      <c r="E305" s="655">
        <f>D305-C305</f>
        <v>1575088</v>
      </c>
    </row>
    <row r="306" spans="1:5" x14ac:dyDescent="0.2">
      <c r="A306" s="588">
        <v>4</v>
      </c>
      <c r="B306" s="592" t="s">
        <v>860</v>
      </c>
      <c r="C306" s="593">
        <f>+C303+C305+C194+C190-C191</f>
        <v>373930558</v>
      </c>
      <c r="D306" s="593">
        <f>+D303+D305</f>
        <v>380107066</v>
      </c>
      <c r="E306" s="656">
        <f>D306-C306</f>
        <v>6176508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861</v>
      </c>
      <c r="C308" s="589">
        <v>357636636</v>
      </c>
      <c r="D308" s="589">
        <v>380107064</v>
      </c>
      <c r="E308" s="590">
        <f>D308-C308</f>
        <v>22470428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862</v>
      </c>
      <c r="C310" s="657">
        <f>C306-C308</f>
        <v>16293922</v>
      </c>
      <c r="D310" s="658">
        <f>D306-D308</f>
        <v>2</v>
      </c>
      <c r="E310" s="656">
        <f>D310-C310</f>
        <v>-16293920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863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864</v>
      </c>
      <c r="C314" s="590">
        <f>+C14+C15+C16+C19+C25+C26+C27+C30</f>
        <v>1264918959</v>
      </c>
      <c r="D314" s="590">
        <f>+D14+D15+D16+D19+D25+D26+D27+D30</f>
        <v>1287540436</v>
      </c>
      <c r="E314" s="590">
        <f>D314-C314</f>
        <v>22621477</v>
      </c>
    </row>
    <row r="315" spans="1:5" x14ac:dyDescent="0.2">
      <c r="A315" s="588">
        <v>2</v>
      </c>
      <c r="B315" s="659" t="s">
        <v>865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866</v>
      </c>
      <c r="C316" s="657">
        <f>C314+C315</f>
        <v>1264918959</v>
      </c>
      <c r="D316" s="657">
        <f>D314+D315</f>
        <v>1287540436</v>
      </c>
      <c r="E316" s="593">
        <f>D316-C316</f>
        <v>22621477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867</v>
      </c>
      <c r="C318" s="589">
        <v>1264918959</v>
      </c>
      <c r="D318" s="589">
        <v>1287540436</v>
      </c>
      <c r="E318" s="590">
        <f>D318-C318</f>
        <v>22621477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862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868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869</v>
      </c>
      <c r="C324" s="589">
        <f>+C193+C194</f>
        <v>16967022</v>
      </c>
      <c r="D324" s="589">
        <f>+D193+D194</f>
        <v>16719623</v>
      </c>
      <c r="E324" s="590">
        <f>D324-C324</f>
        <v>-247399</v>
      </c>
    </row>
    <row r="325" spans="1:5" x14ac:dyDescent="0.2">
      <c r="A325" s="588">
        <v>2</v>
      </c>
      <c r="B325" s="587" t="s">
        <v>870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871</v>
      </c>
      <c r="C326" s="657">
        <f>C324+C325</f>
        <v>16967022</v>
      </c>
      <c r="D326" s="657">
        <f>D324+D325</f>
        <v>16719623</v>
      </c>
      <c r="E326" s="593">
        <f>D326-C326</f>
        <v>-247399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872</v>
      </c>
      <c r="C328" s="589">
        <v>16967022</v>
      </c>
      <c r="D328" s="589">
        <v>16719623</v>
      </c>
      <c r="E328" s="590">
        <f>D328-C328</f>
        <v>-247399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873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74" fitToHeight="0" orientation="portrait" r:id="rId1"/>
  <headerFooter>
    <oddHeader>_x000D_
                &amp;LOFFICE OF HEALTH CARE ACCESS&amp;CTWELVE MONTHS ACTUAL FILING&amp;RMIDDLESEX HOSPITAL</oddHeader>
    <oddFooter>&amp;LREPORT 550&amp;CPAGE &amp;P of &amp;N&amp;R&amp;D,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634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874</v>
      </c>
      <c r="B5" s="824"/>
      <c r="C5" s="825"/>
      <c r="D5" s="661"/>
    </row>
    <row r="6" spans="1:58" s="662" customFormat="1" ht="15.75" customHeight="1" x14ac:dyDescent="0.25">
      <c r="A6" s="823" t="s">
        <v>875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876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877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781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661</v>
      </c>
      <c r="C14" s="589">
        <v>148962902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640</v>
      </c>
      <c r="C15" s="591">
        <v>311983193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782</v>
      </c>
      <c r="C16" s="591">
        <v>72029066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72029066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748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1856087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763</v>
      </c>
      <c r="C20" s="591">
        <v>4146655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783</v>
      </c>
      <c r="C21" s="593">
        <f>SUM(C15+C16+C19)</f>
        <v>385868346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534831248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784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661</v>
      </c>
      <c r="C25" s="589">
        <v>320703218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640</v>
      </c>
      <c r="C26" s="591">
        <v>297955174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782</v>
      </c>
      <c r="C27" s="591">
        <v>130532218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130532218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748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3518578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763</v>
      </c>
      <c r="C31" s="594">
        <v>10302803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785</v>
      </c>
      <c r="C32" s="593">
        <f>SUM(C26+C27+C30)</f>
        <v>432005970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752709188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658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878</v>
      </c>
      <c r="C36" s="590">
        <f>SUM(C14+C25)</f>
        <v>469666120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879</v>
      </c>
      <c r="C37" s="594">
        <f>SUM(C21+C32)</f>
        <v>817874316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658</v>
      </c>
      <c r="C38" s="593">
        <f>SUM(+C36+C37)</f>
        <v>1287540436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794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661</v>
      </c>
      <c r="C41" s="589">
        <v>76562693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640</v>
      </c>
      <c r="C42" s="591">
        <v>75253837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782</v>
      </c>
      <c r="C43" s="591">
        <v>12981508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12981508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748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410282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763</v>
      </c>
      <c r="C47" s="591">
        <v>1130602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795</v>
      </c>
      <c r="C48" s="593">
        <f>SUM(C42+C43+C46)</f>
        <v>88645627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165208320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796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661</v>
      </c>
      <c r="C52" s="589">
        <v>132818781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640</v>
      </c>
      <c r="C53" s="591">
        <v>62672638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782</v>
      </c>
      <c r="C54" s="591">
        <v>21148262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21148262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748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586459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763</v>
      </c>
      <c r="C58" s="591">
        <v>1943917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797</v>
      </c>
      <c r="C59" s="593">
        <f>SUM(C53+C54+C57)</f>
        <v>84407359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217226140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659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880</v>
      </c>
      <c r="C63" s="590">
        <f>SUM(C41+C52)</f>
        <v>209381474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881</v>
      </c>
      <c r="C64" s="594">
        <f>SUM(C48+C59)</f>
        <v>173052986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659</v>
      </c>
      <c r="C65" s="593">
        <f>SUM(+C63+C64)</f>
        <v>382434460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882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883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661</v>
      </c>
      <c r="C70" s="606">
        <v>3908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640</v>
      </c>
      <c r="C71" s="606">
        <v>7137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782</v>
      </c>
      <c r="C72" s="606">
        <v>2228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2228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748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65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763</v>
      </c>
      <c r="C76" s="621">
        <v>123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812</v>
      </c>
      <c r="C77" s="608">
        <f>SUM(C71+C72+C75)</f>
        <v>9430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13338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816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661</v>
      </c>
      <c r="C81" s="617">
        <v>1.3511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640</v>
      </c>
      <c r="C82" s="617">
        <v>1.4930000000000001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782</v>
      </c>
      <c r="C83" s="617">
        <f>((C73*C84)+(C74*C85))/(C73+C74)</f>
        <v>1.1400999999999999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1.1400999999999999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748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1.0262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763</v>
      </c>
      <c r="C87" s="617">
        <v>1.2471000000000001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817</v>
      </c>
      <c r="C88" s="619">
        <f>((C71*C82)+(C73*C84)+(C74*C85)+(C75*C86))/(C71+C73+C74+C75)</f>
        <v>1.4064036903499471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728</v>
      </c>
      <c r="C89" s="619">
        <f>((C70*C81)+(C71*C82)+(C73*C84)+(C74*C85)+(C75*C86))/(C70+C71+C73+C74+C75)</f>
        <v>1.3901998500524817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818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819</v>
      </c>
      <c r="C92" s="589">
        <v>431645780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820</v>
      </c>
      <c r="C93" s="622">
        <v>212412449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673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752</v>
      </c>
      <c r="C95" s="589">
        <f>+C92-C93</f>
        <v>219233331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675</v>
      </c>
      <c r="C96" s="681">
        <f>(+C92-C93)/C92</f>
        <v>0.50790101782067698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767</v>
      </c>
      <c r="C98" s="589">
        <v>22328510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753</v>
      </c>
      <c r="C99" s="589">
        <v>16163032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884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822</v>
      </c>
      <c r="C103" s="589">
        <v>5726046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823</v>
      </c>
      <c r="C104" s="589">
        <v>10993577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824</v>
      </c>
      <c r="C105" s="654">
        <f>+C103+C104</f>
        <v>16719623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825</v>
      </c>
      <c r="C107" s="589">
        <v>11182242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715</v>
      </c>
      <c r="C108" s="589">
        <v>366705400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855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856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659</v>
      </c>
      <c r="C114" s="590">
        <f>+C65</f>
        <v>382434460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857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858</v>
      </c>
      <c r="C116" s="593">
        <f>+C114+C115</f>
        <v>382434460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859</v>
      </c>
      <c r="C118" s="654">
        <v>-2327394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860</v>
      </c>
      <c r="C119" s="656">
        <f>+C116+C118</f>
        <v>380107066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861</v>
      </c>
      <c r="C121" s="589">
        <v>380107064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862</v>
      </c>
      <c r="C123" s="658">
        <f>C119-C121</f>
        <v>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863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864</v>
      </c>
      <c r="C127" s="590">
        <f>C38</f>
        <v>1287540436</v>
      </c>
      <c r="D127" s="664"/>
      <c r="AR127" s="485"/>
    </row>
    <row r="128" spans="1:58" s="421" customFormat="1" ht="12.75" x14ac:dyDescent="0.2">
      <c r="A128" s="588">
        <v>2</v>
      </c>
      <c r="B128" s="659" t="s">
        <v>865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866</v>
      </c>
      <c r="C129" s="657">
        <f>C127+C128</f>
        <v>1287540436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867</v>
      </c>
      <c r="C131" s="589">
        <v>1287540436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862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868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869</v>
      </c>
      <c r="C137" s="589">
        <f>C105</f>
        <v>16719623</v>
      </c>
      <c r="D137" s="664"/>
      <c r="AR137" s="485"/>
    </row>
    <row r="138" spans="1:44" s="421" customFormat="1" ht="12.75" x14ac:dyDescent="0.2">
      <c r="A138" s="588">
        <v>2</v>
      </c>
      <c r="B138" s="669" t="s">
        <v>885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871</v>
      </c>
      <c r="C139" s="657">
        <f>C137+C138</f>
        <v>16719623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886</v>
      </c>
      <c r="C141" s="589">
        <v>16719623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873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79" fitToHeight="0" orientation="portrait" r:id="rId1"/>
  <headerFooter>
    <oddHeader>&amp;LOFFICE OF HEALTH CARE ACCESS&amp;CTWELVE MONTHS ACTUAL FILING&amp;RMIDDLESEX HOSPITAL</oddHeader>
    <oddFooter>&amp;LREPORT 600&amp;CPAGE &amp;P of &amp;N&amp;R&amp;D,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634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887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637</v>
      </c>
      <c r="D8" s="177" t="s">
        <v>637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888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889</v>
      </c>
      <c r="C12" s="185">
        <v>3035</v>
      </c>
      <c r="D12" s="185">
        <v>3018</v>
      </c>
      <c r="E12" s="185">
        <f>+D12-C12</f>
        <v>-17</v>
      </c>
      <c r="F12" s="77">
        <f>IF(C12=0,0,+E12/C12)</f>
        <v>-5.6013179571663919E-3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890</v>
      </c>
      <c r="C13" s="185">
        <v>2007</v>
      </c>
      <c r="D13" s="185">
        <v>2027</v>
      </c>
      <c r="E13" s="185">
        <f>+D13-C13</f>
        <v>20</v>
      </c>
      <c r="F13" s="77">
        <f>IF(C13=0,0,+E13/C13)</f>
        <v>9.9651220727453912E-3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891</v>
      </c>
      <c r="C15" s="76">
        <v>6695669</v>
      </c>
      <c r="D15" s="76">
        <v>5726046</v>
      </c>
      <c r="E15" s="76">
        <f>+D15-C15</f>
        <v>-969623</v>
      </c>
      <c r="F15" s="77">
        <f>IF(C15=0,0,+E15/C15)</f>
        <v>-0.14481346076097848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892</v>
      </c>
      <c r="C16" s="79">
        <f>IF(C13=0,0,+C15/+C13)</f>
        <v>3336.1579471848531</v>
      </c>
      <c r="D16" s="79">
        <f>IF(D13=0,0,+D15/+D13)</f>
        <v>2824.8870251603353</v>
      </c>
      <c r="E16" s="79">
        <f>+D16-C16</f>
        <v>-511.27092202451786</v>
      </c>
      <c r="F16" s="80">
        <f>IF(C16=0,0,+E16/C16)</f>
        <v>-0.15325141378751059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893</v>
      </c>
      <c r="C18" s="704">
        <v>0.26919799999999999</v>
      </c>
      <c r="D18" s="704">
        <v>0.28612599999999999</v>
      </c>
      <c r="E18" s="704">
        <f>+D18-C18</f>
        <v>1.6927999999999999E-2</v>
      </c>
      <c r="F18" s="77">
        <f>IF(C18=0,0,+E18/C18)</f>
        <v>6.2883082340879207E-2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894</v>
      </c>
      <c r="C19" s="79">
        <f>+C15*C18</f>
        <v>1802460.703462</v>
      </c>
      <c r="D19" s="79">
        <f>+D15*D18</f>
        <v>1638370.6377959999</v>
      </c>
      <c r="E19" s="79">
        <f>+D19-C19</f>
        <v>-164090.06566600013</v>
      </c>
      <c r="F19" s="80">
        <f>IF(C19=0,0,+E19/C19)</f>
        <v>-9.1036695197199632E-2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895</v>
      </c>
      <c r="C20" s="79">
        <f>IF(C13=0,0,+C19/C13)</f>
        <v>898.08704706626804</v>
      </c>
      <c r="D20" s="79">
        <f>IF(D13=0,0,+D19/D13)</f>
        <v>808.27362496102614</v>
      </c>
      <c r="E20" s="79">
        <f>+D20-C20</f>
        <v>-89.813422105241898</v>
      </c>
      <c r="F20" s="80">
        <f>IF(C20=0,0,+E20/C20)</f>
        <v>-0.10000525271868746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896</v>
      </c>
      <c r="C22" s="76">
        <v>2055675</v>
      </c>
      <c r="D22" s="76">
        <v>1586244</v>
      </c>
      <c r="E22" s="76">
        <f>+D22-C22</f>
        <v>-469431</v>
      </c>
      <c r="F22" s="77">
        <f>IF(C22=0,0,+E22/C22)</f>
        <v>-0.22835856835346055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897</v>
      </c>
      <c r="C23" s="185">
        <v>2360871</v>
      </c>
      <c r="D23" s="185">
        <v>1635662</v>
      </c>
      <c r="E23" s="185">
        <f>+D23-C23</f>
        <v>-725209</v>
      </c>
      <c r="F23" s="77">
        <f>IF(C23=0,0,+E23/C23)</f>
        <v>-0.30717857943106591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898</v>
      </c>
      <c r="C24" s="185">
        <v>2279123</v>
      </c>
      <c r="D24" s="185">
        <v>2504140</v>
      </c>
      <c r="E24" s="185">
        <f>+D24-C24</f>
        <v>225017</v>
      </c>
      <c r="F24" s="77">
        <f>IF(C24=0,0,+E24/C24)</f>
        <v>9.8729642937217518E-2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899</v>
      </c>
      <c r="C25" s="79">
        <f>+C22+C23+C24</f>
        <v>6695669</v>
      </c>
      <c r="D25" s="79">
        <f>+D22+D23+D24</f>
        <v>5726046</v>
      </c>
      <c r="E25" s="79">
        <f>+E22+E23+E24</f>
        <v>-969623</v>
      </c>
      <c r="F25" s="80">
        <f>IF(C25=0,0,+E25/C25)</f>
        <v>-0.14481346076097848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900</v>
      </c>
      <c r="C27" s="185">
        <v>188</v>
      </c>
      <c r="D27" s="185">
        <v>162</v>
      </c>
      <c r="E27" s="185">
        <f>+D27-C27</f>
        <v>-26</v>
      </c>
      <c r="F27" s="77">
        <f>IF(C27=0,0,+E27/C27)</f>
        <v>-0.13829787234042554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901</v>
      </c>
      <c r="C28" s="185">
        <v>58</v>
      </c>
      <c r="D28" s="185">
        <v>41</v>
      </c>
      <c r="E28" s="185">
        <f>+D28-C28</f>
        <v>-17</v>
      </c>
      <c r="F28" s="77">
        <f>IF(C28=0,0,+E28/C28)</f>
        <v>-0.29310344827586204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902</v>
      </c>
      <c r="C29" s="185">
        <v>746</v>
      </c>
      <c r="D29" s="185">
        <v>502</v>
      </c>
      <c r="E29" s="185">
        <f>+D29-C29</f>
        <v>-244</v>
      </c>
      <c r="F29" s="77">
        <f>IF(C29=0,0,+E29/C29)</f>
        <v>-0.32707774798927614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903</v>
      </c>
      <c r="C30" s="185">
        <v>1093</v>
      </c>
      <c r="D30" s="185">
        <v>646</v>
      </c>
      <c r="E30" s="185">
        <f>+D30-C30</f>
        <v>-447</v>
      </c>
      <c r="F30" s="77">
        <f>IF(C30=0,0,+E30/C30)</f>
        <v>-0.40896614821591948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904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905</v>
      </c>
      <c r="C33" s="76">
        <v>2458609</v>
      </c>
      <c r="D33" s="76">
        <v>3013208</v>
      </c>
      <c r="E33" s="76">
        <f>+D33-C33</f>
        <v>554599</v>
      </c>
      <c r="F33" s="77">
        <f>IF(C33=0,0,+E33/C33)</f>
        <v>0.22557429831258244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906</v>
      </c>
      <c r="C34" s="185">
        <v>1987267</v>
      </c>
      <c r="D34" s="185">
        <v>1701438</v>
      </c>
      <c r="E34" s="185">
        <f>+D34-C34</f>
        <v>-285829</v>
      </c>
      <c r="F34" s="77">
        <f>IF(C34=0,0,+E34/C34)</f>
        <v>-0.14383019493606042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907</v>
      </c>
      <c r="C35" s="185">
        <v>5825477</v>
      </c>
      <c r="D35" s="185">
        <v>6278931</v>
      </c>
      <c r="E35" s="185">
        <f>+D35-C35</f>
        <v>453454</v>
      </c>
      <c r="F35" s="77">
        <f>IF(C35=0,0,+E35/C35)</f>
        <v>7.7839806079399165E-2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908</v>
      </c>
      <c r="C36" s="79">
        <f>+C33+C34+C35</f>
        <v>10271353</v>
      </c>
      <c r="D36" s="79">
        <f>+D33+D34+D35</f>
        <v>10993577</v>
      </c>
      <c r="E36" s="79">
        <f>+E33+E34+E35</f>
        <v>722224</v>
      </c>
      <c r="F36" s="80">
        <f>IF(C36=0,0,+E36/C36)</f>
        <v>7.0314397723454741E-2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909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910</v>
      </c>
      <c r="C39" s="76">
        <f>+C25</f>
        <v>6695669</v>
      </c>
      <c r="D39" s="76">
        <f>+D25</f>
        <v>5726046</v>
      </c>
      <c r="E39" s="76">
        <f>+D39-C39</f>
        <v>-969623</v>
      </c>
      <c r="F39" s="77">
        <f>IF(C39=0,0,+E39/C39)</f>
        <v>-0.14481346076097848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911</v>
      </c>
      <c r="C40" s="185">
        <f>+C36</f>
        <v>10271353</v>
      </c>
      <c r="D40" s="185">
        <f>+D36</f>
        <v>10993577</v>
      </c>
      <c r="E40" s="185">
        <f>+D40-C40</f>
        <v>722224</v>
      </c>
      <c r="F40" s="77">
        <f>IF(C40=0,0,+E40/C40)</f>
        <v>7.0314397723454741E-2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912</v>
      </c>
      <c r="C41" s="79">
        <f>+C39+C40</f>
        <v>16967022</v>
      </c>
      <c r="D41" s="79">
        <f>+D39+D40</f>
        <v>16719623</v>
      </c>
      <c r="E41" s="79">
        <f>+E39+E40</f>
        <v>-247399</v>
      </c>
      <c r="F41" s="80">
        <f>IF(C41=0,0,+E41/C41)</f>
        <v>-1.4581168103630679E-2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913</v>
      </c>
      <c r="C43" s="76">
        <f t="shared" ref="C43:D45" si="0">+C22+C33</f>
        <v>4514284</v>
      </c>
      <c r="D43" s="76">
        <f t="shared" si="0"/>
        <v>4599452</v>
      </c>
      <c r="E43" s="76">
        <f>+D43-C43</f>
        <v>85168</v>
      </c>
      <c r="F43" s="77">
        <f>IF(C43=0,0,+E43/C43)</f>
        <v>1.8866336278355548E-2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914</v>
      </c>
      <c r="C44" s="185">
        <f t="shared" si="0"/>
        <v>4348138</v>
      </c>
      <c r="D44" s="185">
        <f t="shared" si="0"/>
        <v>3337100</v>
      </c>
      <c r="E44" s="185">
        <f>+D44-C44</f>
        <v>-1011038</v>
      </c>
      <c r="F44" s="77">
        <f>IF(C44=0,0,+E44/C44)</f>
        <v>-0.23252205886749686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915</v>
      </c>
      <c r="C45" s="185">
        <f t="shared" si="0"/>
        <v>8104600</v>
      </c>
      <c r="D45" s="185">
        <f t="shared" si="0"/>
        <v>8783071</v>
      </c>
      <c r="E45" s="185">
        <f>+D45-C45</f>
        <v>678471</v>
      </c>
      <c r="F45" s="77">
        <f>IF(C45=0,0,+E45/C45)</f>
        <v>8.3714310391629451E-2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912</v>
      </c>
      <c r="C46" s="79">
        <f>+C43+C44+C45</f>
        <v>16967022</v>
      </c>
      <c r="D46" s="79">
        <f>+D43+D44+D45</f>
        <v>16719623</v>
      </c>
      <c r="E46" s="79">
        <f>+E43+E44+E45</f>
        <v>-247399</v>
      </c>
      <c r="F46" s="80">
        <f>IF(C46=0,0,+E46/C46)</f>
        <v>-1.4581168103630679E-2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916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75" bottom="0.75" header="0.3" footer="0.3"/>
  <pageSetup scale="75" fitToHeight="0" orientation="portrait" r:id="rId1"/>
  <headerFooter>
    <oddHeader>_x000D_
                  &amp;LOFFICE OF HEALTH CARE ACCESS&amp;CTWELVE MONTHS ACTUAL FILING&amp;RMIDDLESEX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634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917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918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919</v>
      </c>
      <c r="D10" s="177" t="s">
        <v>919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920</v>
      </c>
      <c r="D11" s="693" t="s">
        <v>920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921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414756036</v>
      </c>
      <c r="D15" s="76">
        <v>431645780</v>
      </c>
      <c r="E15" s="76">
        <f>+D15-C15</f>
        <v>16889744</v>
      </c>
      <c r="F15" s="77">
        <f>IF(C15=0,0,E15/C15)</f>
        <v>4.0722117423265182E-2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922</v>
      </c>
      <c r="C17" s="76">
        <v>222008275</v>
      </c>
      <c r="D17" s="76">
        <v>219233331</v>
      </c>
      <c r="E17" s="76">
        <f>+D17-C17</f>
        <v>-2774944</v>
      </c>
      <c r="F17" s="77">
        <f>IF(C17=0,0,E17/C17)</f>
        <v>-1.2499281839832321E-2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923</v>
      </c>
      <c r="C19" s="79">
        <f>+C15-C17</f>
        <v>192747761</v>
      </c>
      <c r="D19" s="79">
        <f>+D15-D17</f>
        <v>212412449</v>
      </c>
      <c r="E19" s="79">
        <f>+D19-C19</f>
        <v>19664688</v>
      </c>
      <c r="F19" s="80">
        <f>IF(C19=0,0,E19/C19)</f>
        <v>0.10202291273308228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924</v>
      </c>
      <c r="C21" s="720">
        <f>IF(C15=0,0,C17/C15)</f>
        <v>0.53527436789370797</v>
      </c>
      <c r="D21" s="720">
        <f>IF(D15=0,0,D17/D15)</f>
        <v>0.50790101782067698</v>
      </c>
      <c r="E21" s="720">
        <f>+D21-C21</f>
        <v>-2.7373350073030989E-2</v>
      </c>
      <c r="F21" s="80">
        <f>IF(C21=0,0,E21/C21)</f>
        <v>-5.113891438654998E-2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925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75" bottom="0.75" header="0.3" footer="0.3"/>
  <pageSetup scale="89" fitToHeight="0" orientation="landscape" r:id="rId1"/>
  <headerFooter>
    <oddHeader>&amp;L&amp;12OFFICE OF HEALTH CARE ACCESS&amp;C&amp;12TWELVE MONTHS ACTUAL FILING&amp;R&amp;12MIDDLESEX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926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927</v>
      </c>
      <c r="B6" s="734" t="s">
        <v>928</v>
      </c>
      <c r="C6" s="734" t="s">
        <v>929</v>
      </c>
      <c r="D6" s="734" t="s">
        <v>930</v>
      </c>
      <c r="E6" s="734" t="s">
        <v>931</v>
      </c>
    </row>
    <row r="7" spans="1:6" ht="37.5" customHeight="1" x14ac:dyDescent="0.25">
      <c r="A7" s="735" t="s">
        <v>8</v>
      </c>
      <c r="B7" s="736" t="s">
        <v>9</v>
      </c>
      <c r="C7" s="737" t="s">
        <v>932</v>
      </c>
      <c r="D7" s="737" t="s">
        <v>933</v>
      </c>
      <c r="E7" s="737" t="s">
        <v>934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935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936</v>
      </c>
      <c r="C10" s="744">
        <v>579045370</v>
      </c>
      <c r="D10" s="744">
        <v>557817787</v>
      </c>
      <c r="E10" s="744">
        <v>534831248</v>
      </c>
    </row>
    <row r="11" spans="1:6" ht="26.1" customHeight="1" x14ac:dyDescent="0.25">
      <c r="A11" s="742">
        <v>2</v>
      </c>
      <c r="B11" s="743" t="s">
        <v>937</v>
      </c>
      <c r="C11" s="744">
        <v>693180237</v>
      </c>
      <c r="D11" s="744">
        <v>707101172</v>
      </c>
      <c r="E11" s="744">
        <v>752709188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1272225607</v>
      </c>
      <c r="D12" s="744">
        <f>+D11+D10</f>
        <v>1264918959</v>
      </c>
      <c r="E12" s="744">
        <f>+E11+E10</f>
        <v>1287540436</v>
      </c>
    </row>
    <row r="13" spans="1:6" ht="26.1" customHeight="1" x14ac:dyDescent="0.25">
      <c r="A13" s="742">
        <v>4</v>
      </c>
      <c r="B13" s="743" t="s">
        <v>507</v>
      </c>
      <c r="C13" s="744">
        <v>354010685</v>
      </c>
      <c r="D13" s="744">
        <v>357636636</v>
      </c>
      <c r="E13" s="744">
        <v>380107064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938</v>
      </c>
      <c r="C16" s="744">
        <v>345860614</v>
      </c>
      <c r="D16" s="744">
        <v>365751321</v>
      </c>
      <c r="E16" s="744">
        <v>366705400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939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59299</v>
      </c>
      <c r="D19" s="747">
        <v>58224</v>
      </c>
      <c r="E19" s="747">
        <v>54860</v>
      </c>
    </row>
    <row r="20" spans="1:5" ht="26.1" customHeight="1" x14ac:dyDescent="0.25">
      <c r="A20" s="742">
        <v>2</v>
      </c>
      <c r="B20" s="743" t="s">
        <v>381</v>
      </c>
      <c r="C20" s="748">
        <v>14296</v>
      </c>
      <c r="D20" s="748">
        <v>13617</v>
      </c>
      <c r="E20" s="748">
        <v>13338</v>
      </c>
    </row>
    <row r="21" spans="1:5" ht="26.1" customHeight="1" x14ac:dyDescent="0.25">
      <c r="A21" s="742">
        <v>3</v>
      </c>
      <c r="B21" s="743" t="s">
        <v>940</v>
      </c>
      <c r="C21" s="749">
        <f>IF(C20=0,0,+C19/C20)</f>
        <v>4.1479434806939004</v>
      </c>
      <c r="D21" s="749">
        <f>IF(D20=0,0,+D19/D20)</f>
        <v>4.2758316809870012</v>
      </c>
      <c r="E21" s="749">
        <f>IF(E20=0,0,+E19/E20)</f>
        <v>4.1130604288499022</v>
      </c>
    </row>
    <row r="22" spans="1:5" ht="26.1" customHeight="1" x14ac:dyDescent="0.25">
      <c r="A22" s="742">
        <v>4</v>
      </c>
      <c r="B22" s="743" t="s">
        <v>941</v>
      </c>
      <c r="C22" s="748">
        <f>IF(C10=0,0,C19*(C12/C10))</f>
        <v>130286.34745752823</v>
      </c>
      <c r="D22" s="748">
        <f>IF(D10=0,0,D19*(D12/D10))</f>
        <v>132029.92659109307</v>
      </c>
      <c r="E22" s="748">
        <f>IF(E10=0,0,E19*(E12/E10))</f>
        <v>132068.7012643659</v>
      </c>
    </row>
    <row r="23" spans="1:5" ht="26.1" customHeight="1" x14ac:dyDescent="0.25">
      <c r="A23" s="742">
        <v>0</v>
      </c>
      <c r="B23" s="743" t="s">
        <v>942</v>
      </c>
      <c r="C23" s="748">
        <f>IF(C10=0,0,C20*(C12/C10))</f>
        <v>31409.865651239037</v>
      </c>
      <c r="D23" s="748">
        <f>IF(D10=0,0,D20*(D12/D10))</f>
        <v>30878.186149885176</v>
      </c>
      <c r="E23" s="748">
        <f>IF(E10=0,0,E20*(E12/E10))</f>
        <v>32109.594193658628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943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1.264778861919418</v>
      </c>
      <c r="D26" s="750">
        <v>1.3254051802893443</v>
      </c>
      <c r="E26" s="750">
        <v>1.3901998500524817</v>
      </c>
    </row>
    <row r="27" spans="1:5" ht="26.1" customHeight="1" x14ac:dyDescent="0.25">
      <c r="A27" s="742">
        <v>2</v>
      </c>
      <c r="B27" s="743" t="s">
        <v>944</v>
      </c>
      <c r="C27" s="748">
        <f>C19*C26</f>
        <v>75000.121732959567</v>
      </c>
      <c r="D27" s="748">
        <f>D19*D26</f>
        <v>77170.391217166776</v>
      </c>
      <c r="E27" s="748">
        <f>E19*E26</f>
        <v>76266.363773879144</v>
      </c>
    </row>
    <row r="28" spans="1:5" ht="26.1" customHeight="1" x14ac:dyDescent="0.25">
      <c r="A28" s="742">
        <v>3</v>
      </c>
      <c r="B28" s="743" t="s">
        <v>945</v>
      </c>
      <c r="C28" s="748">
        <f>C20*C26</f>
        <v>18081.278610000001</v>
      </c>
      <c r="D28" s="748">
        <f>D20*D26</f>
        <v>18048.04234</v>
      </c>
      <c r="E28" s="748">
        <f>E20*E26</f>
        <v>18542.4856</v>
      </c>
    </row>
    <row r="29" spans="1:5" ht="26.1" customHeight="1" x14ac:dyDescent="0.25">
      <c r="A29" s="742">
        <v>4</v>
      </c>
      <c r="B29" s="743" t="s">
        <v>946</v>
      </c>
      <c r="C29" s="748">
        <f>C22*C26</f>
        <v>164783.41826097041</v>
      </c>
      <c r="D29" s="748">
        <f>D22*D26</f>
        <v>174993.14865705659</v>
      </c>
      <c r="E29" s="748">
        <f>E22*E26</f>
        <v>183601.88869434746</v>
      </c>
    </row>
    <row r="30" spans="1:5" ht="26.1" customHeight="1" x14ac:dyDescent="0.25">
      <c r="A30" s="742">
        <v>5</v>
      </c>
      <c r="B30" s="743" t="s">
        <v>947</v>
      </c>
      <c r="C30" s="748">
        <f>C23*C26</f>
        <v>39726.53413141593</v>
      </c>
      <c r="D30" s="748">
        <f>D23*D26</f>
        <v>40926.107880996497</v>
      </c>
      <c r="E30" s="748">
        <f>E23*E26</f>
        <v>44638.753033270259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948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949</v>
      </c>
      <c r="C33" s="744">
        <f>IF(C19=0,0,C12/C19)</f>
        <v>21454.419248216665</v>
      </c>
      <c r="D33" s="744">
        <f>IF(D19=0,0,D12/D19)</f>
        <v>21725.043950948064</v>
      </c>
      <c r="E33" s="744">
        <f>IF(E19=0,0,E12/E19)</f>
        <v>23469.566824644549</v>
      </c>
    </row>
    <row r="34" spans="1:5" ht="26.1" customHeight="1" x14ac:dyDescent="0.25">
      <c r="A34" s="742">
        <v>2</v>
      </c>
      <c r="B34" s="743" t="s">
        <v>950</v>
      </c>
      <c r="C34" s="744">
        <f>IF(C20=0,0,C12/C20)</f>
        <v>88991.718452714049</v>
      </c>
      <c r="D34" s="744">
        <f>IF(D20=0,0,D12/D20)</f>
        <v>92892.631196298738</v>
      </c>
      <c r="E34" s="744">
        <f>IF(E20=0,0,E12/E20)</f>
        <v>96531.746588693961</v>
      </c>
    </row>
    <row r="35" spans="1:5" ht="26.1" customHeight="1" x14ac:dyDescent="0.25">
      <c r="A35" s="742">
        <v>3</v>
      </c>
      <c r="B35" s="743" t="s">
        <v>951</v>
      </c>
      <c r="C35" s="744">
        <f>IF(C22=0,0,C12/C22)</f>
        <v>9764.842071535777</v>
      </c>
      <c r="D35" s="744">
        <f>IF(D22=0,0,D12/D22)</f>
        <v>9580.5473172574893</v>
      </c>
      <c r="E35" s="744">
        <f>IF(E22=0,0,E12/E22)</f>
        <v>9749.0201968647489</v>
      </c>
    </row>
    <row r="36" spans="1:5" ht="26.1" customHeight="1" x14ac:dyDescent="0.25">
      <c r="A36" s="742">
        <v>4</v>
      </c>
      <c r="B36" s="743" t="s">
        <v>952</v>
      </c>
      <c r="C36" s="744">
        <f>IF(C23=0,0,C12/C23)</f>
        <v>40504.013010632349</v>
      </c>
      <c r="D36" s="744">
        <f>IF(D23=0,0,D12/D23)</f>
        <v>40964.807740324599</v>
      </c>
      <c r="E36" s="744">
        <f>IF(E23=0,0,E12/E23)</f>
        <v>40098.309191782879</v>
      </c>
    </row>
    <row r="37" spans="1:5" ht="26.1" customHeight="1" x14ac:dyDescent="0.25">
      <c r="A37" s="742">
        <v>5</v>
      </c>
      <c r="B37" s="743" t="s">
        <v>953</v>
      </c>
      <c r="C37" s="744">
        <f>IF(C29=0,0,C12/C29)</f>
        <v>7720.5924019924978</v>
      </c>
      <c r="D37" s="744">
        <f>IF(D29=0,0,D12/D29)</f>
        <v>7228.3913325025605</v>
      </c>
      <c r="E37" s="744">
        <f>IF(E29=0,0,E12/E29)</f>
        <v>7012.6753333319029</v>
      </c>
    </row>
    <row r="38" spans="1:5" ht="26.1" customHeight="1" x14ac:dyDescent="0.25">
      <c r="A38" s="742">
        <v>6</v>
      </c>
      <c r="B38" s="743" t="s">
        <v>954</v>
      </c>
      <c r="C38" s="744">
        <f>IF(C30=0,0,C12/C30)</f>
        <v>32024.580920939639</v>
      </c>
      <c r="D38" s="744">
        <f>IF(D30=0,0,D12/D30)</f>
        <v>30907.38466208629</v>
      </c>
      <c r="E38" s="744">
        <f>IF(E30=0,0,E12/E30)</f>
        <v>28843.557413899249</v>
      </c>
    </row>
    <row r="39" spans="1:5" ht="26.1" customHeight="1" x14ac:dyDescent="0.25">
      <c r="A39" s="742">
        <v>7</v>
      </c>
      <c r="B39" s="743" t="s">
        <v>955</v>
      </c>
      <c r="C39" s="744">
        <f>IF(C22=0,0,C10/C22)</f>
        <v>4444.4055827780558</v>
      </c>
      <c r="D39" s="744">
        <f>IF(D22=0,0,D10/D22)</f>
        <v>4224.9344629843281</v>
      </c>
      <c r="E39" s="744">
        <f>IF(E22=0,0,E10/E22)</f>
        <v>4049.6441842750628</v>
      </c>
    </row>
    <row r="40" spans="1:5" ht="26.1" customHeight="1" x14ac:dyDescent="0.25">
      <c r="A40" s="742">
        <v>8</v>
      </c>
      <c r="B40" s="743" t="s">
        <v>956</v>
      </c>
      <c r="C40" s="744">
        <f>IF(C23=0,0,C10/C23)</f>
        <v>18435.14316264381</v>
      </c>
      <c r="D40" s="744">
        <f>IF(D23=0,0,D10/D23)</f>
        <v>18065.108626922192</v>
      </c>
      <c r="E40" s="744">
        <f>IF(E23=0,0,E10/E23)</f>
        <v>16656.431245263902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957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958</v>
      </c>
      <c r="C43" s="744">
        <f>IF(C19=0,0,C13/C19)</f>
        <v>5969.9267272635288</v>
      </c>
      <c r="D43" s="744">
        <f>IF(D19=0,0,D13/D19)</f>
        <v>6142.4264220939822</v>
      </c>
      <c r="E43" s="744">
        <f>IF(E19=0,0,E13/E19)</f>
        <v>6928.6741523878964</v>
      </c>
    </row>
    <row r="44" spans="1:5" ht="26.1" customHeight="1" x14ac:dyDescent="0.25">
      <c r="A44" s="742">
        <v>2</v>
      </c>
      <c r="B44" s="743" t="s">
        <v>959</v>
      </c>
      <c r="C44" s="744">
        <f>IF(C20=0,0,C13/C20)</f>
        <v>24762.918648573028</v>
      </c>
      <c r="D44" s="744">
        <f>IF(D20=0,0,D13/D20)</f>
        <v>26263.981493721083</v>
      </c>
      <c r="E44" s="744">
        <f>IF(E20=0,0,E13/E20)</f>
        <v>28498.055480581796</v>
      </c>
    </row>
    <row r="45" spans="1:5" ht="26.1" customHeight="1" x14ac:dyDescent="0.25">
      <c r="A45" s="742">
        <v>3</v>
      </c>
      <c r="B45" s="743" t="s">
        <v>960</v>
      </c>
      <c r="C45" s="744">
        <f>IF(C22=0,0,C13/C22)</f>
        <v>2717.1740701028034</v>
      </c>
      <c r="D45" s="744">
        <f>IF(D22=0,0,D13/D22)</f>
        <v>2708.7543349745883</v>
      </c>
      <c r="E45" s="744">
        <f>IF(E22=0,0,E13/E22)</f>
        <v>2878.1010213701447</v>
      </c>
    </row>
    <row r="46" spans="1:5" ht="26.1" customHeight="1" x14ac:dyDescent="0.25">
      <c r="A46" s="742">
        <v>4</v>
      </c>
      <c r="B46" s="743" t="s">
        <v>961</v>
      </c>
      <c r="C46" s="744">
        <f>IF(C23=0,0,C13/C23)</f>
        <v>11270.684469993434</v>
      </c>
      <c r="D46" s="744">
        <f>IF(D23=0,0,D13/D23)</f>
        <v>11582.177601495219</v>
      </c>
      <c r="E46" s="744">
        <f>IF(E23=0,0,E13/E23)</f>
        <v>11837.80342123003</v>
      </c>
    </row>
    <row r="47" spans="1:5" ht="26.1" customHeight="1" x14ac:dyDescent="0.25">
      <c r="A47" s="742">
        <v>5</v>
      </c>
      <c r="B47" s="743" t="s">
        <v>962</v>
      </c>
      <c r="C47" s="744">
        <f>IF(C29=0,0,C13/C29)</f>
        <v>2148.3392487910828</v>
      </c>
      <c r="D47" s="744">
        <f>IF(D29=0,0,D13/D29)</f>
        <v>2043.7179326424921</v>
      </c>
      <c r="E47" s="744">
        <f>IF(E29=0,0,E13/E29)</f>
        <v>2070.2786158849699</v>
      </c>
    </row>
    <row r="48" spans="1:5" ht="26.1" customHeight="1" x14ac:dyDescent="0.25">
      <c r="A48" s="742">
        <v>6</v>
      </c>
      <c r="B48" s="743" t="s">
        <v>963</v>
      </c>
      <c r="C48" s="744">
        <f>IF(C30=0,0,C13/C30)</f>
        <v>8911.1897813418036</v>
      </c>
      <c r="D48" s="744">
        <f>IF(D30=0,0,D13/D30)</f>
        <v>8738.5938833940254</v>
      </c>
      <c r="E48" s="744">
        <f>IF(E30=0,0,E13/E30)</f>
        <v>8515.1810516906171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964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965</v>
      </c>
      <c r="C51" s="744">
        <f>IF(C19=0,0,C16/C19)</f>
        <v>5832.4864500244521</v>
      </c>
      <c r="D51" s="744">
        <f>IF(D19=0,0,D16/D19)</f>
        <v>6281.7965272052761</v>
      </c>
      <c r="E51" s="744">
        <f>IF(E19=0,0,E16/E19)</f>
        <v>6684.3857090776519</v>
      </c>
    </row>
    <row r="52" spans="1:6" ht="26.1" customHeight="1" x14ac:dyDescent="0.25">
      <c r="A52" s="742">
        <v>2</v>
      </c>
      <c r="B52" s="743" t="s">
        <v>966</v>
      </c>
      <c r="C52" s="744">
        <f>IF(C20=0,0,C16/C20)</f>
        <v>24192.824146614439</v>
      </c>
      <c r="D52" s="744">
        <f>IF(D20=0,0,D16/D20)</f>
        <v>26859.904604538446</v>
      </c>
      <c r="E52" s="744">
        <f>IF(E20=0,0,E16/E20)</f>
        <v>27493.282351177088</v>
      </c>
    </row>
    <row r="53" spans="1:6" ht="26.1" customHeight="1" x14ac:dyDescent="0.25">
      <c r="A53" s="742">
        <v>3</v>
      </c>
      <c r="B53" s="743" t="s">
        <v>967</v>
      </c>
      <c r="C53" s="744">
        <f>IF(C22=0,0,C16/C22)</f>
        <v>2654.6190045948319</v>
      </c>
      <c r="D53" s="744">
        <f>IF(D22=0,0,D16/D22)</f>
        <v>2770.2152871201711</v>
      </c>
      <c r="E53" s="744">
        <f>IF(E22=0,0,E16/E22)</f>
        <v>2776.6260778619662</v>
      </c>
    </row>
    <row r="54" spans="1:6" ht="26.1" customHeight="1" x14ac:dyDescent="0.25">
      <c r="A54" s="742">
        <v>4</v>
      </c>
      <c r="B54" s="743" t="s">
        <v>968</v>
      </c>
      <c r="C54" s="744">
        <f>IF(C23=0,0,C16/C23)</f>
        <v>11011.209593835263</v>
      </c>
      <c r="D54" s="744">
        <f>IF(D23=0,0,D16/D23)</f>
        <v>11844.97428782293</v>
      </c>
      <c r="E54" s="744">
        <f>IF(E23=0,0,E16/E23)</f>
        <v>11420.430846566762</v>
      </c>
    </row>
    <row r="55" spans="1:6" ht="26.1" customHeight="1" x14ac:dyDescent="0.25">
      <c r="A55" s="742">
        <v>5</v>
      </c>
      <c r="B55" s="743" t="s">
        <v>969</v>
      </c>
      <c r="C55" s="744">
        <f>IF(C29=0,0,C16/C29)</f>
        <v>2098.8799580079981</v>
      </c>
      <c r="D55" s="744">
        <f>IF(D29=0,0,D16/D29)</f>
        <v>2090.089376680583</v>
      </c>
      <c r="E55" s="744">
        <f>IF(E29=0,0,E16/E29)</f>
        <v>1997.285554128887</v>
      </c>
    </row>
    <row r="56" spans="1:6" ht="26.1" customHeight="1" x14ac:dyDescent="0.25">
      <c r="A56" s="742">
        <v>6</v>
      </c>
      <c r="B56" s="743" t="s">
        <v>970</v>
      </c>
      <c r="C56" s="744">
        <f>IF(C30=0,0,C16/C30)</f>
        <v>8706.035438578363</v>
      </c>
      <c r="D56" s="744">
        <f>IF(D30=0,0,D16/D30)</f>
        <v>8936.8703729052104</v>
      </c>
      <c r="E56" s="744">
        <f>IF(E30=0,0,E16/E30)</f>
        <v>8214.9561778010757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971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972</v>
      </c>
      <c r="C59" s="752">
        <v>45660781</v>
      </c>
      <c r="D59" s="752">
        <v>48109273</v>
      </c>
      <c r="E59" s="752">
        <v>47399411</v>
      </c>
    </row>
    <row r="60" spans="1:6" ht="26.1" customHeight="1" x14ac:dyDescent="0.25">
      <c r="A60" s="742">
        <v>2</v>
      </c>
      <c r="B60" s="743" t="s">
        <v>973</v>
      </c>
      <c r="C60" s="752">
        <v>10194297</v>
      </c>
      <c r="D60" s="752">
        <v>12181092</v>
      </c>
      <c r="E60" s="752">
        <v>9690325</v>
      </c>
    </row>
    <row r="61" spans="1:6" ht="26.1" customHeight="1" x14ac:dyDescent="0.25">
      <c r="A61" s="753">
        <v>3</v>
      </c>
      <c r="B61" s="754" t="s">
        <v>974</v>
      </c>
      <c r="C61" s="755">
        <f>C59+C60</f>
        <v>55855078</v>
      </c>
      <c r="D61" s="755">
        <f>D59+D60</f>
        <v>60290365</v>
      </c>
      <c r="E61" s="755">
        <f>E59+E60</f>
        <v>57089736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975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976</v>
      </c>
      <c r="C64" s="744">
        <v>28083459</v>
      </c>
      <c r="D64" s="744">
        <v>29654826</v>
      </c>
      <c r="E64" s="752">
        <v>30400071</v>
      </c>
      <c r="F64" s="756"/>
    </row>
    <row r="65" spans="1:6" ht="26.1" customHeight="1" x14ac:dyDescent="0.25">
      <c r="A65" s="742">
        <v>2</v>
      </c>
      <c r="B65" s="743" t="s">
        <v>977</v>
      </c>
      <c r="C65" s="752">
        <v>6269956</v>
      </c>
      <c r="D65" s="752">
        <v>7508493</v>
      </c>
      <c r="E65" s="752">
        <v>6214984</v>
      </c>
      <c r="F65" s="756"/>
    </row>
    <row r="66" spans="1:6" ht="26.1" customHeight="1" x14ac:dyDescent="0.25">
      <c r="A66" s="753">
        <v>3</v>
      </c>
      <c r="B66" s="754" t="s">
        <v>978</v>
      </c>
      <c r="C66" s="757">
        <f>C64+C65</f>
        <v>34353415</v>
      </c>
      <c r="D66" s="757">
        <f>D64+D65</f>
        <v>37163319</v>
      </c>
      <c r="E66" s="757">
        <f>E64+E65</f>
        <v>36615055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979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980</v>
      </c>
      <c r="C69" s="752">
        <v>91101334</v>
      </c>
      <c r="D69" s="752">
        <v>90314138</v>
      </c>
      <c r="E69" s="752">
        <v>96463710</v>
      </c>
    </row>
    <row r="70" spans="1:6" ht="26.1" customHeight="1" x14ac:dyDescent="0.25">
      <c r="A70" s="742">
        <v>2</v>
      </c>
      <c r="B70" s="743" t="s">
        <v>981</v>
      </c>
      <c r="C70" s="752">
        <v>20339427</v>
      </c>
      <c r="D70" s="752">
        <v>22867210</v>
      </c>
      <c r="E70" s="752">
        <v>19750837</v>
      </c>
    </row>
    <row r="71" spans="1:6" ht="26.1" customHeight="1" x14ac:dyDescent="0.25">
      <c r="A71" s="753">
        <v>3</v>
      </c>
      <c r="B71" s="754" t="s">
        <v>982</v>
      </c>
      <c r="C71" s="755">
        <f>C69+C70</f>
        <v>111440761</v>
      </c>
      <c r="D71" s="755">
        <f>D69+D70</f>
        <v>113181348</v>
      </c>
      <c r="E71" s="755">
        <f>E69+E70</f>
        <v>116214547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983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984</v>
      </c>
      <c r="C75" s="744">
        <f t="shared" ref="C75:E76" si="0">+C59+C64+C69</f>
        <v>164845574</v>
      </c>
      <c r="D75" s="744">
        <f t="shared" si="0"/>
        <v>168078237</v>
      </c>
      <c r="E75" s="744">
        <f t="shared" si="0"/>
        <v>174263192</v>
      </c>
    </row>
    <row r="76" spans="1:6" ht="26.1" customHeight="1" x14ac:dyDescent="0.25">
      <c r="A76" s="742">
        <v>2</v>
      </c>
      <c r="B76" s="743" t="s">
        <v>985</v>
      </c>
      <c r="C76" s="744">
        <f t="shared" si="0"/>
        <v>36803680</v>
      </c>
      <c r="D76" s="744">
        <f t="shared" si="0"/>
        <v>42556795</v>
      </c>
      <c r="E76" s="744">
        <f t="shared" si="0"/>
        <v>35656146</v>
      </c>
    </row>
    <row r="77" spans="1:6" ht="26.1" customHeight="1" x14ac:dyDescent="0.25">
      <c r="A77" s="753">
        <v>3</v>
      </c>
      <c r="B77" s="754" t="s">
        <v>983</v>
      </c>
      <c r="C77" s="757">
        <f>C75+C76</f>
        <v>201649254</v>
      </c>
      <c r="D77" s="757">
        <f>D75+D76</f>
        <v>210635032</v>
      </c>
      <c r="E77" s="757">
        <f>E75+E76</f>
        <v>209919338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986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520.4</v>
      </c>
      <c r="D80" s="749">
        <v>540.20000000000005</v>
      </c>
      <c r="E80" s="749">
        <v>500.8</v>
      </c>
    </row>
    <row r="81" spans="1:5" ht="26.1" customHeight="1" x14ac:dyDescent="0.25">
      <c r="A81" s="742">
        <v>2</v>
      </c>
      <c r="B81" s="743" t="s">
        <v>617</v>
      </c>
      <c r="C81" s="749">
        <v>134.5</v>
      </c>
      <c r="D81" s="749">
        <v>137.30000000000001</v>
      </c>
      <c r="E81" s="749">
        <v>139.30000000000001</v>
      </c>
    </row>
    <row r="82" spans="1:5" ht="26.1" customHeight="1" x14ac:dyDescent="0.25">
      <c r="A82" s="742">
        <v>3</v>
      </c>
      <c r="B82" s="743" t="s">
        <v>987</v>
      </c>
      <c r="C82" s="749">
        <v>1426.3</v>
      </c>
      <c r="D82" s="749">
        <v>1429.7</v>
      </c>
      <c r="E82" s="749">
        <v>1464.2</v>
      </c>
    </row>
    <row r="83" spans="1:5" ht="26.1" customHeight="1" x14ac:dyDescent="0.25">
      <c r="A83" s="753">
        <v>4</v>
      </c>
      <c r="B83" s="754" t="s">
        <v>986</v>
      </c>
      <c r="C83" s="759">
        <f>C80+C81+C82</f>
        <v>2081.1999999999998</v>
      </c>
      <c r="D83" s="759">
        <f>D80+D81+D82</f>
        <v>2107.1999999999998</v>
      </c>
      <c r="E83" s="759">
        <f>E80+E81+E82</f>
        <v>2104.3000000000002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988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989</v>
      </c>
      <c r="C86" s="752">
        <f>IF(C80=0,0,C59/C80)</f>
        <v>87741.700614911606</v>
      </c>
      <c r="D86" s="752">
        <f>IF(D80=0,0,D59/D80)</f>
        <v>89058.261754905587</v>
      </c>
      <c r="E86" s="752">
        <f>IF(E80=0,0,E59/E80)</f>
        <v>94647.386182108618</v>
      </c>
    </row>
    <row r="87" spans="1:5" ht="26.1" customHeight="1" x14ac:dyDescent="0.25">
      <c r="A87" s="742">
        <v>2</v>
      </c>
      <c r="B87" s="743" t="s">
        <v>990</v>
      </c>
      <c r="C87" s="752">
        <f>IF(C80=0,0,C60/C80)</f>
        <v>19589.34857801691</v>
      </c>
      <c r="D87" s="752">
        <f>IF(D80=0,0,D60/D80)</f>
        <v>22549.22621251388</v>
      </c>
      <c r="E87" s="752">
        <f>IF(E80=0,0,E60/E80)</f>
        <v>19349.690495207666</v>
      </c>
    </row>
    <row r="88" spans="1:5" ht="26.1" customHeight="1" x14ac:dyDescent="0.25">
      <c r="A88" s="753">
        <v>3</v>
      </c>
      <c r="B88" s="754" t="s">
        <v>991</v>
      </c>
      <c r="C88" s="755">
        <f>+C86+C87</f>
        <v>107331.04919292852</v>
      </c>
      <c r="D88" s="755">
        <f>+D86+D87</f>
        <v>111607.48796741947</v>
      </c>
      <c r="E88" s="755">
        <f>+E86+E87</f>
        <v>113997.07667731628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992</v>
      </c>
    </row>
    <row r="91" spans="1:5" ht="26.1" customHeight="1" x14ac:dyDescent="0.25">
      <c r="A91" s="742">
        <v>1</v>
      </c>
      <c r="B91" s="743" t="s">
        <v>993</v>
      </c>
      <c r="C91" s="744">
        <f>IF(C81=0,0,C64/C81)</f>
        <v>208798.95167286246</v>
      </c>
      <c r="D91" s="744">
        <f>IF(D81=0,0,D64/D81)</f>
        <v>215985.62272396212</v>
      </c>
      <c r="E91" s="744">
        <f>IF(E81=0,0,E64/E81)</f>
        <v>218234.5369705671</v>
      </c>
    </row>
    <row r="92" spans="1:5" ht="26.1" customHeight="1" x14ac:dyDescent="0.25">
      <c r="A92" s="742">
        <v>2</v>
      </c>
      <c r="B92" s="743" t="s">
        <v>994</v>
      </c>
      <c r="C92" s="744">
        <f>IF(C81=0,0,C65/C81)</f>
        <v>46616.773234200744</v>
      </c>
      <c r="D92" s="744">
        <f>IF(D81=0,0,D65/D81)</f>
        <v>54686.766205389657</v>
      </c>
      <c r="E92" s="744">
        <f>IF(E81=0,0,E65/E81)</f>
        <v>44615.821966977739</v>
      </c>
    </row>
    <row r="93" spans="1:5" ht="26.1" customHeight="1" x14ac:dyDescent="0.25">
      <c r="A93" s="753">
        <v>3</v>
      </c>
      <c r="B93" s="754" t="s">
        <v>995</v>
      </c>
      <c r="C93" s="757">
        <f>+C91+C92</f>
        <v>255415.72490706321</v>
      </c>
      <c r="D93" s="757">
        <f>+D91+D92</f>
        <v>270672.38892935176</v>
      </c>
      <c r="E93" s="757">
        <f>+E91+E92</f>
        <v>262850.35893754486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996</v>
      </c>
      <c r="B95" s="745" t="s">
        <v>997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998</v>
      </c>
      <c r="C96" s="752">
        <f>IF(C82=0,0,C69/C82)</f>
        <v>63872.491060786655</v>
      </c>
      <c r="D96" s="752">
        <f>IF(D82=0,0,D69/D82)</f>
        <v>63169.992306078195</v>
      </c>
      <c r="E96" s="752">
        <f>IF(E82=0,0,E69/E82)</f>
        <v>65881.512088512492</v>
      </c>
    </row>
    <row r="97" spans="1:5" ht="26.1" customHeight="1" x14ac:dyDescent="0.25">
      <c r="A97" s="742">
        <v>2</v>
      </c>
      <c r="B97" s="743" t="s">
        <v>999</v>
      </c>
      <c r="C97" s="752">
        <f>IF(C82=0,0,C70/C82)</f>
        <v>14260.272733646498</v>
      </c>
      <c r="D97" s="752">
        <f>IF(D82=0,0,D70/D82)</f>
        <v>15994.411414982163</v>
      </c>
      <c r="E97" s="752">
        <f>IF(E82=0,0,E70/E82)</f>
        <v>13489.166097527659</v>
      </c>
    </row>
    <row r="98" spans="1:5" ht="26.1" customHeight="1" x14ac:dyDescent="0.25">
      <c r="A98" s="753">
        <v>3</v>
      </c>
      <c r="B98" s="754" t="s">
        <v>1000</v>
      </c>
      <c r="C98" s="757">
        <f>+C96+C97</f>
        <v>78132.763794433151</v>
      </c>
      <c r="D98" s="757">
        <f>+D96+D97</f>
        <v>79164.403721060356</v>
      </c>
      <c r="E98" s="757">
        <f>+E96+E97</f>
        <v>79370.678186040153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1001</v>
      </c>
      <c r="B100" s="745" t="s">
        <v>1002</v>
      </c>
    </row>
    <row r="101" spans="1:5" ht="26.1" customHeight="1" x14ac:dyDescent="0.25">
      <c r="A101" s="742">
        <v>1</v>
      </c>
      <c r="B101" s="743" t="s">
        <v>1003</v>
      </c>
      <c r="C101" s="744">
        <f>IF(C83=0,0,C75/C83)</f>
        <v>79206.983471074389</v>
      </c>
      <c r="D101" s="744">
        <f>IF(D83=0,0,D75/D83)</f>
        <v>79763.779897494314</v>
      </c>
      <c r="E101" s="744">
        <f>IF(E83=0,0,E75/E83)</f>
        <v>82812.903103169694</v>
      </c>
    </row>
    <row r="102" spans="1:5" ht="26.1" customHeight="1" x14ac:dyDescent="0.25">
      <c r="A102" s="742">
        <v>2</v>
      </c>
      <c r="B102" s="743" t="s">
        <v>1004</v>
      </c>
      <c r="C102" s="761">
        <f>IF(C83=0,0,C76/C83)</f>
        <v>17683.874687680185</v>
      </c>
      <c r="D102" s="761">
        <f>IF(D83=0,0,D76/D83)</f>
        <v>20195.897399392561</v>
      </c>
      <c r="E102" s="761">
        <f>IF(E83=0,0,E76/E83)</f>
        <v>16944.42142280093</v>
      </c>
    </row>
    <row r="103" spans="1:5" ht="26.1" customHeight="1" x14ac:dyDescent="0.25">
      <c r="A103" s="753">
        <v>3</v>
      </c>
      <c r="B103" s="754" t="s">
        <v>1002</v>
      </c>
      <c r="C103" s="757">
        <f>+C101+C102</f>
        <v>96890.858158754578</v>
      </c>
      <c r="D103" s="757">
        <f>+D101+D102</f>
        <v>99959.677296886875</v>
      </c>
      <c r="E103" s="757">
        <f>+E101+E102</f>
        <v>99757.324525970616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1005</v>
      </c>
      <c r="B107" s="736" t="s">
        <v>1006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1007</v>
      </c>
      <c r="C108" s="744">
        <f>IF(C19=0,0,C77/C19)</f>
        <v>3400.5506669589709</v>
      </c>
      <c r="D108" s="744">
        <f>IF(D19=0,0,D77/D19)</f>
        <v>3617.6668040670515</v>
      </c>
      <c r="E108" s="744">
        <f>IF(E19=0,0,E77/E19)</f>
        <v>3826.4553044112286</v>
      </c>
    </row>
    <row r="109" spans="1:5" ht="26.1" customHeight="1" x14ac:dyDescent="0.25">
      <c r="A109" s="742">
        <v>2</v>
      </c>
      <c r="B109" s="743" t="s">
        <v>1008</v>
      </c>
      <c r="C109" s="744">
        <f>IF(C20=0,0,C77/C20)</f>
        <v>14105.291969781758</v>
      </c>
      <c r="D109" s="744">
        <f>IF(D20=0,0,D77/D20)</f>
        <v>15468.534332084893</v>
      </c>
      <c r="E109" s="744">
        <f>IF(E20=0,0,E77/E20)</f>
        <v>15738.441895336633</v>
      </c>
    </row>
    <row r="110" spans="1:5" ht="26.1" customHeight="1" x14ac:dyDescent="0.25">
      <c r="A110" s="742">
        <v>3</v>
      </c>
      <c r="B110" s="743" t="s">
        <v>1009</v>
      </c>
      <c r="C110" s="744">
        <f>IF(C22=0,0,C77/C22)</f>
        <v>1547.7389452930609</v>
      </c>
      <c r="D110" s="744">
        <f>IF(D22=0,0,D77/D22)</f>
        <v>1595.3582451980985</v>
      </c>
      <c r="E110" s="744">
        <f>IF(E22=0,0,E77/E22)</f>
        <v>1589.4707526486395</v>
      </c>
    </row>
    <row r="111" spans="1:5" ht="26.1" customHeight="1" x14ac:dyDescent="0.25">
      <c r="A111" s="742">
        <v>4</v>
      </c>
      <c r="B111" s="743" t="s">
        <v>1010</v>
      </c>
      <c r="C111" s="744">
        <f>IF(C23=0,0,C77/C23)</f>
        <v>6419.933667944405</v>
      </c>
      <c r="D111" s="744">
        <f>IF(D23=0,0,D77/D23)</f>
        <v>6821.4833273418581</v>
      </c>
      <c r="E111" s="744">
        <f>IF(E23=0,0,E77/E23)</f>
        <v>6537.5892555333912</v>
      </c>
    </row>
    <row r="112" spans="1:5" ht="26.1" customHeight="1" x14ac:dyDescent="0.25">
      <c r="A112" s="742">
        <v>5</v>
      </c>
      <c r="B112" s="743" t="s">
        <v>1011</v>
      </c>
      <c r="C112" s="744">
        <f>IF(C29=0,0,C77/C29)</f>
        <v>1223.7229699935251</v>
      </c>
      <c r="D112" s="744">
        <f>IF(D29=0,0,D77/D29)</f>
        <v>1203.6758788356492</v>
      </c>
      <c r="E112" s="744">
        <f>IF(E29=0,0,E77/E29)</f>
        <v>1143.3397526180393</v>
      </c>
    </row>
    <row r="113" spans="1:7" ht="25.5" customHeight="1" x14ac:dyDescent="0.25">
      <c r="A113" s="742">
        <v>6</v>
      </c>
      <c r="B113" s="743" t="s">
        <v>1012</v>
      </c>
      <c r="C113" s="744">
        <f>IF(C30=0,0,C77/C30)</f>
        <v>5075.9337155600197</v>
      </c>
      <c r="D113" s="744">
        <f>IF(D30=0,0,D77/D30)</f>
        <v>5146.7154563653394</v>
      </c>
      <c r="E113" s="744">
        <f>IF(E30=0,0,E77/E30)</f>
        <v>4702.6254932242937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8" fitToHeight="0" orientation="portrait" r:id="rId1"/>
  <headerFooter>
    <oddHeader>&amp;L&amp;"Arial,Bold"&amp;12OFFICE OF HEALTH CARE ACCESS&amp;C&amp;"Arial,Bold"&amp;12TWELVE MONTHS ACTUAL FILING&amp;R&amp;"Arial,Bold"&amp;12MIDDLESEX HOSPITAL</oddHeader>
    <oddFooter>&amp;L&amp;"Arial,Bold"&amp;12REPORT 700&amp;C&amp;"Arial,Bold"&amp;12PAGE &amp;P of &amp;N&amp;R&amp;"Arial,Bold"&amp;12&amp;D,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1264918959</v>
      </c>
      <c r="D12" s="76">
        <v>1287540436</v>
      </c>
      <c r="E12" s="76">
        <f t="shared" ref="E12:E21" si="0">D12-C12</f>
        <v>22621477</v>
      </c>
      <c r="F12" s="77">
        <f t="shared" ref="F12:F21" si="1">IF(C12=0,0,E12/C12)</f>
        <v>1.7883736218076561E-2</v>
      </c>
    </row>
    <row r="13" spans="1:8" ht="23.1" customHeight="1" x14ac:dyDescent="0.2">
      <c r="A13" s="74">
        <v>2</v>
      </c>
      <c r="B13" s="75" t="s">
        <v>72</v>
      </c>
      <c r="C13" s="76">
        <v>890315301</v>
      </c>
      <c r="D13" s="76">
        <v>890713749</v>
      </c>
      <c r="E13" s="76">
        <f t="shared" si="0"/>
        <v>398448</v>
      </c>
      <c r="F13" s="77">
        <f t="shared" si="1"/>
        <v>4.4753583315086708E-4</v>
      </c>
    </row>
    <row r="14" spans="1:8" ht="23.1" customHeight="1" x14ac:dyDescent="0.2">
      <c r="A14" s="74">
        <v>3</v>
      </c>
      <c r="B14" s="75" t="s">
        <v>73</v>
      </c>
      <c r="C14" s="76">
        <v>6695669</v>
      </c>
      <c r="D14" s="76">
        <v>5726046</v>
      </c>
      <c r="E14" s="76">
        <f t="shared" si="0"/>
        <v>-969623</v>
      </c>
      <c r="F14" s="77">
        <f t="shared" si="1"/>
        <v>-0.14481346076097848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367907989</v>
      </c>
      <c r="D16" s="79">
        <f>D12-D13-D14-D15</f>
        <v>391100641</v>
      </c>
      <c r="E16" s="79">
        <f t="shared" si="0"/>
        <v>23192652</v>
      </c>
      <c r="F16" s="80">
        <f t="shared" si="1"/>
        <v>6.3039272572034302E-2</v>
      </c>
    </row>
    <row r="17" spans="1:7" ht="23.1" customHeight="1" x14ac:dyDescent="0.2">
      <c r="A17" s="74">
        <v>5</v>
      </c>
      <c r="B17" s="75" t="s">
        <v>76</v>
      </c>
      <c r="C17" s="76">
        <v>10271353</v>
      </c>
      <c r="D17" s="76">
        <v>10993577</v>
      </c>
      <c r="E17" s="76">
        <f t="shared" si="0"/>
        <v>722224</v>
      </c>
      <c r="F17" s="77">
        <f t="shared" si="1"/>
        <v>7.0314397723454741E-2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357636636</v>
      </c>
      <c r="D18" s="79">
        <f>D16-D17</f>
        <v>380107064</v>
      </c>
      <c r="E18" s="79">
        <f t="shared" si="0"/>
        <v>22470428</v>
      </c>
      <c r="F18" s="80">
        <f t="shared" si="1"/>
        <v>6.2830330391542996E-2</v>
      </c>
    </row>
    <row r="19" spans="1:7" ht="23.1" customHeight="1" x14ac:dyDescent="0.2">
      <c r="A19" s="74">
        <v>6</v>
      </c>
      <c r="B19" s="75" t="s">
        <v>78</v>
      </c>
      <c r="C19" s="76">
        <v>13366834</v>
      </c>
      <c r="D19" s="76">
        <v>11182242</v>
      </c>
      <c r="E19" s="76">
        <f t="shared" si="0"/>
        <v>-2184592</v>
      </c>
      <c r="F19" s="77">
        <f t="shared" si="1"/>
        <v>-0.16343376449501804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371003470</v>
      </c>
      <c r="D21" s="79">
        <f>SUM(D18:D20)</f>
        <v>391289306</v>
      </c>
      <c r="E21" s="79">
        <f t="shared" si="0"/>
        <v>20285836</v>
      </c>
      <c r="F21" s="80">
        <f t="shared" si="1"/>
        <v>5.4678291822984837E-2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168078237</v>
      </c>
      <c r="D24" s="76">
        <v>174263192</v>
      </c>
      <c r="E24" s="76">
        <f t="shared" ref="E24:E33" si="2">D24-C24</f>
        <v>6184955</v>
      </c>
      <c r="F24" s="77">
        <f t="shared" ref="F24:F33" si="3">IF(C24=0,0,E24/C24)</f>
        <v>3.6798071602809589E-2</v>
      </c>
    </row>
    <row r="25" spans="1:7" ht="23.1" customHeight="1" x14ac:dyDescent="0.2">
      <c r="A25" s="74">
        <v>2</v>
      </c>
      <c r="B25" s="75" t="s">
        <v>83</v>
      </c>
      <c r="C25" s="76">
        <v>42556795</v>
      </c>
      <c r="D25" s="76">
        <v>35656146</v>
      </c>
      <c r="E25" s="76">
        <f t="shared" si="2"/>
        <v>-6900649</v>
      </c>
      <c r="F25" s="77">
        <f t="shared" si="3"/>
        <v>-0.1621515201038988</v>
      </c>
    </row>
    <row r="26" spans="1:7" ht="23.1" customHeight="1" x14ac:dyDescent="0.2">
      <c r="A26" s="74">
        <v>3</v>
      </c>
      <c r="B26" s="75" t="s">
        <v>84</v>
      </c>
      <c r="C26" s="76">
        <v>4053027</v>
      </c>
      <c r="D26" s="76">
        <v>3942380</v>
      </c>
      <c r="E26" s="76">
        <f t="shared" si="2"/>
        <v>-110647</v>
      </c>
      <c r="F26" s="77">
        <f t="shared" si="3"/>
        <v>-2.7299842808843858E-2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41070578</v>
      </c>
      <c r="D27" s="76">
        <v>44774551</v>
      </c>
      <c r="E27" s="76">
        <f t="shared" si="2"/>
        <v>3703973</v>
      </c>
      <c r="F27" s="77">
        <f t="shared" si="3"/>
        <v>9.0185558138480545E-2</v>
      </c>
    </row>
    <row r="28" spans="1:7" ht="23.1" customHeight="1" x14ac:dyDescent="0.2">
      <c r="A28" s="74">
        <v>5</v>
      </c>
      <c r="B28" s="75" t="s">
        <v>86</v>
      </c>
      <c r="C28" s="76">
        <v>23551155</v>
      </c>
      <c r="D28" s="76">
        <v>24047595</v>
      </c>
      <c r="E28" s="76">
        <f t="shared" si="2"/>
        <v>496440</v>
      </c>
      <c r="F28" s="77">
        <f t="shared" si="3"/>
        <v>2.1079220955405372E-2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2603790</v>
      </c>
      <c r="D30" s="76">
        <v>2323206</v>
      </c>
      <c r="E30" s="76">
        <f t="shared" si="2"/>
        <v>-280584</v>
      </c>
      <c r="F30" s="77">
        <f t="shared" si="3"/>
        <v>-0.10775984238360237</v>
      </c>
    </row>
    <row r="31" spans="1:7" ht="23.1" customHeight="1" x14ac:dyDescent="0.2">
      <c r="A31" s="74">
        <v>8</v>
      </c>
      <c r="B31" s="75" t="s">
        <v>89</v>
      </c>
      <c r="C31" s="76">
        <v>5883856</v>
      </c>
      <c r="D31" s="76">
        <v>2599573</v>
      </c>
      <c r="E31" s="76">
        <f t="shared" si="2"/>
        <v>-3284283</v>
      </c>
      <c r="F31" s="77">
        <f t="shared" si="3"/>
        <v>-0.55818548244552557</v>
      </c>
    </row>
    <row r="32" spans="1:7" ht="23.1" customHeight="1" x14ac:dyDescent="0.2">
      <c r="A32" s="74">
        <v>9</v>
      </c>
      <c r="B32" s="75" t="s">
        <v>90</v>
      </c>
      <c r="C32" s="76">
        <v>77953883</v>
      </c>
      <c r="D32" s="76">
        <v>79098757</v>
      </c>
      <c r="E32" s="76">
        <f t="shared" si="2"/>
        <v>1144874</v>
      </c>
      <c r="F32" s="77">
        <f t="shared" si="3"/>
        <v>1.4686555126445722E-2</v>
      </c>
    </row>
    <row r="33" spans="1:6" ht="23.1" customHeight="1" x14ac:dyDescent="0.25">
      <c r="A33" s="71"/>
      <c r="B33" s="78" t="s">
        <v>91</v>
      </c>
      <c r="C33" s="79">
        <f>SUM(C24:C32)</f>
        <v>365751321</v>
      </c>
      <c r="D33" s="79">
        <f>SUM(D24:D32)</f>
        <v>366705400</v>
      </c>
      <c r="E33" s="79">
        <f t="shared" si="2"/>
        <v>954079</v>
      </c>
      <c r="F33" s="80">
        <f t="shared" si="3"/>
        <v>2.6085456024914806E-3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5252149</v>
      </c>
      <c r="D35" s="79">
        <f>+D21-D33</f>
        <v>24583906</v>
      </c>
      <c r="E35" s="79">
        <f>D35-C35</f>
        <v>19331757</v>
      </c>
      <c r="F35" s="80">
        <f>IF(C35=0,0,E35/C35)</f>
        <v>3.6807327819526825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7305000</v>
      </c>
      <c r="D38" s="76">
        <v>13985717</v>
      </c>
      <c r="E38" s="76">
        <f>D38-C38</f>
        <v>6680717</v>
      </c>
      <c r="F38" s="77">
        <f>IF(C38=0,0,E38/C38)</f>
        <v>0.91454031485284049</v>
      </c>
    </row>
    <row r="39" spans="1:6" ht="23.1" customHeight="1" x14ac:dyDescent="0.2">
      <c r="A39" s="85">
        <v>2</v>
      </c>
      <c r="B39" s="75" t="s">
        <v>95</v>
      </c>
      <c r="C39" s="76">
        <v>2027000</v>
      </c>
      <c r="D39" s="76">
        <v>393718</v>
      </c>
      <c r="E39" s="76">
        <f>D39-C39</f>
        <v>-1633282</v>
      </c>
      <c r="F39" s="77">
        <f>IF(C39=0,0,E39/C39)</f>
        <v>-0.80576319684262454</v>
      </c>
    </row>
    <row r="40" spans="1:6" ht="23.1" customHeight="1" x14ac:dyDescent="0.2">
      <c r="A40" s="85">
        <v>3</v>
      </c>
      <c r="B40" s="75" t="s">
        <v>96</v>
      </c>
      <c r="C40" s="76">
        <v>-2120000</v>
      </c>
      <c r="D40" s="76">
        <v>-1996350</v>
      </c>
      <c r="E40" s="76">
        <f>D40-C40</f>
        <v>123650</v>
      </c>
      <c r="F40" s="77">
        <f>IF(C40=0,0,E40/C40)</f>
        <v>-5.832547169811321E-2</v>
      </c>
    </row>
    <row r="41" spans="1:6" ht="23.1" customHeight="1" x14ac:dyDescent="0.25">
      <c r="A41" s="83"/>
      <c r="B41" s="78" t="s">
        <v>97</v>
      </c>
      <c r="C41" s="79">
        <f>SUM(C38:C40)</f>
        <v>7212000</v>
      </c>
      <c r="D41" s="79">
        <f>SUM(D38:D40)</f>
        <v>12383085</v>
      </c>
      <c r="E41" s="79">
        <f>D41-C41</f>
        <v>5171085</v>
      </c>
      <c r="F41" s="80">
        <f>IF(C41=0,0,E41/C41)</f>
        <v>0.71701123128119804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12464149</v>
      </c>
      <c r="D43" s="79">
        <f>D35+D41</f>
        <v>36966991</v>
      </c>
      <c r="E43" s="79">
        <f>D43-C43</f>
        <v>24502842</v>
      </c>
      <c r="F43" s="80">
        <f>IF(C43=0,0,E43/C43)</f>
        <v>1.9658656198670281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12464149</v>
      </c>
      <c r="D50" s="79">
        <f>D43+D48</f>
        <v>36966991</v>
      </c>
      <c r="E50" s="79">
        <f>D50-C50</f>
        <v>24502842</v>
      </c>
      <c r="F50" s="80">
        <f>IF(C50=0,0,E50/C50)</f>
        <v>1.9658656198670281</v>
      </c>
    </row>
    <row r="51" spans="1:6" ht="23.1" customHeight="1" x14ac:dyDescent="0.2">
      <c r="A51" s="85"/>
      <c r="B51" s="75" t="s">
        <v>104</v>
      </c>
      <c r="C51" s="76">
        <v>3261251</v>
      </c>
      <c r="D51" s="76">
        <v>3513419</v>
      </c>
      <c r="E51" s="76">
        <f>D51-C51</f>
        <v>252168</v>
      </c>
      <c r="F51" s="77">
        <f>IF(C51=0,0,E51/C51)</f>
        <v>7.7322475332318799E-2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orientation="portrait" r:id="rId1"/>
  <headerFooter>
    <oddHeader>&amp;LOFFICE OF HEALTH CARE ACCESS&amp;CTWELVE MONTHS ACTUAL FILING&amp;RMIDDLESEX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topLeftCell="A64"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266689413</v>
      </c>
      <c r="D14" s="113">
        <v>238786046</v>
      </c>
      <c r="E14" s="113">
        <f t="shared" ref="E14:E25" si="0">D14-C14</f>
        <v>-27903367</v>
      </c>
      <c r="F14" s="114">
        <f t="shared" ref="F14:F25" si="1">IF(C14=0,0,E14/C14)</f>
        <v>-0.10462870155254345</v>
      </c>
    </row>
    <row r="15" spans="1:6" x14ac:dyDescent="0.2">
      <c r="A15" s="115">
        <v>2</v>
      </c>
      <c r="B15" s="116" t="s">
        <v>114</v>
      </c>
      <c r="C15" s="113">
        <v>66537673</v>
      </c>
      <c r="D15" s="113">
        <v>73197147</v>
      </c>
      <c r="E15" s="113">
        <f t="shared" si="0"/>
        <v>6659474</v>
      </c>
      <c r="F15" s="114">
        <f t="shared" si="1"/>
        <v>0.10008576644993281</v>
      </c>
    </row>
    <row r="16" spans="1:6" x14ac:dyDescent="0.2">
      <c r="A16" s="115">
        <v>3</v>
      </c>
      <c r="B16" s="116" t="s">
        <v>115</v>
      </c>
      <c r="C16" s="113">
        <v>76836069</v>
      </c>
      <c r="D16" s="113">
        <v>72029066</v>
      </c>
      <c r="E16" s="113">
        <f t="shared" si="0"/>
        <v>-4807003</v>
      </c>
      <c r="F16" s="114">
        <f t="shared" si="1"/>
        <v>-6.2561802842880987E-2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1934851</v>
      </c>
      <c r="D18" s="113">
        <v>1856087</v>
      </c>
      <c r="E18" s="113">
        <f t="shared" si="0"/>
        <v>-78764</v>
      </c>
      <c r="F18" s="114">
        <f t="shared" si="1"/>
        <v>-4.0708044185314526E-2</v>
      </c>
    </row>
    <row r="19" spans="1:6" x14ac:dyDescent="0.2">
      <c r="A19" s="115">
        <v>6</v>
      </c>
      <c r="B19" s="116" t="s">
        <v>118</v>
      </c>
      <c r="C19" s="113">
        <v>9895485</v>
      </c>
      <c r="D19" s="113">
        <v>10574558</v>
      </c>
      <c r="E19" s="113">
        <f t="shared" si="0"/>
        <v>679073</v>
      </c>
      <c r="F19" s="114">
        <f t="shared" si="1"/>
        <v>6.8624529267640746E-2</v>
      </c>
    </row>
    <row r="20" spans="1:6" x14ac:dyDescent="0.2">
      <c r="A20" s="115">
        <v>7</v>
      </c>
      <c r="B20" s="116" t="s">
        <v>119</v>
      </c>
      <c r="C20" s="113">
        <v>125383762</v>
      </c>
      <c r="D20" s="113">
        <v>128728141</v>
      </c>
      <c r="E20" s="113">
        <f t="shared" si="0"/>
        <v>3344379</v>
      </c>
      <c r="F20" s="114">
        <f t="shared" si="1"/>
        <v>2.667314289070382E-2</v>
      </c>
    </row>
    <row r="21" spans="1:6" x14ac:dyDescent="0.2">
      <c r="A21" s="115">
        <v>8</v>
      </c>
      <c r="B21" s="116" t="s">
        <v>120</v>
      </c>
      <c r="C21" s="113">
        <v>6691001</v>
      </c>
      <c r="D21" s="113">
        <v>5513548</v>
      </c>
      <c r="E21" s="113">
        <f t="shared" si="0"/>
        <v>-1177453</v>
      </c>
      <c r="F21" s="114">
        <f t="shared" si="1"/>
        <v>-0.17597561261760386</v>
      </c>
    </row>
    <row r="22" spans="1:6" x14ac:dyDescent="0.2">
      <c r="A22" s="115">
        <v>9</v>
      </c>
      <c r="B22" s="116" t="s">
        <v>121</v>
      </c>
      <c r="C22" s="113">
        <v>3849533</v>
      </c>
      <c r="D22" s="113">
        <v>4146655</v>
      </c>
      <c r="E22" s="113">
        <f t="shared" si="0"/>
        <v>297122</v>
      </c>
      <c r="F22" s="114">
        <f t="shared" si="1"/>
        <v>7.7183907762318177E-2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557817787</v>
      </c>
      <c r="D25" s="119">
        <f>SUM(D14:D24)</f>
        <v>534831248</v>
      </c>
      <c r="E25" s="119">
        <f t="shared" si="0"/>
        <v>-22986539</v>
      </c>
      <c r="F25" s="120">
        <f t="shared" si="1"/>
        <v>-4.120797065942252E-2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205249189</v>
      </c>
      <c r="D27" s="113">
        <v>217871600</v>
      </c>
      <c r="E27" s="113">
        <f t="shared" ref="E27:E38" si="2">D27-C27</f>
        <v>12622411</v>
      </c>
      <c r="F27" s="114">
        <f t="shared" ref="F27:F38" si="3">IF(C27=0,0,E27/C27)</f>
        <v>6.1497982337947267E-2</v>
      </c>
    </row>
    <row r="28" spans="1:6" x14ac:dyDescent="0.2">
      <c r="A28" s="115">
        <v>2</v>
      </c>
      <c r="B28" s="116" t="s">
        <v>114</v>
      </c>
      <c r="C28" s="113">
        <v>62218116</v>
      </c>
      <c r="D28" s="113">
        <v>80083574</v>
      </c>
      <c r="E28" s="113">
        <f t="shared" si="2"/>
        <v>17865458</v>
      </c>
      <c r="F28" s="114">
        <f t="shared" si="3"/>
        <v>0.28714238148901838</v>
      </c>
    </row>
    <row r="29" spans="1:6" x14ac:dyDescent="0.2">
      <c r="A29" s="115">
        <v>3</v>
      </c>
      <c r="B29" s="116" t="s">
        <v>115</v>
      </c>
      <c r="C29" s="113">
        <v>127898287</v>
      </c>
      <c r="D29" s="113">
        <v>130532218</v>
      </c>
      <c r="E29" s="113">
        <f t="shared" si="2"/>
        <v>2633931</v>
      </c>
      <c r="F29" s="114">
        <f t="shared" si="3"/>
        <v>2.0593950566359032E-2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3663118</v>
      </c>
      <c r="D31" s="113">
        <v>3518578</v>
      </c>
      <c r="E31" s="113">
        <f t="shared" si="2"/>
        <v>-144540</v>
      </c>
      <c r="F31" s="114">
        <f t="shared" si="3"/>
        <v>-3.9458188352108778E-2</v>
      </c>
    </row>
    <row r="32" spans="1:6" x14ac:dyDescent="0.2">
      <c r="A32" s="115">
        <v>6</v>
      </c>
      <c r="B32" s="116" t="s">
        <v>118</v>
      </c>
      <c r="C32" s="113">
        <v>26592537</v>
      </c>
      <c r="D32" s="113">
        <v>29522569</v>
      </c>
      <c r="E32" s="113">
        <f t="shared" si="2"/>
        <v>2930032</v>
      </c>
      <c r="F32" s="114">
        <f t="shared" si="3"/>
        <v>0.11018249217816262</v>
      </c>
    </row>
    <row r="33" spans="1:6" x14ac:dyDescent="0.2">
      <c r="A33" s="115">
        <v>7</v>
      </c>
      <c r="B33" s="116" t="s">
        <v>119</v>
      </c>
      <c r="C33" s="113">
        <v>260276128</v>
      </c>
      <c r="D33" s="113">
        <v>271226885</v>
      </c>
      <c r="E33" s="113">
        <f t="shared" si="2"/>
        <v>10950757</v>
      </c>
      <c r="F33" s="114">
        <f t="shared" si="3"/>
        <v>4.2073612682604532E-2</v>
      </c>
    </row>
    <row r="34" spans="1:6" x14ac:dyDescent="0.2">
      <c r="A34" s="115">
        <v>8</v>
      </c>
      <c r="B34" s="116" t="s">
        <v>120</v>
      </c>
      <c r="C34" s="113">
        <v>10173710</v>
      </c>
      <c r="D34" s="113">
        <v>9650961</v>
      </c>
      <c r="E34" s="113">
        <f t="shared" si="2"/>
        <v>-522749</v>
      </c>
      <c r="F34" s="114">
        <f t="shared" si="3"/>
        <v>-5.1382337416733918E-2</v>
      </c>
    </row>
    <row r="35" spans="1:6" x14ac:dyDescent="0.2">
      <c r="A35" s="115">
        <v>9</v>
      </c>
      <c r="B35" s="116" t="s">
        <v>121</v>
      </c>
      <c r="C35" s="113">
        <v>11030087</v>
      </c>
      <c r="D35" s="113">
        <v>10302803</v>
      </c>
      <c r="E35" s="113">
        <f t="shared" si="2"/>
        <v>-727284</v>
      </c>
      <c r="F35" s="114">
        <f t="shared" si="3"/>
        <v>-6.5936379286944874E-2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707101172</v>
      </c>
      <c r="D38" s="119">
        <f>SUM(D27:D37)</f>
        <v>752709188</v>
      </c>
      <c r="E38" s="119">
        <f t="shared" si="2"/>
        <v>45608016</v>
      </c>
      <c r="F38" s="120">
        <f t="shared" si="3"/>
        <v>6.4499986431927447E-2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471938602</v>
      </c>
      <c r="D41" s="119">
        <f t="shared" si="4"/>
        <v>456657646</v>
      </c>
      <c r="E41" s="123">
        <f t="shared" ref="E41:E52" si="5">D41-C41</f>
        <v>-15280956</v>
      </c>
      <c r="F41" s="124">
        <f t="shared" ref="F41:F52" si="6">IF(C41=0,0,E41/C41)</f>
        <v>-3.2379118671881812E-2</v>
      </c>
    </row>
    <row r="42" spans="1:6" ht="15.75" x14ac:dyDescent="0.25">
      <c r="A42" s="121">
        <v>2</v>
      </c>
      <c r="B42" s="122" t="s">
        <v>114</v>
      </c>
      <c r="C42" s="119">
        <f t="shared" si="4"/>
        <v>128755789</v>
      </c>
      <c r="D42" s="119">
        <f t="shared" si="4"/>
        <v>153280721</v>
      </c>
      <c r="E42" s="123">
        <f t="shared" si="5"/>
        <v>24524932</v>
      </c>
      <c r="F42" s="124">
        <f t="shared" si="6"/>
        <v>0.19047634432965185</v>
      </c>
    </row>
    <row r="43" spans="1:6" ht="15.75" x14ac:dyDescent="0.25">
      <c r="A43" s="121">
        <v>3</v>
      </c>
      <c r="B43" s="122" t="s">
        <v>115</v>
      </c>
      <c r="C43" s="119">
        <f t="shared" si="4"/>
        <v>204734356</v>
      </c>
      <c r="D43" s="119">
        <f t="shared" si="4"/>
        <v>202561284</v>
      </c>
      <c r="E43" s="123">
        <f t="shared" si="5"/>
        <v>-2173072</v>
      </c>
      <c r="F43" s="124">
        <f t="shared" si="6"/>
        <v>-1.0614105235957565E-2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5597969</v>
      </c>
      <c r="D45" s="119">
        <f t="shared" si="4"/>
        <v>5374665</v>
      </c>
      <c r="E45" s="123">
        <f t="shared" si="5"/>
        <v>-223304</v>
      </c>
      <c r="F45" s="124">
        <f t="shared" si="6"/>
        <v>-3.9890181599790922E-2</v>
      </c>
    </row>
    <row r="46" spans="1:6" ht="15.75" x14ac:dyDescent="0.25">
      <c r="A46" s="121">
        <v>6</v>
      </c>
      <c r="B46" s="122" t="s">
        <v>118</v>
      </c>
      <c r="C46" s="119">
        <f t="shared" si="4"/>
        <v>36488022</v>
      </c>
      <c r="D46" s="119">
        <f t="shared" si="4"/>
        <v>40097127</v>
      </c>
      <c r="E46" s="123">
        <f t="shared" si="5"/>
        <v>3609105</v>
      </c>
      <c r="F46" s="124">
        <f t="shared" si="6"/>
        <v>9.8912048452503121E-2</v>
      </c>
    </row>
    <row r="47" spans="1:6" ht="15.75" x14ac:dyDescent="0.25">
      <c r="A47" s="121">
        <v>7</v>
      </c>
      <c r="B47" s="122" t="s">
        <v>119</v>
      </c>
      <c r="C47" s="119">
        <f t="shared" si="4"/>
        <v>385659890</v>
      </c>
      <c r="D47" s="119">
        <f t="shared" si="4"/>
        <v>399955026</v>
      </c>
      <c r="E47" s="123">
        <f t="shared" si="5"/>
        <v>14295136</v>
      </c>
      <c r="F47" s="124">
        <f t="shared" si="6"/>
        <v>3.7066691068132596E-2</v>
      </c>
    </row>
    <row r="48" spans="1:6" ht="15.75" x14ac:dyDescent="0.25">
      <c r="A48" s="121">
        <v>8</v>
      </c>
      <c r="B48" s="122" t="s">
        <v>120</v>
      </c>
      <c r="C48" s="119">
        <f t="shared" si="4"/>
        <v>16864711</v>
      </c>
      <c r="D48" s="119">
        <f t="shared" si="4"/>
        <v>15164509</v>
      </c>
      <c r="E48" s="123">
        <f t="shared" si="5"/>
        <v>-1700202</v>
      </c>
      <c r="F48" s="124">
        <f t="shared" si="6"/>
        <v>-0.1008141793832103</v>
      </c>
    </row>
    <row r="49" spans="1:6" ht="15.75" x14ac:dyDescent="0.25">
      <c r="A49" s="121">
        <v>9</v>
      </c>
      <c r="B49" s="122" t="s">
        <v>121</v>
      </c>
      <c r="C49" s="119">
        <f t="shared" si="4"/>
        <v>14879620</v>
      </c>
      <c r="D49" s="119">
        <f t="shared" si="4"/>
        <v>14449458</v>
      </c>
      <c r="E49" s="123">
        <f t="shared" si="5"/>
        <v>-430162</v>
      </c>
      <c r="F49" s="124">
        <f t="shared" si="6"/>
        <v>-2.8909474838739162E-2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1264918959</v>
      </c>
      <c r="D52" s="128">
        <f>SUM(D41:D51)</f>
        <v>1287540436</v>
      </c>
      <c r="E52" s="127">
        <f t="shared" si="5"/>
        <v>22621477</v>
      </c>
      <c r="F52" s="129">
        <f t="shared" si="6"/>
        <v>1.7883736218076561E-2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61364040</v>
      </c>
      <c r="D57" s="113">
        <v>58426279</v>
      </c>
      <c r="E57" s="113">
        <f t="shared" ref="E57:E68" si="7">D57-C57</f>
        <v>-2937761</v>
      </c>
      <c r="F57" s="114">
        <f t="shared" ref="F57:F68" si="8">IF(C57=0,0,E57/C57)</f>
        <v>-4.7874308797139171E-2</v>
      </c>
    </row>
    <row r="58" spans="1:6" x14ac:dyDescent="0.2">
      <c r="A58" s="115">
        <v>2</v>
      </c>
      <c r="B58" s="116" t="s">
        <v>114</v>
      </c>
      <c r="C58" s="113">
        <v>14106388</v>
      </c>
      <c r="D58" s="113">
        <v>16827558</v>
      </c>
      <c r="E58" s="113">
        <f t="shared" si="7"/>
        <v>2721170</v>
      </c>
      <c r="F58" s="114">
        <f t="shared" si="8"/>
        <v>0.19290338533152498</v>
      </c>
    </row>
    <row r="59" spans="1:6" x14ac:dyDescent="0.2">
      <c r="A59" s="115">
        <v>3</v>
      </c>
      <c r="B59" s="116" t="s">
        <v>115</v>
      </c>
      <c r="C59" s="113">
        <v>13013835</v>
      </c>
      <c r="D59" s="113">
        <v>12981508</v>
      </c>
      <c r="E59" s="113">
        <f t="shared" si="7"/>
        <v>-32327</v>
      </c>
      <c r="F59" s="114">
        <f t="shared" si="8"/>
        <v>-2.4840487066264479E-3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373735</v>
      </c>
      <c r="D61" s="113">
        <v>410282</v>
      </c>
      <c r="E61" s="113">
        <f t="shared" si="7"/>
        <v>36547</v>
      </c>
      <c r="F61" s="114">
        <f t="shared" si="8"/>
        <v>9.778854000829465E-2</v>
      </c>
    </row>
    <row r="62" spans="1:6" x14ac:dyDescent="0.2">
      <c r="A62" s="115">
        <v>6</v>
      </c>
      <c r="B62" s="116" t="s">
        <v>118</v>
      </c>
      <c r="C62" s="113">
        <v>3757446</v>
      </c>
      <c r="D62" s="113">
        <v>4207790</v>
      </c>
      <c r="E62" s="113">
        <f t="shared" si="7"/>
        <v>450344</v>
      </c>
      <c r="F62" s="114">
        <f t="shared" si="8"/>
        <v>0.11985375172391034</v>
      </c>
    </row>
    <row r="63" spans="1:6" x14ac:dyDescent="0.2">
      <c r="A63" s="115">
        <v>7</v>
      </c>
      <c r="B63" s="116" t="s">
        <v>119</v>
      </c>
      <c r="C63" s="113">
        <v>59073969</v>
      </c>
      <c r="D63" s="113">
        <v>68440272</v>
      </c>
      <c r="E63" s="113">
        <f t="shared" si="7"/>
        <v>9366303</v>
      </c>
      <c r="F63" s="114">
        <f t="shared" si="8"/>
        <v>0.15855211963157578</v>
      </c>
    </row>
    <row r="64" spans="1:6" x14ac:dyDescent="0.2">
      <c r="A64" s="115">
        <v>8</v>
      </c>
      <c r="B64" s="116" t="s">
        <v>120</v>
      </c>
      <c r="C64" s="113">
        <v>3460402</v>
      </c>
      <c r="D64" s="113">
        <v>2784029</v>
      </c>
      <c r="E64" s="113">
        <f t="shared" si="7"/>
        <v>-676373</v>
      </c>
      <c r="F64" s="114">
        <f t="shared" si="8"/>
        <v>-0.19546081640225615</v>
      </c>
    </row>
    <row r="65" spans="1:6" x14ac:dyDescent="0.2">
      <c r="A65" s="115">
        <v>9</v>
      </c>
      <c r="B65" s="116" t="s">
        <v>121</v>
      </c>
      <c r="C65" s="113">
        <v>1360408</v>
      </c>
      <c r="D65" s="113">
        <v>1130602</v>
      </c>
      <c r="E65" s="113">
        <f t="shared" si="7"/>
        <v>-229806</v>
      </c>
      <c r="F65" s="114">
        <f t="shared" si="8"/>
        <v>-0.16892432270318905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156510223</v>
      </c>
      <c r="D68" s="119">
        <f>SUM(D57:D67)</f>
        <v>165208320</v>
      </c>
      <c r="E68" s="119">
        <f t="shared" si="7"/>
        <v>8698097</v>
      </c>
      <c r="F68" s="120">
        <f t="shared" si="8"/>
        <v>5.5575264243282053E-2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46744465</v>
      </c>
      <c r="D70" s="113">
        <v>49365434</v>
      </c>
      <c r="E70" s="113">
        <f t="shared" ref="E70:E81" si="9">D70-C70</f>
        <v>2620969</v>
      </c>
      <c r="F70" s="114">
        <f t="shared" ref="F70:F81" si="10">IF(C70=0,0,E70/C70)</f>
        <v>5.6070146486862135E-2</v>
      </c>
    </row>
    <row r="71" spans="1:6" x14ac:dyDescent="0.2">
      <c r="A71" s="115">
        <v>2</v>
      </c>
      <c r="B71" s="116" t="s">
        <v>114</v>
      </c>
      <c r="C71" s="113">
        <v>10712124</v>
      </c>
      <c r="D71" s="113">
        <v>13307204</v>
      </c>
      <c r="E71" s="113">
        <f t="shared" si="9"/>
        <v>2595080</v>
      </c>
      <c r="F71" s="114">
        <f t="shared" si="10"/>
        <v>0.24225634430669399</v>
      </c>
    </row>
    <row r="72" spans="1:6" x14ac:dyDescent="0.2">
      <c r="A72" s="115">
        <v>3</v>
      </c>
      <c r="B72" s="116" t="s">
        <v>115</v>
      </c>
      <c r="C72" s="113">
        <v>20645716</v>
      </c>
      <c r="D72" s="113">
        <v>21148262</v>
      </c>
      <c r="E72" s="113">
        <f t="shared" si="9"/>
        <v>502546</v>
      </c>
      <c r="F72" s="114">
        <f t="shared" si="10"/>
        <v>2.4341417851529101E-2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599314</v>
      </c>
      <c r="D74" s="113">
        <v>586459</v>
      </c>
      <c r="E74" s="113">
        <f t="shared" si="9"/>
        <v>-12855</v>
      </c>
      <c r="F74" s="114">
        <f t="shared" si="10"/>
        <v>-2.1449523955722711E-2</v>
      </c>
    </row>
    <row r="75" spans="1:6" x14ac:dyDescent="0.2">
      <c r="A75" s="115">
        <v>6</v>
      </c>
      <c r="B75" s="116" t="s">
        <v>118</v>
      </c>
      <c r="C75" s="113">
        <v>10504830</v>
      </c>
      <c r="D75" s="113">
        <v>11296021</v>
      </c>
      <c r="E75" s="113">
        <f t="shared" si="9"/>
        <v>791191</v>
      </c>
      <c r="F75" s="114">
        <f t="shared" si="10"/>
        <v>7.5316878045622829E-2</v>
      </c>
    </row>
    <row r="76" spans="1:6" x14ac:dyDescent="0.2">
      <c r="A76" s="115">
        <v>7</v>
      </c>
      <c r="B76" s="116" t="s">
        <v>119</v>
      </c>
      <c r="C76" s="113">
        <v>108336430</v>
      </c>
      <c r="D76" s="113">
        <v>116060168</v>
      </c>
      <c r="E76" s="113">
        <f t="shared" si="9"/>
        <v>7723738</v>
      </c>
      <c r="F76" s="114">
        <f t="shared" si="10"/>
        <v>7.1294005165206203E-2</v>
      </c>
    </row>
    <row r="77" spans="1:6" x14ac:dyDescent="0.2">
      <c r="A77" s="115">
        <v>8</v>
      </c>
      <c r="B77" s="116" t="s">
        <v>120</v>
      </c>
      <c r="C77" s="113">
        <v>4993897</v>
      </c>
      <c r="D77" s="113">
        <v>3518675</v>
      </c>
      <c r="E77" s="113">
        <f t="shared" si="9"/>
        <v>-1475222</v>
      </c>
      <c r="F77" s="114">
        <f t="shared" si="10"/>
        <v>-0.29540497130797849</v>
      </c>
    </row>
    <row r="78" spans="1:6" x14ac:dyDescent="0.2">
      <c r="A78" s="115">
        <v>9</v>
      </c>
      <c r="B78" s="116" t="s">
        <v>121</v>
      </c>
      <c r="C78" s="113">
        <v>2492116</v>
      </c>
      <c r="D78" s="113">
        <v>1943917</v>
      </c>
      <c r="E78" s="113">
        <f t="shared" si="9"/>
        <v>-548199</v>
      </c>
      <c r="F78" s="114">
        <f t="shared" si="10"/>
        <v>-0.21997330782355234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205028892</v>
      </c>
      <c r="D81" s="119">
        <f>SUM(D70:D80)</f>
        <v>217226140</v>
      </c>
      <c r="E81" s="119">
        <f t="shared" si="9"/>
        <v>12197248</v>
      </c>
      <c r="F81" s="120">
        <f t="shared" si="10"/>
        <v>5.9490386359791675E-2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108108505</v>
      </c>
      <c r="D84" s="119">
        <f t="shared" si="11"/>
        <v>107791713</v>
      </c>
      <c r="E84" s="119">
        <f t="shared" ref="E84:E95" si="12">D84-C84</f>
        <v>-316792</v>
      </c>
      <c r="F84" s="120">
        <f t="shared" ref="F84:F95" si="13">IF(C84=0,0,E84/C84)</f>
        <v>-2.9303152420801677E-3</v>
      </c>
    </row>
    <row r="85" spans="1:6" ht="15.75" x14ac:dyDescent="0.25">
      <c r="A85" s="130">
        <v>2</v>
      </c>
      <c r="B85" s="122" t="s">
        <v>114</v>
      </c>
      <c r="C85" s="119">
        <f t="shared" si="11"/>
        <v>24818512</v>
      </c>
      <c r="D85" s="119">
        <f t="shared" si="11"/>
        <v>30134762</v>
      </c>
      <c r="E85" s="119">
        <f t="shared" si="12"/>
        <v>5316250</v>
      </c>
      <c r="F85" s="120">
        <f t="shared" si="13"/>
        <v>0.21420502566793689</v>
      </c>
    </row>
    <row r="86" spans="1:6" ht="15.75" x14ac:dyDescent="0.25">
      <c r="A86" s="130">
        <v>3</v>
      </c>
      <c r="B86" s="122" t="s">
        <v>115</v>
      </c>
      <c r="C86" s="119">
        <f t="shared" si="11"/>
        <v>33659551</v>
      </c>
      <c r="D86" s="119">
        <f t="shared" si="11"/>
        <v>34129770</v>
      </c>
      <c r="E86" s="119">
        <f t="shared" si="12"/>
        <v>470219</v>
      </c>
      <c r="F86" s="120">
        <f t="shared" si="13"/>
        <v>1.3969853608564179E-2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973049</v>
      </c>
      <c r="D88" s="119">
        <f t="shared" si="11"/>
        <v>996741</v>
      </c>
      <c r="E88" s="119">
        <f t="shared" si="12"/>
        <v>23692</v>
      </c>
      <c r="F88" s="120">
        <f t="shared" si="13"/>
        <v>2.4348208569147083E-2</v>
      </c>
    </row>
    <row r="89" spans="1:6" ht="15.75" x14ac:dyDescent="0.25">
      <c r="A89" s="130">
        <v>6</v>
      </c>
      <c r="B89" s="122" t="s">
        <v>118</v>
      </c>
      <c r="C89" s="119">
        <f t="shared" si="11"/>
        <v>14262276</v>
      </c>
      <c r="D89" s="119">
        <f t="shared" si="11"/>
        <v>15503811</v>
      </c>
      <c r="E89" s="119">
        <f t="shared" si="12"/>
        <v>1241535</v>
      </c>
      <c r="F89" s="120">
        <f t="shared" si="13"/>
        <v>8.7050271639673785E-2</v>
      </c>
    </row>
    <row r="90" spans="1:6" ht="15.75" x14ac:dyDescent="0.25">
      <c r="A90" s="130">
        <v>7</v>
      </c>
      <c r="B90" s="122" t="s">
        <v>119</v>
      </c>
      <c r="C90" s="119">
        <f t="shared" si="11"/>
        <v>167410399</v>
      </c>
      <c r="D90" s="119">
        <f t="shared" si="11"/>
        <v>184500440</v>
      </c>
      <c r="E90" s="119">
        <f t="shared" si="12"/>
        <v>17090041</v>
      </c>
      <c r="F90" s="120">
        <f t="shared" si="13"/>
        <v>0.10208470383013662</v>
      </c>
    </row>
    <row r="91" spans="1:6" ht="15.75" x14ac:dyDescent="0.25">
      <c r="A91" s="130">
        <v>8</v>
      </c>
      <c r="B91" s="122" t="s">
        <v>120</v>
      </c>
      <c r="C91" s="119">
        <f t="shared" si="11"/>
        <v>8454299</v>
      </c>
      <c r="D91" s="119">
        <f t="shared" si="11"/>
        <v>6302704</v>
      </c>
      <c r="E91" s="119">
        <f t="shared" si="12"/>
        <v>-2151595</v>
      </c>
      <c r="F91" s="120">
        <f t="shared" si="13"/>
        <v>-0.25449714991154204</v>
      </c>
    </row>
    <row r="92" spans="1:6" ht="15.75" x14ac:dyDescent="0.25">
      <c r="A92" s="130">
        <v>9</v>
      </c>
      <c r="B92" s="122" t="s">
        <v>121</v>
      </c>
      <c r="C92" s="119">
        <f t="shared" si="11"/>
        <v>3852524</v>
      </c>
      <c r="D92" s="119">
        <f t="shared" si="11"/>
        <v>3074519</v>
      </c>
      <c r="E92" s="119">
        <f t="shared" si="12"/>
        <v>-778005</v>
      </c>
      <c r="F92" s="120">
        <f t="shared" si="13"/>
        <v>-0.20194682758627849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361539115</v>
      </c>
      <c r="D95" s="128">
        <f>SUM(D84:D94)</f>
        <v>382434460</v>
      </c>
      <c r="E95" s="128">
        <f t="shared" si="12"/>
        <v>20895345</v>
      </c>
      <c r="F95" s="129">
        <f t="shared" si="13"/>
        <v>5.7795530644035573E-2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6102</v>
      </c>
      <c r="D100" s="133">
        <v>5605</v>
      </c>
      <c r="E100" s="133">
        <f t="shared" ref="E100:E111" si="14">D100-C100</f>
        <v>-497</v>
      </c>
      <c r="F100" s="114">
        <f t="shared" ref="F100:F111" si="15">IF(C100=0,0,E100/C100)</f>
        <v>-8.1448705342510655E-2</v>
      </c>
    </row>
    <row r="101" spans="1:6" x14ac:dyDescent="0.2">
      <c r="A101" s="115">
        <v>2</v>
      </c>
      <c r="B101" s="116" t="s">
        <v>114</v>
      </c>
      <c r="C101" s="133">
        <v>1402</v>
      </c>
      <c r="D101" s="133">
        <v>1532</v>
      </c>
      <c r="E101" s="133">
        <f t="shared" si="14"/>
        <v>130</v>
      </c>
      <c r="F101" s="114">
        <f t="shared" si="15"/>
        <v>9.2724679029957208E-2</v>
      </c>
    </row>
    <row r="102" spans="1:6" x14ac:dyDescent="0.2">
      <c r="A102" s="115">
        <v>3</v>
      </c>
      <c r="B102" s="116" t="s">
        <v>115</v>
      </c>
      <c r="C102" s="133">
        <v>2251</v>
      </c>
      <c r="D102" s="133">
        <v>2228</v>
      </c>
      <c r="E102" s="133">
        <f t="shared" si="14"/>
        <v>-23</v>
      </c>
      <c r="F102" s="114">
        <f t="shared" si="15"/>
        <v>-1.0217681030653044E-2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62</v>
      </c>
      <c r="D104" s="133">
        <v>65</v>
      </c>
      <c r="E104" s="133">
        <f t="shared" si="14"/>
        <v>3</v>
      </c>
      <c r="F104" s="114">
        <f t="shared" si="15"/>
        <v>4.8387096774193547E-2</v>
      </c>
    </row>
    <row r="105" spans="1:6" x14ac:dyDescent="0.2">
      <c r="A105" s="115">
        <v>6</v>
      </c>
      <c r="B105" s="116" t="s">
        <v>118</v>
      </c>
      <c r="C105" s="133">
        <v>264</v>
      </c>
      <c r="D105" s="133">
        <v>279</v>
      </c>
      <c r="E105" s="133">
        <f t="shared" si="14"/>
        <v>15</v>
      </c>
      <c r="F105" s="114">
        <f t="shared" si="15"/>
        <v>5.6818181818181816E-2</v>
      </c>
    </row>
    <row r="106" spans="1:6" x14ac:dyDescent="0.2">
      <c r="A106" s="115">
        <v>7</v>
      </c>
      <c r="B106" s="116" t="s">
        <v>119</v>
      </c>
      <c r="C106" s="133">
        <v>3384</v>
      </c>
      <c r="D106" s="133">
        <v>3458</v>
      </c>
      <c r="E106" s="133">
        <f t="shared" si="14"/>
        <v>74</v>
      </c>
      <c r="F106" s="114">
        <f t="shared" si="15"/>
        <v>2.1867612293144208E-2</v>
      </c>
    </row>
    <row r="107" spans="1:6" x14ac:dyDescent="0.2">
      <c r="A107" s="115">
        <v>8</v>
      </c>
      <c r="B107" s="116" t="s">
        <v>120</v>
      </c>
      <c r="C107" s="133">
        <v>60</v>
      </c>
      <c r="D107" s="133">
        <v>48</v>
      </c>
      <c r="E107" s="133">
        <f t="shared" si="14"/>
        <v>-12</v>
      </c>
      <c r="F107" s="114">
        <f t="shared" si="15"/>
        <v>-0.2</v>
      </c>
    </row>
    <row r="108" spans="1:6" x14ac:dyDescent="0.2">
      <c r="A108" s="115">
        <v>9</v>
      </c>
      <c r="B108" s="116" t="s">
        <v>121</v>
      </c>
      <c r="C108" s="133">
        <v>92</v>
      </c>
      <c r="D108" s="133">
        <v>123</v>
      </c>
      <c r="E108" s="133">
        <f t="shared" si="14"/>
        <v>31</v>
      </c>
      <c r="F108" s="114">
        <f t="shared" si="15"/>
        <v>0.33695652173913043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13617</v>
      </c>
      <c r="D111" s="134">
        <f>SUM(D100:D110)</f>
        <v>13338</v>
      </c>
      <c r="E111" s="134">
        <f t="shared" si="14"/>
        <v>-279</v>
      </c>
      <c r="F111" s="120">
        <f t="shared" si="15"/>
        <v>-2.0489094514210177E-2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28224</v>
      </c>
      <c r="D113" s="133">
        <v>25284</v>
      </c>
      <c r="E113" s="133">
        <f t="shared" ref="E113:E124" si="16">D113-C113</f>
        <v>-2940</v>
      </c>
      <c r="F113" s="114">
        <f t="shared" ref="F113:F124" si="17">IF(C113=0,0,E113/C113)</f>
        <v>-0.10416666666666667</v>
      </c>
    </row>
    <row r="114" spans="1:6" x14ac:dyDescent="0.2">
      <c r="A114" s="115">
        <v>2</v>
      </c>
      <c r="B114" s="116" t="s">
        <v>114</v>
      </c>
      <c r="C114" s="133">
        <v>6607</v>
      </c>
      <c r="D114" s="133">
        <v>6819</v>
      </c>
      <c r="E114" s="133">
        <f t="shared" si="16"/>
        <v>212</v>
      </c>
      <c r="F114" s="114">
        <f t="shared" si="17"/>
        <v>3.2087180263357044E-2</v>
      </c>
    </row>
    <row r="115" spans="1:6" x14ac:dyDescent="0.2">
      <c r="A115" s="115">
        <v>3</v>
      </c>
      <c r="B115" s="116" t="s">
        <v>115</v>
      </c>
      <c r="C115" s="133">
        <v>10039</v>
      </c>
      <c r="D115" s="133">
        <v>9360</v>
      </c>
      <c r="E115" s="133">
        <f t="shared" si="16"/>
        <v>-679</v>
      </c>
      <c r="F115" s="114">
        <f t="shared" si="17"/>
        <v>-6.7636218746887133E-2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180</v>
      </c>
      <c r="D117" s="133">
        <v>222</v>
      </c>
      <c r="E117" s="133">
        <f t="shared" si="16"/>
        <v>42</v>
      </c>
      <c r="F117" s="114">
        <f t="shared" si="17"/>
        <v>0.23333333333333334</v>
      </c>
    </row>
    <row r="118" spans="1:6" x14ac:dyDescent="0.2">
      <c r="A118" s="115">
        <v>6</v>
      </c>
      <c r="B118" s="116" t="s">
        <v>118</v>
      </c>
      <c r="C118" s="133">
        <v>966</v>
      </c>
      <c r="D118" s="133">
        <v>943</v>
      </c>
      <c r="E118" s="133">
        <f t="shared" si="16"/>
        <v>-23</v>
      </c>
      <c r="F118" s="114">
        <f t="shared" si="17"/>
        <v>-2.3809523809523808E-2</v>
      </c>
    </row>
    <row r="119" spans="1:6" x14ac:dyDescent="0.2">
      <c r="A119" s="115">
        <v>7</v>
      </c>
      <c r="B119" s="116" t="s">
        <v>119</v>
      </c>
      <c r="C119" s="133">
        <v>11616</v>
      </c>
      <c r="D119" s="133">
        <v>11599</v>
      </c>
      <c r="E119" s="133">
        <f t="shared" si="16"/>
        <v>-17</v>
      </c>
      <c r="F119" s="114">
        <f t="shared" si="17"/>
        <v>-1.4634986225895317E-3</v>
      </c>
    </row>
    <row r="120" spans="1:6" x14ac:dyDescent="0.2">
      <c r="A120" s="115">
        <v>8</v>
      </c>
      <c r="B120" s="116" t="s">
        <v>120</v>
      </c>
      <c r="C120" s="133">
        <v>198</v>
      </c>
      <c r="D120" s="133">
        <v>148</v>
      </c>
      <c r="E120" s="133">
        <f t="shared" si="16"/>
        <v>-50</v>
      </c>
      <c r="F120" s="114">
        <f t="shared" si="17"/>
        <v>-0.25252525252525254</v>
      </c>
    </row>
    <row r="121" spans="1:6" x14ac:dyDescent="0.2">
      <c r="A121" s="115">
        <v>9</v>
      </c>
      <c r="B121" s="116" t="s">
        <v>121</v>
      </c>
      <c r="C121" s="133">
        <v>394</v>
      </c>
      <c r="D121" s="133">
        <v>485</v>
      </c>
      <c r="E121" s="133">
        <f t="shared" si="16"/>
        <v>91</v>
      </c>
      <c r="F121" s="114">
        <f t="shared" si="17"/>
        <v>0.23096446700507614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58224</v>
      </c>
      <c r="D124" s="134">
        <f>SUM(D113:D123)</f>
        <v>54860</v>
      </c>
      <c r="E124" s="134">
        <f t="shared" si="16"/>
        <v>-3364</v>
      </c>
      <c r="F124" s="120">
        <f t="shared" si="17"/>
        <v>-5.7776861775212969E-2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222466</v>
      </c>
      <c r="D126" s="133">
        <v>224191</v>
      </c>
      <c r="E126" s="133">
        <f t="shared" ref="E126:E137" si="18">D126-C126</f>
        <v>1725</v>
      </c>
      <c r="F126" s="114">
        <f t="shared" ref="F126:F137" si="19">IF(C126=0,0,E126/C126)</f>
        <v>7.7539938687260076E-3</v>
      </c>
    </row>
    <row r="127" spans="1:6" x14ac:dyDescent="0.2">
      <c r="A127" s="115">
        <v>2</v>
      </c>
      <c r="B127" s="116" t="s">
        <v>114</v>
      </c>
      <c r="C127" s="133">
        <v>52629</v>
      </c>
      <c r="D127" s="133">
        <v>61800</v>
      </c>
      <c r="E127" s="133">
        <f t="shared" si="18"/>
        <v>9171</v>
      </c>
      <c r="F127" s="114">
        <f t="shared" si="19"/>
        <v>0.17425753861939236</v>
      </c>
    </row>
    <row r="128" spans="1:6" x14ac:dyDescent="0.2">
      <c r="A128" s="115">
        <v>3</v>
      </c>
      <c r="B128" s="116" t="s">
        <v>115</v>
      </c>
      <c r="C128" s="133">
        <v>119492</v>
      </c>
      <c r="D128" s="133">
        <v>118190</v>
      </c>
      <c r="E128" s="133">
        <f t="shared" si="18"/>
        <v>-1302</v>
      </c>
      <c r="F128" s="114">
        <f t="shared" si="19"/>
        <v>-1.0896126937368193E-2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2975</v>
      </c>
      <c r="D130" s="133">
        <v>2863</v>
      </c>
      <c r="E130" s="133">
        <f t="shared" si="18"/>
        <v>-112</v>
      </c>
      <c r="F130" s="114">
        <f t="shared" si="19"/>
        <v>-3.7647058823529408E-2</v>
      </c>
    </row>
    <row r="131" spans="1:6" x14ac:dyDescent="0.2">
      <c r="A131" s="115">
        <v>6</v>
      </c>
      <c r="B131" s="116" t="s">
        <v>118</v>
      </c>
      <c r="C131" s="133">
        <v>27821</v>
      </c>
      <c r="D131" s="133">
        <v>27692</v>
      </c>
      <c r="E131" s="133">
        <f t="shared" si="18"/>
        <v>-129</v>
      </c>
      <c r="F131" s="114">
        <f t="shared" si="19"/>
        <v>-4.6367851622874804E-3</v>
      </c>
    </row>
    <row r="132" spans="1:6" x14ac:dyDescent="0.2">
      <c r="A132" s="115">
        <v>7</v>
      </c>
      <c r="B132" s="116" t="s">
        <v>119</v>
      </c>
      <c r="C132" s="133">
        <v>214702</v>
      </c>
      <c r="D132" s="133">
        <v>213774</v>
      </c>
      <c r="E132" s="133">
        <f t="shared" si="18"/>
        <v>-928</v>
      </c>
      <c r="F132" s="114">
        <f t="shared" si="19"/>
        <v>-4.3222699369358459E-3</v>
      </c>
    </row>
    <row r="133" spans="1:6" x14ac:dyDescent="0.2">
      <c r="A133" s="115">
        <v>8</v>
      </c>
      <c r="B133" s="116" t="s">
        <v>120</v>
      </c>
      <c r="C133" s="133">
        <v>15811</v>
      </c>
      <c r="D133" s="133">
        <v>13534</v>
      </c>
      <c r="E133" s="133">
        <f t="shared" si="18"/>
        <v>-2277</v>
      </c>
      <c r="F133" s="114">
        <f t="shared" si="19"/>
        <v>-0.14401366137499211</v>
      </c>
    </row>
    <row r="134" spans="1:6" x14ac:dyDescent="0.2">
      <c r="A134" s="115">
        <v>9</v>
      </c>
      <c r="B134" s="116" t="s">
        <v>121</v>
      </c>
      <c r="C134" s="133">
        <v>7116</v>
      </c>
      <c r="D134" s="133">
        <v>7406</v>
      </c>
      <c r="E134" s="133">
        <f t="shared" si="18"/>
        <v>290</v>
      </c>
      <c r="F134" s="114">
        <f t="shared" si="19"/>
        <v>4.0753232152894885E-2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663012</v>
      </c>
      <c r="D137" s="134">
        <f>SUM(D126:D136)</f>
        <v>669450</v>
      </c>
      <c r="E137" s="134">
        <f t="shared" si="18"/>
        <v>6438</v>
      </c>
      <c r="F137" s="120">
        <f t="shared" si="19"/>
        <v>9.7102314890228237E-3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77834601</v>
      </c>
      <c r="D142" s="113">
        <v>71829246</v>
      </c>
      <c r="E142" s="113">
        <f t="shared" ref="E142:E153" si="20">D142-C142</f>
        <v>-6005355</v>
      </c>
      <c r="F142" s="114">
        <f t="shared" ref="F142:F153" si="21">IF(C142=0,0,E142/C142)</f>
        <v>-7.7155338664869622E-2</v>
      </c>
    </row>
    <row r="143" spans="1:6" x14ac:dyDescent="0.2">
      <c r="A143" s="115">
        <v>2</v>
      </c>
      <c r="B143" s="116" t="s">
        <v>114</v>
      </c>
      <c r="C143" s="113">
        <v>20564756</v>
      </c>
      <c r="D143" s="113">
        <v>26591310</v>
      </c>
      <c r="E143" s="113">
        <f t="shared" si="20"/>
        <v>6026554</v>
      </c>
      <c r="F143" s="114">
        <f t="shared" si="21"/>
        <v>0.29305254095891048</v>
      </c>
    </row>
    <row r="144" spans="1:6" x14ac:dyDescent="0.2">
      <c r="A144" s="115">
        <v>3</v>
      </c>
      <c r="B144" s="116" t="s">
        <v>115</v>
      </c>
      <c r="C144" s="113">
        <v>65510836</v>
      </c>
      <c r="D144" s="113">
        <v>65929094</v>
      </c>
      <c r="E144" s="113">
        <f t="shared" si="20"/>
        <v>418258</v>
      </c>
      <c r="F144" s="114">
        <f t="shared" si="21"/>
        <v>6.3845620898502955E-3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1741044</v>
      </c>
      <c r="D146" s="113">
        <v>1681394</v>
      </c>
      <c r="E146" s="113">
        <f t="shared" si="20"/>
        <v>-59650</v>
      </c>
      <c r="F146" s="114">
        <f t="shared" si="21"/>
        <v>-3.4261052563863983E-2</v>
      </c>
    </row>
    <row r="147" spans="1:6" x14ac:dyDescent="0.2">
      <c r="A147" s="115">
        <v>6</v>
      </c>
      <c r="B147" s="116" t="s">
        <v>118</v>
      </c>
      <c r="C147" s="113">
        <v>8107525</v>
      </c>
      <c r="D147" s="113">
        <v>8905189</v>
      </c>
      <c r="E147" s="113">
        <f t="shared" si="20"/>
        <v>797664</v>
      </c>
      <c r="F147" s="114">
        <f t="shared" si="21"/>
        <v>9.8385635566957855E-2</v>
      </c>
    </row>
    <row r="148" spans="1:6" x14ac:dyDescent="0.2">
      <c r="A148" s="115">
        <v>7</v>
      </c>
      <c r="B148" s="116" t="s">
        <v>119</v>
      </c>
      <c r="C148" s="113">
        <v>92604897</v>
      </c>
      <c r="D148" s="113">
        <v>98411889</v>
      </c>
      <c r="E148" s="113">
        <f t="shared" si="20"/>
        <v>5806992</v>
      </c>
      <c r="F148" s="114">
        <f t="shared" si="21"/>
        <v>6.27071805932682E-2</v>
      </c>
    </row>
    <row r="149" spans="1:6" x14ac:dyDescent="0.2">
      <c r="A149" s="115">
        <v>8</v>
      </c>
      <c r="B149" s="116" t="s">
        <v>120</v>
      </c>
      <c r="C149" s="113">
        <v>3755044</v>
      </c>
      <c r="D149" s="113">
        <v>3405698</v>
      </c>
      <c r="E149" s="113">
        <f t="shared" si="20"/>
        <v>-349346</v>
      </c>
      <c r="F149" s="114">
        <f t="shared" si="21"/>
        <v>-9.3033796674552943E-2</v>
      </c>
    </row>
    <row r="150" spans="1:6" x14ac:dyDescent="0.2">
      <c r="A150" s="115">
        <v>9</v>
      </c>
      <c r="B150" s="116" t="s">
        <v>121</v>
      </c>
      <c r="C150" s="113">
        <v>7679262</v>
      </c>
      <c r="D150" s="113">
        <v>7547217</v>
      </c>
      <c r="E150" s="113">
        <f t="shared" si="20"/>
        <v>-132045</v>
      </c>
      <c r="F150" s="114">
        <f t="shared" si="21"/>
        <v>-1.7195011708156332E-2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277797965</v>
      </c>
      <c r="D153" s="119">
        <f>SUM(D142:D152)</f>
        <v>284301037</v>
      </c>
      <c r="E153" s="119">
        <f t="shared" si="20"/>
        <v>6503072</v>
      </c>
      <c r="F153" s="120">
        <f t="shared" si="21"/>
        <v>2.3409357948320463E-2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9869607</v>
      </c>
      <c r="D155" s="113">
        <v>9940542</v>
      </c>
      <c r="E155" s="113">
        <f t="shared" ref="E155:E166" si="22">D155-C155</f>
        <v>70935</v>
      </c>
      <c r="F155" s="114">
        <f t="shared" ref="F155:F166" si="23">IF(C155=0,0,E155/C155)</f>
        <v>7.187216269097645E-3</v>
      </c>
    </row>
    <row r="156" spans="1:6" x14ac:dyDescent="0.2">
      <c r="A156" s="115">
        <v>2</v>
      </c>
      <c r="B156" s="116" t="s">
        <v>114</v>
      </c>
      <c r="C156" s="113">
        <v>2858725</v>
      </c>
      <c r="D156" s="113">
        <v>3564790</v>
      </c>
      <c r="E156" s="113">
        <f t="shared" si="22"/>
        <v>706065</v>
      </c>
      <c r="F156" s="114">
        <f t="shared" si="23"/>
        <v>0.24698598151273732</v>
      </c>
    </row>
    <row r="157" spans="1:6" x14ac:dyDescent="0.2">
      <c r="A157" s="115">
        <v>3</v>
      </c>
      <c r="B157" s="116" t="s">
        <v>115</v>
      </c>
      <c r="C157" s="113">
        <v>8281194</v>
      </c>
      <c r="D157" s="113">
        <v>8031580</v>
      </c>
      <c r="E157" s="113">
        <f t="shared" si="22"/>
        <v>-249614</v>
      </c>
      <c r="F157" s="114">
        <f t="shared" si="23"/>
        <v>-3.0142271754532015E-2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277421</v>
      </c>
      <c r="D159" s="113">
        <v>271771</v>
      </c>
      <c r="E159" s="113">
        <f t="shared" si="22"/>
        <v>-5650</v>
      </c>
      <c r="F159" s="114">
        <f t="shared" si="23"/>
        <v>-2.0366158293712446E-2</v>
      </c>
    </row>
    <row r="160" spans="1:6" x14ac:dyDescent="0.2">
      <c r="A160" s="115">
        <v>6</v>
      </c>
      <c r="B160" s="116" t="s">
        <v>118</v>
      </c>
      <c r="C160" s="113">
        <v>1770968</v>
      </c>
      <c r="D160" s="113">
        <v>1939519</v>
      </c>
      <c r="E160" s="113">
        <f t="shared" si="22"/>
        <v>168551</v>
      </c>
      <c r="F160" s="114">
        <f t="shared" si="23"/>
        <v>9.5174503435409341E-2</v>
      </c>
    </row>
    <row r="161" spans="1:6" x14ac:dyDescent="0.2">
      <c r="A161" s="115">
        <v>7</v>
      </c>
      <c r="B161" s="116" t="s">
        <v>119</v>
      </c>
      <c r="C161" s="113">
        <v>35326756</v>
      </c>
      <c r="D161" s="113">
        <v>37415577</v>
      </c>
      <c r="E161" s="113">
        <f t="shared" si="22"/>
        <v>2088821</v>
      </c>
      <c r="F161" s="114">
        <f t="shared" si="23"/>
        <v>5.9128582313077375E-2</v>
      </c>
    </row>
    <row r="162" spans="1:6" x14ac:dyDescent="0.2">
      <c r="A162" s="115">
        <v>8</v>
      </c>
      <c r="B162" s="116" t="s">
        <v>120</v>
      </c>
      <c r="C162" s="113">
        <v>1897872</v>
      </c>
      <c r="D162" s="113">
        <v>1121360</v>
      </c>
      <c r="E162" s="113">
        <f t="shared" si="22"/>
        <v>-776512</v>
      </c>
      <c r="F162" s="114">
        <f t="shared" si="23"/>
        <v>-0.40914877294148394</v>
      </c>
    </row>
    <row r="163" spans="1:6" x14ac:dyDescent="0.2">
      <c r="A163" s="115">
        <v>9</v>
      </c>
      <c r="B163" s="116" t="s">
        <v>121</v>
      </c>
      <c r="C163" s="113">
        <v>222043</v>
      </c>
      <c r="D163" s="113">
        <v>189357</v>
      </c>
      <c r="E163" s="113">
        <f t="shared" si="22"/>
        <v>-32686</v>
      </c>
      <c r="F163" s="114">
        <f t="shared" si="23"/>
        <v>-0.14720572141432064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60504586</v>
      </c>
      <c r="D166" s="119">
        <f>SUM(D155:D165)</f>
        <v>62474496</v>
      </c>
      <c r="E166" s="119">
        <f t="shared" si="22"/>
        <v>1969910</v>
      </c>
      <c r="F166" s="120">
        <f t="shared" si="23"/>
        <v>3.255802791543768E-2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15635</v>
      </c>
      <c r="D168" s="133">
        <v>15233</v>
      </c>
      <c r="E168" s="133">
        <f t="shared" ref="E168:E179" si="24">D168-C168</f>
        <v>-402</v>
      </c>
      <c r="F168" s="114">
        <f t="shared" ref="F168:F179" si="25">IF(C168=0,0,E168/C168)</f>
        <v>-2.5711544611448672E-2</v>
      </c>
    </row>
    <row r="169" spans="1:6" x14ac:dyDescent="0.2">
      <c r="A169" s="115">
        <v>2</v>
      </c>
      <c r="B169" s="116" t="s">
        <v>114</v>
      </c>
      <c r="C169" s="133">
        <v>4346</v>
      </c>
      <c r="D169" s="133">
        <v>5030</v>
      </c>
      <c r="E169" s="133">
        <f t="shared" si="24"/>
        <v>684</v>
      </c>
      <c r="F169" s="114">
        <f t="shared" si="25"/>
        <v>0.15738610216290841</v>
      </c>
    </row>
    <row r="170" spans="1:6" x14ac:dyDescent="0.2">
      <c r="A170" s="115">
        <v>3</v>
      </c>
      <c r="B170" s="116" t="s">
        <v>115</v>
      </c>
      <c r="C170" s="133">
        <v>23044</v>
      </c>
      <c r="D170" s="133">
        <v>21656</v>
      </c>
      <c r="E170" s="133">
        <f t="shared" si="24"/>
        <v>-1388</v>
      </c>
      <c r="F170" s="114">
        <f t="shared" si="25"/>
        <v>-6.0232598507203611E-2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675</v>
      </c>
      <c r="D172" s="133">
        <v>604</v>
      </c>
      <c r="E172" s="133">
        <f t="shared" si="24"/>
        <v>-71</v>
      </c>
      <c r="F172" s="114">
        <f t="shared" si="25"/>
        <v>-0.10518518518518519</v>
      </c>
    </row>
    <row r="173" spans="1:6" x14ac:dyDescent="0.2">
      <c r="A173" s="115">
        <v>6</v>
      </c>
      <c r="B173" s="116" t="s">
        <v>118</v>
      </c>
      <c r="C173" s="133">
        <v>2439</v>
      </c>
      <c r="D173" s="133">
        <v>2358</v>
      </c>
      <c r="E173" s="133">
        <f t="shared" si="24"/>
        <v>-81</v>
      </c>
      <c r="F173" s="114">
        <f t="shared" si="25"/>
        <v>-3.3210332103321034E-2</v>
      </c>
    </row>
    <row r="174" spans="1:6" x14ac:dyDescent="0.2">
      <c r="A174" s="115">
        <v>7</v>
      </c>
      <c r="B174" s="116" t="s">
        <v>119</v>
      </c>
      <c r="C174" s="133">
        <v>28630</v>
      </c>
      <c r="D174" s="133">
        <v>27945</v>
      </c>
      <c r="E174" s="133">
        <f t="shared" si="24"/>
        <v>-685</v>
      </c>
      <c r="F174" s="114">
        <f t="shared" si="25"/>
        <v>-2.3925951798812434E-2</v>
      </c>
    </row>
    <row r="175" spans="1:6" x14ac:dyDescent="0.2">
      <c r="A175" s="115">
        <v>8</v>
      </c>
      <c r="B175" s="116" t="s">
        <v>120</v>
      </c>
      <c r="C175" s="133">
        <v>1897</v>
      </c>
      <c r="D175" s="133">
        <v>1634</v>
      </c>
      <c r="E175" s="133">
        <f t="shared" si="24"/>
        <v>-263</v>
      </c>
      <c r="F175" s="114">
        <f t="shared" si="25"/>
        <v>-0.13863995782814972</v>
      </c>
    </row>
    <row r="176" spans="1:6" x14ac:dyDescent="0.2">
      <c r="A176" s="115">
        <v>9</v>
      </c>
      <c r="B176" s="116" t="s">
        <v>121</v>
      </c>
      <c r="C176" s="133">
        <v>2897</v>
      </c>
      <c r="D176" s="133">
        <v>2796</v>
      </c>
      <c r="E176" s="133">
        <f t="shared" si="24"/>
        <v>-101</v>
      </c>
      <c r="F176" s="114">
        <f t="shared" si="25"/>
        <v>-3.4863652053848809E-2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79563</v>
      </c>
      <c r="D179" s="134">
        <f>SUM(D168:D178)</f>
        <v>77256</v>
      </c>
      <c r="E179" s="134">
        <f t="shared" si="24"/>
        <v>-2307</v>
      </c>
      <c r="F179" s="120">
        <f t="shared" si="25"/>
        <v>-2.8995890049394818E-2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75" bottom="0.75" header="0.3" footer="0.3"/>
  <pageSetup scale="75" fitToHeight="0" orientation="portrait" r:id="rId1"/>
  <headerFooter>
    <oddHeader>&amp;LOFFICE OF HEALTH CARE ACCESS&amp;CTWELVE MONTHS ACTUAL FILING&amp;RMIDDLESEX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48109273</v>
      </c>
      <c r="D15" s="157">
        <v>47399411</v>
      </c>
      <c r="E15" s="157">
        <f>+D15-C15</f>
        <v>-709862</v>
      </c>
      <c r="F15" s="161">
        <f>IF(C15=0,0,E15/C15)</f>
        <v>-1.475520114386264E-2</v>
      </c>
    </row>
    <row r="16" spans="1:6" ht="15" customHeight="1" x14ac:dyDescent="0.2">
      <c r="A16" s="147">
        <v>2</v>
      </c>
      <c r="B16" s="160" t="s">
        <v>157</v>
      </c>
      <c r="C16" s="157">
        <v>29654826</v>
      </c>
      <c r="D16" s="157">
        <v>30400071</v>
      </c>
      <c r="E16" s="157">
        <f>+D16-C16</f>
        <v>745245</v>
      </c>
      <c r="F16" s="161">
        <f>IF(C16=0,0,E16/C16)</f>
        <v>2.513064821219993E-2</v>
      </c>
    </row>
    <row r="17" spans="1:6" ht="15" customHeight="1" x14ac:dyDescent="0.2">
      <c r="A17" s="147">
        <v>3</v>
      </c>
      <c r="B17" s="160" t="s">
        <v>158</v>
      </c>
      <c r="C17" s="157">
        <v>90314138</v>
      </c>
      <c r="D17" s="157">
        <v>96463710</v>
      </c>
      <c r="E17" s="157">
        <f>+D17-C17</f>
        <v>6149572</v>
      </c>
      <c r="F17" s="161">
        <f>IF(C17=0,0,E17/C17)</f>
        <v>6.8090911746287161E-2</v>
      </c>
    </row>
    <row r="18" spans="1:6" ht="15.75" customHeight="1" x14ac:dyDescent="0.25">
      <c r="A18" s="147"/>
      <c r="B18" s="162" t="s">
        <v>159</v>
      </c>
      <c r="C18" s="158">
        <f>SUM(C15:C17)</f>
        <v>168078237</v>
      </c>
      <c r="D18" s="158">
        <f>SUM(D15:D17)</f>
        <v>174263192</v>
      </c>
      <c r="E18" s="158">
        <f>+D18-C18</f>
        <v>6184955</v>
      </c>
      <c r="F18" s="159">
        <f>IF(C18=0,0,E18/C18)</f>
        <v>3.6798071602809589E-2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12181092</v>
      </c>
      <c r="D21" s="157">
        <v>9690325</v>
      </c>
      <c r="E21" s="157">
        <f>+D21-C21</f>
        <v>-2490767</v>
      </c>
      <c r="F21" s="161">
        <f>IF(C21=0,0,E21/C21)</f>
        <v>-0.20447813709969517</v>
      </c>
    </row>
    <row r="22" spans="1:6" ht="15" customHeight="1" x14ac:dyDescent="0.2">
      <c r="A22" s="147">
        <v>2</v>
      </c>
      <c r="B22" s="160" t="s">
        <v>162</v>
      </c>
      <c r="C22" s="157">
        <v>7508493</v>
      </c>
      <c r="D22" s="157">
        <v>6214984</v>
      </c>
      <c r="E22" s="157">
        <f>+D22-C22</f>
        <v>-1293509</v>
      </c>
      <c r="F22" s="161">
        <f>IF(C22=0,0,E22/C22)</f>
        <v>-0.17227278496497234</v>
      </c>
    </row>
    <row r="23" spans="1:6" ht="15" customHeight="1" x14ac:dyDescent="0.2">
      <c r="A23" s="147">
        <v>3</v>
      </c>
      <c r="B23" s="160" t="s">
        <v>163</v>
      </c>
      <c r="C23" s="157">
        <v>22867210</v>
      </c>
      <c r="D23" s="157">
        <v>19750837</v>
      </c>
      <c r="E23" s="157">
        <f>+D23-C23</f>
        <v>-3116373</v>
      </c>
      <c r="F23" s="161">
        <f>IF(C23=0,0,E23/C23)</f>
        <v>-0.13628129535697622</v>
      </c>
    </row>
    <row r="24" spans="1:6" ht="15.75" customHeight="1" x14ac:dyDescent="0.25">
      <c r="A24" s="147"/>
      <c r="B24" s="162" t="s">
        <v>164</v>
      </c>
      <c r="C24" s="158">
        <f>SUM(C21:C23)</f>
        <v>42556795</v>
      </c>
      <c r="D24" s="158">
        <f>SUM(D21:D23)</f>
        <v>35656146</v>
      </c>
      <c r="E24" s="158">
        <f>+D24-C24</f>
        <v>-6900649</v>
      </c>
      <c r="F24" s="159">
        <f>IF(C24=0,0,E24/C24)</f>
        <v>-0.1621515201038988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532781</v>
      </c>
      <c r="D27" s="157">
        <v>266261</v>
      </c>
      <c r="E27" s="157">
        <f>+D27-C27</f>
        <v>-266520</v>
      </c>
      <c r="F27" s="161">
        <f>IF(C27=0,0,E27/C27)</f>
        <v>-0.50024306422338638</v>
      </c>
    </row>
    <row r="28" spans="1:6" ht="15" customHeight="1" x14ac:dyDescent="0.2">
      <c r="A28" s="147">
        <v>2</v>
      </c>
      <c r="B28" s="160" t="s">
        <v>167</v>
      </c>
      <c r="C28" s="157">
        <v>4053027</v>
      </c>
      <c r="D28" s="157">
        <v>3942380</v>
      </c>
      <c r="E28" s="157">
        <f>+D28-C28</f>
        <v>-110647</v>
      </c>
      <c r="F28" s="161">
        <f>IF(C28=0,0,E28/C28)</f>
        <v>-2.7299842808843858E-2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4585808</v>
      </c>
      <c r="D30" s="158">
        <f>SUM(D27:D29)</f>
        <v>4208641</v>
      </c>
      <c r="E30" s="158">
        <f>+D30-C30</f>
        <v>-377167</v>
      </c>
      <c r="F30" s="159">
        <f>IF(C30=0,0,E30/C30)</f>
        <v>-8.2246574649440185E-2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30045580</v>
      </c>
      <c r="D33" s="157">
        <v>32827872</v>
      </c>
      <c r="E33" s="157">
        <f>+D33-C33</f>
        <v>2782292</v>
      </c>
      <c r="F33" s="161">
        <f>IF(C33=0,0,E33/C33)</f>
        <v>9.2602372794933566E-2</v>
      </c>
    </row>
    <row r="34" spans="1:6" ht="15" customHeight="1" x14ac:dyDescent="0.2">
      <c r="A34" s="147">
        <v>2</v>
      </c>
      <c r="B34" s="160" t="s">
        <v>173</v>
      </c>
      <c r="C34" s="157">
        <v>11024998</v>
      </c>
      <c r="D34" s="157">
        <v>11946679</v>
      </c>
      <c r="E34" s="157">
        <f>+D34-C34</f>
        <v>921681</v>
      </c>
      <c r="F34" s="161">
        <f>IF(C34=0,0,E34/C34)</f>
        <v>8.3599198838856928E-2</v>
      </c>
    </row>
    <row r="35" spans="1:6" ht="15.75" customHeight="1" x14ac:dyDescent="0.25">
      <c r="A35" s="147"/>
      <c r="B35" s="162" t="s">
        <v>174</v>
      </c>
      <c r="C35" s="158">
        <f>SUM(C33:C34)</f>
        <v>41070578</v>
      </c>
      <c r="D35" s="158">
        <f>SUM(D33:D34)</f>
        <v>44774551</v>
      </c>
      <c r="E35" s="158">
        <f>+D35-C35</f>
        <v>3703973</v>
      </c>
      <c r="F35" s="159">
        <f>IF(C35=0,0,E35/C35)</f>
        <v>9.0185558138480545E-2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10729732</v>
      </c>
      <c r="D38" s="157">
        <v>10880670</v>
      </c>
      <c r="E38" s="157">
        <f>+D38-C38</f>
        <v>150938</v>
      </c>
      <c r="F38" s="161">
        <f>IF(C38=0,0,E38/C38)</f>
        <v>1.4067266544961234E-2</v>
      </c>
    </row>
    <row r="39" spans="1:6" ht="15" customHeight="1" x14ac:dyDescent="0.2">
      <c r="A39" s="147">
        <v>2</v>
      </c>
      <c r="B39" s="160" t="s">
        <v>178</v>
      </c>
      <c r="C39" s="157">
        <v>12583510</v>
      </c>
      <c r="D39" s="157">
        <v>13161197</v>
      </c>
      <c r="E39" s="157">
        <f>+D39-C39</f>
        <v>577687</v>
      </c>
      <c r="F39" s="161">
        <f>IF(C39=0,0,E39/C39)</f>
        <v>4.5908256122496827E-2</v>
      </c>
    </row>
    <row r="40" spans="1:6" ht="15" customHeight="1" x14ac:dyDescent="0.2">
      <c r="A40" s="147">
        <v>3</v>
      </c>
      <c r="B40" s="160" t="s">
        <v>179</v>
      </c>
      <c r="C40" s="157">
        <v>237913</v>
      </c>
      <c r="D40" s="157">
        <v>5728</v>
      </c>
      <c r="E40" s="157">
        <f>+D40-C40</f>
        <v>-232185</v>
      </c>
      <c r="F40" s="161">
        <f>IF(C40=0,0,E40/C40)</f>
        <v>-0.97592397220832827</v>
      </c>
    </row>
    <row r="41" spans="1:6" ht="15.75" customHeight="1" x14ac:dyDescent="0.25">
      <c r="A41" s="147"/>
      <c r="B41" s="162" t="s">
        <v>180</v>
      </c>
      <c r="C41" s="158">
        <f>SUM(C38:C40)</f>
        <v>23551155</v>
      </c>
      <c r="D41" s="158">
        <f>SUM(D38:D40)</f>
        <v>24047595</v>
      </c>
      <c r="E41" s="158">
        <f>+D41-C41</f>
        <v>496440</v>
      </c>
      <c r="F41" s="159">
        <f>IF(C41=0,0,E41/C41)</f>
        <v>2.1079220955405372E-2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2603790</v>
      </c>
      <c r="D47" s="157">
        <v>2323206</v>
      </c>
      <c r="E47" s="157">
        <f>+D47-C47</f>
        <v>-280584</v>
      </c>
      <c r="F47" s="161">
        <f>IF(C47=0,0,E47/C47)</f>
        <v>-0.10775984238360237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5883856</v>
      </c>
      <c r="D50" s="157">
        <v>2599573</v>
      </c>
      <c r="E50" s="157">
        <f>+D50-C50</f>
        <v>-3284283</v>
      </c>
      <c r="F50" s="161">
        <f>IF(C50=0,0,E50/C50)</f>
        <v>-0.55818548244552557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370385</v>
      </c>
      <c r="D53" s="157">
        <v>275277</v>
      </c>
      <c r="E53" s="157">
        <f t="shared" ref="E53:E59" si="0">+D53-C53</f>
        <v>-95108</v>
      </c>
      <c r="F53" s="161">
        <f t="shared" ref="F53:F59" si="1">IF(C53=0,0,E53/C53)</f>
        <v>-0.25678145713244327</v>
      </c>
    </row>
    <row r="54" spans="1:6" ht="15" customHeight="1" x14ac:dyDescent="0.2">
      <c r="A54" s="147">
        <v>2</v>
      </c>
      <c r="B54" s="160" t="s">
        <v>189</v>
      </c>
      <c r="C54" s="157">
        <v>1074262</v>
      </c>
      <c r="D54" s="157">
        <v>959642</v>
      </c>
      <c r="E54" s="157">
        <f t="shared" si="0"/>
        <v>-114620</v>
      </c>
      <c r="F54" s="161">
        <f t="shared" si="1"/>
        <v>-0.10669650420474708</v>
      </c>
    </row>
    <row r="55" spans="1:6" ht="15" customHeight="1" x14ac:dyDescent="0.2">
      <c r="A55" s="147">
        <v>3</v>
      </c>
      <c r="B55" s="160" t="s">
        <v>190</v>
      </c>
      <c r="C55" s="157">
        <v>65348</v>
      </c>
      <c r="D55" s="157">
        <v>37292</v>
      </c>
      <c r="E55" s="157">
        <f t="shared" si="0"/>
        <v>-28056</v>
      </c>
      <c r="F55" s="161">
        <f t="shared" si="1"/>
        <v>-0.42933219073269269</v>
      </c>
    </row>
    <row r="56" spans="1:6" ht="15" customHeight="1" x14ac:dyDescent="0.2">
      <c r="A56" s="147">
        <v>4</v>
      </c>
      <c r="B56" s="160" t="s">
        <v>191</v>
      </c>
      <c r="C56" s="157">
        <v>2925231</v>
      </c>
      <c r="D56" s="157">
        <v>3045325</v>
      </c>
      <c r="E56" s="157">
        <f t="shared" si="0"/>
        <v>120094</v>
      </c>
      <c r="F56" s="161">
        <f t="shared" si="1"/>
        <v>4.1054535522151929E-2</v>
      </c>
    </row>
    <row r="57" spans="1:6" ht="15" customHeight="1" x14ac:dyDescent="0.2">
      <c r="A57" s="147">
        <v>5</v>
      </c>
      <c r="B57" s="160" t="s">
        <v>192</v>
      </c>
      <c r="C57" s="157">
        <v>1637498</v>
      </c>
      <c r="D57" s="157">
        <v>1574544</v>
      </c>
      <c r="E57" s="157">
        <f t="shared" si="0"/>
        <v>-62954</v>
      </c>
      <c r="F57" s="161">
        <f t="shared" si="1"/>
        <v>-3.8445237795710283E-2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6072724</v>
      </c>
      <c r="D59" s="158">
        <f>SUM(D53:D58)</f>
        <v>5892080</v>
      </c>
      <c r="E59" s="158">
        <f t="shared" si="0"/>
        <v>-180644</v>
      </c>
      <c r="F59" s="159">
        <f t="shared" si="1"/>
        <v>-2.9746782498266018E-2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176843</v>
      </c>
      <c r="D62" s="157">
        <v>191009</v>
      </c>
      <c r="E62" s="157">
        <f t="shared" ref="E62:E90" si="2">+D62-C62</f>
        <v>14166</v>
      </c>
      <c r="F62" s="161">
        <f t="shared" ref="F62:F90" si="3">IF(C62=0,0,E62/C62)</f>
        <v>8.0104951849945996E-2</v>
      </c>
    </row>
    <row r="63" spans="1:6" ht="15" customHeight="1" x14ac:dyDescent="0.2">
      <c r="A63" s="147">
        <v>2</v>
      </c>
      <c r="B63" s="160" t="s">
        <v>198</v>
      </c>
      <c r="C63" s="157">
        <v>651119</v>
      </c>
      <c r="D63" s="157">
        <v>560109</v>
      </c>
      <c r="E63" s="157">
        <f t="shared" si="2"/>
        <v>-91010</v>
      </c>
      <c r="F63" s="161">
        <f t="shared" si="3"/>
        <v>-0.13977475699526506</v>
      </c>
    </row>
    <row r="64" spans="1:6" ht="15" customHeight="1" x14ac:dyDescent="0.2">
      <c r="A64" s="147">
        <v>3</v>
      </c>
      <c r="B64" s="160" t="s">
        <v>199</v>
      </c>
      <c r="C64" s="157">
        <v>1493636</v>
      </c>
      <c r="D64" s="157">
        <v>911364</v>
      </c>
      <c r="E64" s="157">
        <f t="shared" si="2"/>
        <v>-582272</v>
      </c>
      <c r="F64" s="161">
        <f t="shared" si="3"/>
        <v>-0.38983527445776617</v>
      </c>
    </row>
    <row r="65" spans="1:6" ht="15" customHeight="1" x14ac:dyDescent="0.2">
      <c r="A65" s="147">
        <v>4</v>
      </c>
      <c r="B65" s="160" t="s">
        <v>200</v>
      </c>
      <c r="C65" s="157">
        <v>868780</v>
      </c>
      <c r="D65" s="157">
        <v>986263</v>
      </c>
      <c r="E65" s="157">
        <f t="shared" si="2"/>
        <v>117483</v>
      </c>
      <c r="F65" s="161">
        <f t="shared" si="3"/>
        <v>0.13522756048711987</v>
      </c>
    </row>
    <row r="66" spans="1:6" ht="15" customHeight="1" x14ac:dyDescent="0.2">
      <c r="A66" s="147">
        <v>5</v>
      </c>
      <c r="B66" s="160" t="s">
        <v>201</v>
      </c>
      <c r="C66" s="157">
        <v>1968551</v>
      </c>
      <c r="D66" s="157">
        <v>1755557</v>
      </c>
      <c r="E66" s="157">
        <f t="shared" si="2"/>
        <v>-212994</v>
      </c>
      <c r="F66" s="161">
        <f t="shared" si="3"/>
        <v>-0.10819836519348495</v>
      </c>
    </row>
    <row r="67" spans="1:6" ht="15" customHeight="1" x14ac:dyDescent="0.2">
      <c r="A67" s="147">
        <v>6</v>
      </c>
      <c r="B67" s="160" t="s">
        <v>202</v>
      </c>
      <c r="C67" s="157">
        <v>4321619</v>
      </c>
      <c r="D67" s="157">
        <v>4304908</v>
      </c>
      <c r="E67" s="157">
        <f t="shared" si="2"/>
        <v>-16711</v>
      </c>
      <c r="F67" s="161">
        <f t="shared" si="3"/>
        <v>-3.8668378679379187E-3</v>
      </c>
    </row>
    <row r="68" spans="1:6" ht="15" customHeight="1" x14ac:dyDescent="0.2">
      <c r="A68" s="147">
        <v>7</v>
      </c>
      <c r="B68" s="160" t="s">
        <v>203</v>
      </c>
      <c r="C68" s="157">
        <v>1940494</v>
      </c>
      <c r="D68" s="157">
        <v>1720643</v>
      </c>
      <c r="E68" s="157">
        <f t="shared" si="2"/>
        <v>-219851</v>
      </c>
      <c r="F68" s="161">
        <f t="shared" si="3"/>
        <v>-0.11329640802805883</v>
      </c>
    </row>
    <row r="69" spans="1:6" ht="15" customHeight="1" x14ac:dyDescent="0.2">
      <c r="A69" s="147">
        <v>8</v>
      </c>
      <c r="B69" s="160" t="s">
        <v>204</v>
      </c>
      <c r="C69" s="157">
        <v>583596</v>
      </c>
      <c r="D69" s="157">
        <v>713190</v>
      </c>
      <c r="E69" s="157">
        <f t="shared" si="2"/>
        <v>129594</v>
      </c>
      <c r="F69" s="161">
        <f t="shared" si="3"/>
        <v>0.22206115189274772</v>
      </c>
    </row>
    <row r="70" spans="1:6" ht="15" customHeight="1" x14ac:dyDescent="0.2">
      <c r="A70" s="147">
        <v>9</v>
      </c>
      <c r="B70" s="160" t="s">
        <v>205</v>
      </c>
      <c r="C70" s="157">
        <v>1277886</v>
      </c>
      <c r="D70" s="157">
        <v>1032291</v>
      </c>
      <c r="E70" s="157">
        <f t="shared" si="2"/>
        <v>-245595</v>
      </c>
      <c r="F70" s="161">
        <f t="shared" si="3"/>
        <v>-0.19218850507791774</v>
      </c>
    </row>
    <row r="71" spans="1:6" ht="15" customHeight="1" x14ac:dyDescent="0.2">
      <c r="A71" s="147">
        <v>10</v>
      </c>
      <c r="B71" s="160" t="s">
        <v>206</v>
      </c>
      <c r="C71" s="157">
        <v>159203</v>
      </c>
      <c r="D71" s="157">
        <v>28565</v>
      </c>
      <c r="E71" s="157">
        <f t="shared" si="2"/>
        <v>-130638</v>
      </c>
      <c r="F71" s="161">
        <f t="shared" si="3"/>
        <v>-0.820574989164777</v>
      </c>
    </row>
    <row r="72" spans="1:6" ht="15" customHeight="1" x14ac:dyDescent="0.2">
      <c r="A72" s="147">
        <v>11</v>
      </c>
      <c r="B72" s="160" t="s">
        <v>207</v>
      </c>
      <c r="C72" s="157">
        <v>114321</v>
      </c>
      <c r="D72" s="157">
        <v>170119</v>
      </c>
      <c r="E72" s="157">
        <f t="shared" si="2"/>
        <v>55798</v>
      </c>
      <c r="F72" s="161">
        <f t="shared" si="3"/>
        <v>0.48808180474278567</v>
      </c>
    </row>
    <row r="73" spans="1:6" ht="15" customHeight="1" x14ac:dyDescent="0.2">
      <c r="A73" s="147">
        <v>12</v>
      </c>
      <c r="B73" s="160" t="s">
        <v>208</v>
      </c>
      <c r="C73" s="157">
        <v>1942979</v>
      </c>
      <c r="D73" s="157">
        <v>1523269</v>
      </c>
      <c r="E73" s="157">
        <f t="shared" si="2"/>
        <v>-419710</v>
      </c>
      <c r="F73" s="161">
        <f t="shared" si="3"/>
        <v>-0.2160136573786953</v>
      </c>
    </row>
    <row r="74" spans="1:6" ht="15" customHeight="1" x14ac:dyDescent="0.2">
      <c r="A74" s="147">
        <v>13</v>
      </c>
      <c r="B74" s="160" t="s">
        <v>209</v>
      </c>
      <c r="C74" s="157">
        <v>543369</v>
      </c>
      <c r="D74" s="157">
        <v>484893</v>
      </c>
      <c r="E74" s="157">
        <f t="shared" si="2"/>
        <v>-58476</v>
      </c>
      <c r="F74" s="161">
        <f t="shared" si="3"/>
        <v>-0.10761747541725789</v>
      </c>
    </row>
    <row r="75" spans="1:6" ht="15" customHeight="1" x14ac:dyDescent="0.2">
      <c r="A75" s="147">
        <v>14</v>
      </c>
      <c r="B75" s="160" t="s">
        <v>210</v>
      </c>
      <c r="C75" s="157">
        <v>290897</v>
      </c>
      <c r="D75" s="157">
        <v>245959</v>
      </c>
      <c r="E75" s="157">
        <f t="shared" si="2"/>
        <v>-44938</v>
      </c>
      <c r="F75" s="161">
        <f t="shared" si="3"/>
        <v>-0.15448079560806746</v>
      </c>
    </row>
    <row r="76" spans="1:6" ht="15" customHeight="1" x14ac:dyDescent="0.2">
      <c r="A76" s="147">
        <v>15</v>
      </c>
      <c r="B76" s="160" t="s">
        <v>211</v>
      </c>
      <c r="C76" s="157">
        <v>355568</v>
      </c>
      <c r="D76" s="157">
        <v>195907</v>
      </c>
      <c r="E76" s="157">
        <f t="shared" si="2"/>
        <v>-159661</v>
      </c>
      <c r="F76" s="161">
        <f t="shared" si="3"/>
        <v>-0.44903084642037527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4131826</v>
      </c>
      <c r="D78" s="157">
        <v>4165922</v>
      </c>
      <c r="E78" s="157">
        <f t="shared" si="2"/>
        <v>34096</v>
      </c>
      <c r="F78" s="161">
        <f t="shared" si="3"/>
        <v>8.2520415912964388E-3</v>
      </c>
    </row>
    <row r="79" spans="1:6" ht="15" customHeight="1" x14ac:dyDescent="0.2">
      <c r="A79" s="147">
        <v>18</v>
      </c>
      <c r="B79" s="160" t="s">
        <v>214</v>
      </c>
      <c r="C79" s="157">
        <v>313698</v>
      </c>
      <c r="D79" s="157">
        <v>192585</v>
      </c>
      <c r="E79" s="157">
        <f t="shared" si="2"/>
        <v>-121113</v>
      </c>
      <c r="F79" s="161">
        <f t="shared" si="3"/>
        <v>-0.38608151789300538</v>
      </c>
    </row>
    <row r="80" spans="1:6" ht="15" customHeight="1" x14ac:dyDescent="0.2">
      <c r="A80" s="147">
        <v>19</v>
      </c>
      <c r="B80" s="160" t="s">
        <v>215</v>
      </c>
      <c r="C80" s="157">
        <v>1636801</v>
      </c>
      <c r="D80" s="157">
        <v>1640938</v>
      </c>
      <c r="E80" s="157">
        <f t="shared" si="2"/>
        <v>4137</v>
      </c>
      <c r="F80" s="161">
        <f t="shared" si="3"/>
        <v>2.5274911244555693E-3</v>
      </c>
    </row>
    <row r="81" spans="1:6" ht="15" customHeight="1" x14ac:dyDescent="0.2">
      <c r="A81" s="147">
        <v>20</v>
      </c>
      <c r="B81" s="160" t="s">
        <v>216</v>
      </c>
      <c r="C81" s="157">
        <v>1953250</v>
      </c>
      <c r="D81" s="157">
        <v>1569601</v>
      </c>
      <c r="E81" s="157">
        <f t="shared" si="2"/>
        <v>-383649</v>
      </c>
      <c r="F81" s="161">
        <f t="shared" si="3"/>
        <v>-0.19641571739408678</v>
      </c>
    </row>
    <row r="82" spans="1:6" ht="15" customHeight="1" x14ac:dyDescent="0.2">
      <c r="A82" s="147">
        <v>21</v>
      </c>
      <c r="B82" s="160" t="s">
        <v>217</v>
      </c>
      <c r="C82" s="157">
        <v>687308</v>
      </c>
      <c r="D82" s="157">
        <v>743942</v>
      </c>
      <c r="E82" s="157">
        <f t="shared" si="2"/>
        <v>56634</v>
      </c>
      <c r="F82" s="161">
        <f t="shared" si="3"/>
        <v>8.2399739272640507E-2</v>
      </c>
    </row>
    <row r="83" spans="1:6" ht="15" customHeight="1" x14ac:dyDescent="0.2">
      <c r="A83" s="147">
        <v>22</v>
      </c>
      <c r="B83" s="160" t="s">
        <v>218</v>
      </c>
      <c r="C83" s="157">
        <v>1179513</v>
      </c>
      <c r="D83" s="157">
        <v>921141</v>
      </c>
      <c r="E83" s="157">
        <f t="shared" si="2"/>
        <v>-258372</v>
      </c>
      <c r="F83" s="161">
        <f t="shared" si="3"/>
        <v>-0.21904972645490131</v>
      </c>
    </row>
    <row r="84" spans="1:6" ht="15" customHeight="1" x14ac:dyDescent="0.2">
      <c r="A84" s="147">
        <v>23</v>
      </c>
      <c r="B84" s="160" t="s">
        <v>219</v>
      </c>
      <c r="C84" s="157">
        <v>477415</v>
      </c>
      <c r="D84" s="157">
        <v>452419</v>
      </c>
      <c r="E84" s="157">
        <f t="shared" si="2"/>
        <v>-24996</v>
      </c>
      <c r="F84" s="161">
        <f t="shared" si="3"/>
        <v>-5.2356964066901962E-2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407137</v>
      </c>
      <c r="D86" s="157">
        <v>273738</v>
      </c>
      <c r="E86" s="157">
        <f t="shared" si="2"/>
        <v>-133399</v>
      </c>
      <c r="F86" s="161">
        <f t="shared" si="3"/>
        <v>-0.32765138024792639</v>
      </c>
    </row>
    <row r="87" spans="1:6" ht="15" customHeight="1" x14ac:dyDescent="0.2">
      <c r="A87" s="147">
        <v>26</v>
      </c>
      <c r="B87" s="160" t="s">
        <v>222</v>
      </c>
      <c r="C87" s="157">
        <v>4021073</v>
      </c>
      <c r="D87" s="157">
        <v>4506416</v>
      </c>
      <c r="E87" s="157">
        <f t="shared" si="2"/>
        <v>485343</v>
      </c>
      <c r="F87" s="161">
        <f t="shared" si="3"/>
        <v>0.1206998728946229</v>
      </c>
    </row>
    <row r="88" spans="1:6" ht="15" customHeight="1" x14ac:dyDescent="0.2">
      <c r="A88" s="147">
        <v>27</v>
      </c>
      <c r="B88" s="160" t="s">
        <v>223</v>
      </c>
      <c r="C88" s="157">
        <v>22153076</v>
      </c>
      <c r="D88" s="157">
        <v>20735915</v>
      </c>
      <c r="E88" s="157">
        <f t="shared" si="2"/>
        <v>-1417161</v>
      </c>
      <c r="F88" s="161">
        <f t="shared" si="3"/>
        <v>-6.397129680772097E-2</v>
      </c>
    </row>
    <row r="89" spans="1:6" ht="15" customHeight="1" x14ac:dyDescent="0.2">
      <c r="A89" s="147">
        <v>28</v>
      </c>
      <c r="B89" s="160" t="s">
        <v>224</v>
      </c>
      <c r="C89" s="157">
        <v>17698420</v>
      </c>
      <c r="D89" s="157">
        <v>22913753</v>
      </c>
      <c r="E89" s="157">
        <f t="shared" si="2"/>
        <v>5215333</v>
      </c>
      <c r="F89" s="161">
        <f t="shared" si="3"/>
        <v>0.29467788650060289</v>
      </c>
    </row>
    <row r="90" spans="1:6" ht="15.75" customHeight="1" x14ac:dyDescent="0.25">
      <c r="A90" s="147"/>
      <c r="B90" s="162" t="s">
        <v>225</v>
      </c>
      <c r="C90" s="158">
        <f>SUM(C62:C89)</f>
        <v>71348378</v>
      </c>
      <c r="D90" s="158">
        <f>SUM(D62:D89)</f>
        <v>72940416</v>
      </c>
      <c r="E90" s="158">
        <f t="shared" si="2"/>
        <v>1592038</v>
      </c>
      <c r="F90" s="159">
        <f t="shared" si="3"/>
        <v>2.2313583638860018E-2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365751321</v>
      </c>
      <c r="D95" s="158">
        <f>+D93+D90+D59+D50+D47+D44+D41+D35+D30+D24+D18</f>
        <v>366705400</v>
      </c>
      <c r="E95" s="158">
        <f>+D95-C95</f>
        <v>954079</v>
      </c>
      <c r="F95" s="159">
        <f>IF(C95=0,0,E95/C95)</f>
        <v>2.6085456024914806E-3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44491015</v>
      </c>
      <c r="D103" s="157">
        <v>51148602</v>
      </c>
      <c r="E103" s="157">
        <f t="shared" ref="E103:E121" si="4">D103-C103</f>
        <v>6657587</v>
      </c>
      <c r="F103" s="161">
        <f t="shared" ref="F103:F121" si="5">IF(C103=0,0,E103/C103)</f>
        <v>0.14963891023839307</v>
      </c>
    </row>
    <row r="104" spans="1:6" ht="15" customHeight="1" x14ac:dyDescent="0.2">
      <c r="A104" s="147">
        <v>2</v>
      </c>
      <c r="B104" s="169" t="s">
        <v>234</v>
      </c>
      <c r="C104" s="157">
        <v>1658594</v>
      </c>
      <c r="D104" s="157">
        <v>1620151</v>
      </c>
      <c r="E104" s="157">
        <f t="shared" si="4"/>
        <v>-38443</v>
      </c>
      <c r="F104" s="161">
        <f t="shared" si="5"/>
        <v>-2.3178065276975558E-2</v>
      </c>
    </row>
    <row r="105" spans="1:6" ht="15" customHeight="1" x14ac:dyDescent="0.2">
      <c r="A105" s="147">
        <v>3</v>
      </c>
      <c r="B105" s="169" t="s">
        <v>235</v>
      </c>
      <c r="C105" s="157">
        <v>4007909</v>
      </c>
      <c r="D105" s="157">
        <v>3834552</v>
      </c>
      <c r="E105" s="157">
        <f t="shared" si="4"/>
        <v>-173357</v>
      </c>
      <c r="F105" s="161">
        <f t="shared" si="5"/>
        <v>-4.3253726569141164E-2</v>
      </c>
    </row>
    <row r="106" spans="1:6" ht="15" customHeight="1" x14ac:dyDescent="0.2">
      <c r="A106" s="147">
        <v>4</v>
      </c>
      <c r="B106" s="169" t="s">
        <v>236</v>
      </c>
      <c r="C106" s="157">
        <v>3754775</v>
      </c>
      <c r="D106" s="157">
        <v>3717951</v>
      </c>
      <c r="E106" s="157">
        <f t="shared" si="4"/>
        <v>-36824</v>
      </c>
      <c r="F106" s="161">
        <f t="shared" si="5"/>
        <v>-9.807245440805374E-3</v>
      </c>
    </row>
    <row r="107" spans="1:6" ht="15" customHeight="1" x14ac:dyDescent="0.2">
      <c r="A107" s="147">
        <v>5</v>
      </c>
      <c r="B107" s="169" t="s">
        <v>237</v>
      </c>
      <c r="C107" s="157">
        <v>16607446</v>
      </c>
      <c r="D107" s="157">
        <v>17352144</v>
      </c>
      <c r="E107" s="157">
        <f t="shared" si="4"/>
        <v>744698</v>
      </c>
      <c r="F107" s="161">
        <f t="shared" si="5"/>
        <v>4.4841211586658179E-2</v>
      </c>
    </row>
    <row r="108" spans="1:6" ht="15" customHeight="1" x14ac:dyDescent="0.2">
      <c r="A108" s="147">
        <v>6</v>
      </c>
      <c r="B108" s="169" t="s">
        <v>238</v>
      </c>
      <c r="C108" s="157">
        <v>2097934</v>
      </c>
      <c r="D108" s="157">
        <v>2066459</v>
      </c>
      <c r="E108" s="157">
        <f t="shared" si="4"/>
        <v>-31475</v>
      </c>
      <c r="F108" s="161">
        <f t="shared" si="5"/>
        <v>-1.5002855189915412E-2</v>
      </c>
    </row>
    <row r="109" spans="1:6" ht="15" customHeight="1" x14ac:dyDescent="0.2">
      <c r="A109" s="147">
        <v>7</v>
      </c>
      <c r="B109" s="169" t="s">
        <v>239</v>
      </c>
      <c r="C109" s="157">
        <v>44976703</v>
      </c>
      <c r="D109" s="157">
        <v>38096898</v>
      </c>
      <c r="E109" s="157">
        <f t="shared" si="4"/>
        <v>-6879805</v>
      </c>
      <c r="F109" s="161">
        <f t="shared" si="5"/>
        <v>-0.15296374658676071</v>
      </c>
    </row>
    <row r="110" spans="1:6" ht="15" customHeight="1" x14ac:dyDescent="0.2">
      <c r="A110" s="147">
        <v>8</v>
      </c>
      <c r="B110" s="169" t="s">
        <v>240</v>
      </c>
      <c r="C110" s="157">
        <v>4332294</v>
      </c>
      <c r="D110" s="157">
        <v>2963044</v>
      </c>
      <c r="E110" s="157">
        <f t="shared" si="4"/>
        <v>-1369250</v>
      </c>
      <c r="F110" s="161">
        <f t="shared" si="5"/>
        <v>-0.31605657418448518</v>
      </c>
    </row>
    <row r="111" spans="1:6" ht="15" customHeight="1" x14ac:dyDescent="0.2">
      <c r="A111" s="147">
        <v>9</v>
      </c>
      <c r="B111" s="169" t="s">
        <v>241</v>
      </c>
      <c r="C111" s="157">
        <v>1578138</v>
      </c>
      <c r="D111" s="157">
        <v>1639301</v>
      </c>
      <c r="E111" s="157">
        <f t="shared" si="4"/>
        <v>61163</v>
      </c>
      <c r="F111" s="161">
        <f t="shared" si="5"/>
        <v>3.8756433214332336E-2</v>
      </c>
    </row>
    <row r="112" spans="1:6" ht="15" customHeight="1" x14ac:dyDescent="0.2">
      <c r="A112" s="147">
        <v>10</v>
      </c>
      <c r="B112" s="169" t="s">
        <v>242</v>
      </c>
      <c r="C112" s="157">
        <v>4021334</v>
      </c>
      <c r="D112" s="157">
        <v>3975432</v>
      </c>
      <c r="E112" s="157">
        <f t="shared" si="4"/>
        <v>-45902</v>
      </c>
      <c r="F112" s="161">
        <f t="shared" si="5"/>
        <v>-1.1414620123570935E-2</v>
      </c>
    </row>
    <row r="113" spans="1:6" ht="15" customHeight="1" x14ac:dyDescent="0.2">
      <c r="A113" s="147">
        <v>11</v>
      </c>
      <c r="B113" s="169" t="s">
        <v>243</v>
      </c>
      <c r="C113" s="157">
        <v>2968297</v>
      </c>
      <c r="D113" s="157">
        <v>3025218</v>
      </c>
      <c r="E113" s="157">
        <f t="shared" si="4"/>
        <v>56921</v>
      </c>
      <c r="F113" s="161">
        <f t="shared" si="5"/>
        <v>1.9176315577585396E-2</v>
      </c>
    </row>
    <row r="114" spans="1:6" ht="15" customHeight="1" x14ac:dyDescent="0.2">
      <c r="A114" s="147">
        <v>12</v>
      </c>
      <c r="B114" s="169" t="s">
        <v>244</v>
      </c>
      <c r="C114" s="157">
        <v>829408</v>
      </c>
      <c r="D114" s="157">
        <v>828665</v>
      </c>
      <c r="E114" s="157">
        <f t="shared" si="4"/>
        <v>-743</v>
      </c>
      <c r="F114" s="161">
        <f t="shared" si="5"/>
        <v>-8.9581966896871024E-4</v>
      </c>
    </row>
    <row r="115" spans="1:6" ht="15" customHeight="1" x14ac:dyDescent="0.2">
      <c r="A115" s="147">
        <v>13</v>
      </c>
      <c r="B115" s="169" t="s">
        <v>245</v>
      </c>
      <c r="C115" s="157">
        <v>15927229</v>
      </c>
      <c r="D115" s="157">
        <v>16199182</v>
      </c>
      <c r="E115" s="157">
        <f t="shared" si="4"/>
        <v>271953</v>
      </c>
      <c r="F115" s="161">
        <f t="shared" si="5"/>
        <v>1.7074721535051702E-2</v>
      </c>
    </row>
    <row r="116" spans="1:6" ht="15" customHeight="1" x14ac:dyDescent="0.2">
      <c r="A116" s="147">
        <v>14</v>
      </c>
      <c r="B116" s="169" t="s">
        <v>246</v>
      </c>
      <c r="C116" s="157">
        <v>2308772</v>
      </c>
      <c r="D116" s="157">
        <v>2186465</v>
      </c>
      <c r="E116" s="157">
        <f t="shared" si="4"/>
        <v>-122307</v>
      </c>
      <c r="F116" s="161">
        <f t="shared" si="5"/>
        <v>-5.2974914803194079E-2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3425925</v>
      </c>
      <c r="D118" s="157">
        <v>3367225</v>
      </c>
      <c r="E118" s="157">
        <f t="shared" si="4"/>
        <v>-58700</v>
      </c>
      <c r="F118" s="161">
        <f t="shared" si="5"/>
        <v>-1.7134058684880726E-2</v>
      </c>
    </row>
    <row r="119" spans="1:6" ht="15" customHeight="1" x14ac:dyDescent="0.2">
      <c r="A119" s="147">
        <v>17</v>
      </c>
      <c r="B119" s="169" t="s">
        <v>248</v>
      </c>
      <c r="C119" s="157">
        <v>13567708</v>
      </c>
      <c r="D119" s="157">
        <v>13974756</v>
      </c>
      <c r="E119" s="157">
        <f t="shared" si="4"/>
        <v>407048</v>
      </c>
      <c r="F119" s="161">
        <f t="shared" si="5"/>
        <v>3.0001235286018831E-2</v>
      </c>
    </row>
    <row r="120" spans="1:6" ht="15" customHeight="1" x14ac:dyDescent="0.2">
      <c r="A120" s="147">
        <v>18</v>
      </c>
      <c r="B120" s="169" t="s">
        <v>249</v>
      </c>
      <c r="C120" s="157">
        <v>863056</v>
      </c>
      <c r="D120" s="157">
        <v>741586</v>
      </c>
      <c r="E120" s="157">
        <f t="shared" si="4"/>
        <v>-121470</v>
      </c>
      <c r="F120" s="161">
        <f t="shared" si="5"/>
        <v>-0.14074405368828904</v>
      </c>
    </row>
    <row r="121" spans="1:6" ht="15.75" customHeight="1" x14ac:dyDescent="0.25">
      <c r="A121" s="147"/>
      <c r="B121" s="165" t="s">
        <v>250</v>
      </c>
      <c r="C121" s="158">
        <f>SUM(C103:C120)</f>
        <v>167416537</v>
      </c>
      <c r="D121" s="158">
        <f>SUM(D103:D120)</f>
        <v>166737631</v>
      </c>
      <c r="E121" s="158">
        <f t="shared" si="4"/>
        <v>-678906</v>
      </c>
      <c r="F121" s="159">
        <f t="shared" si="5"/>
        <v>-4.0551907963548425E-3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5096725</v>
      </c>
      <c r="D124" s="157">
        <v>5064843</v>
      </c>
      <c r="E124" s="157">
        <f t="shared" ref="E124:E130" si="6">D124-C124</f>
        <v>-31882</v>
      </c>
      <c r="F124" s="161">
        <f t="shared" ref="F124:F130" si="7">IF(C124=0,0,E124/C124)</f>
        <v>-6.2553894903099542E-3</v>
      </c>
    </row>
    <row r="125" spans="1:6" ht="15" customHeight="1" x14ac:dyDescent="0.2">
      <c r="A125" s="147">
        <v>2</v>
      </c>
      <c r="B125" s="169" t="s">
        <v>253</v>
      </c>
      <c r="C125" s="157">
        <v>5392398</v>
      </c>
      <c r="D125" s="157">
        <v>5384317</v>
      </c>
      <c r="E125" s="157">
        <f t="shared" si="6"/>
        <v>-8081</v>
      </c>
      <c r="F125" s="161">
        <f t="shared" si="7"/>
        <v>-1.498591164821291E-3</v>
      </c>
    </row>
    <row r="126" spans="1:6" ht="15" customHeight="1" x14ac:dyDescent="0.2">
      <c r="A126" s="147">
        <v>3</v>
      </c>
      <c r="B126" s="169" t="s">
        <v>254</v>
      </c>
      <c r="C126" s="157">
        <v>3203153</v>
      </c>
      <c r="D126" s="157">
        <v>2947192</v>
      </c>
      <c r="E126" s="157">
        <f t="shared" si="6"/>
        <v>-255961</v>
      </c>
      <c r="F126" s="161">
        <f t="shared" si="7"/>
        <v>-7.9909077087482239E-2</v>
      </c>
    </row>
    <row r="127" spans="1:6" ht="15" customHeight="1" x14ac:dyDescent="0.2">
      <c r="A127" s="147">
        <v>4</v>
      </c>
      <c r="B127" s="169" t="s">
        <v>255</v>
      </c>
      <c r="C127" s="157">
        <v>4270482</v>
      </c>
      <c r="D127" s="157">
        <v>4256976</v>
      </c>
      <c r="E127" s="157">
        <f t="shared" si="6"/>
        <v>-13506</v>
      </c>
      <c r="F127" s="161">
        <f t="shared" si="7"/>
        <v>-3.1626406574246186E-3</v>
      </c>
    </row>
    <row r="128" spans="1:6" ht="15" customHeight="1" x14ac:dyDescent="0.2">
      <c r="A128" s="147">
        <v>5</v>
      </c>
      <c r="B128" s="169" t="s">
        <v>256</v>
      </c>
      <c r="C128" s="157">
        <v>435824</v>
      </c>
      <c r="D128" s="157">
        <v>445596</v>
      </c>
      <c r="E128" s="157">
        <f t="shared" si="6"/>
        <v>9772</v>
      </c>
      <c r="F128" s="161">
        <f t="shared" si="7"/>
        <v>2.242189507691178E-2</v>
      </c>
    </row>
    <row r="129" spans="1:6" ht="15" customHeight="1" x14ac:dyDescent="0.2">
      <c r="A129" s="147">
        <v>6</v>
      </c>
      <c r="B129" s="169" t="s">
        <v>257</v>
      </c>
      <c r="C129" s="157">
        <v>491456</v>
      </c>
      <c r="D129" s="157">
        <v>459113</v>
      </c>
      <c r="E129" s="157">
        <f t="shared" si="6"/>
        <v>-32343</v>
      </c>
      <c r="F129" s="161">
        <f t="shared" si="7"/>
        <v>-6.581057103789556E-2</v>
      </c>
    </row>
    <row r="130" spans="1:6" ht="15.75" customHeight="1" x14ac:dyDescent="0.25">
      <c r="A130" s="147"/>
      <c r="B130" s="165" t="s">
        <v>258</v>
      </c>
      <c r="C130" s="158">
        <f>SUM(C124:C129)</f>
        <v>18890038</v>
      </c>
      <c r="D130" s="158">
        <f>SUM(D124:D129)</f>
        <v>18558037</v>
      </c>
      <c r="E130" s="158">
        <f t="shared" si="6"/>
        <v>-332001</v>
      </c>
      <c r="F130" s="159">
        <f t="shared" si="7"/>
        <v>-1.7575454321478865E-2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23720282</v>
      </c>
      <c r="D133" s="157">
        <v>26515404</v>
      </c>
      <c r="E133" s="157">
        <f t="shared" ref="E133:E167" si="8">D133-C133</f>
        <v>2795122</v>
      </c>
      <c r="F133" s="161">
        <f t="shared" ref="F133:F167" si="9">IF(C133=0,0,E133/C133)</f>
        <v>0.11783679468903448</v>
      </c>
    </row>
    <row r="134" spans="1:6" ht="15" customHeight="1" x14ac:dyDescent="0.2">
      <c r="A134" s="147">
        <v>2</v>
      </c>
      <c r="B134" s="169" t="s">
        <v>261</v>
      </c>
      <c r="C134" s="157">
        <v>2005280</v>
      </c>
      <c r="D134" s="157">
        <v>1971868</v>
      </c>
      <c r="E134" s="157">
        <f t="shared" si="8"/>
        <v>-33412</v>
      </c>
      <c r="F134" s="161">
        <f t="shared" si="9"/>
        <v>-1.666201228756084E-2</v>
      </c>
    </row>
    <row r="135" spans="1:6" ht="15" customHeight="1" x14ac:dyDescent="0.2">
      <c r="A135" s="147">
        <v>3</v>
      </c>
      <c r="B135" s="169" t="s">
        <v>262</v>
      </c>
      <c r="C135" s="157">
        <v>1138391</v>
      </c>
      <c r="D135" s="157">
        <v>1148417</v>
      </c>
      <c r="E135" s="157">
        <f t="shared" si="8"/>
        <v>10026</v>
      </c>
      <c r="F135" s="161">
        <f t="shared" si="9"/>
        <v>8.8071673089474539E-3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9646791</v>
      </c>
      <c r="D137" s="157">
        <v>9784057</v>
      </c>
      <c r="E137" s="157">
        <f t="shared" si="8"/>
        <v>137266</v>
      </c>
      <c r="F137" s="161">
        <f t="shared" si="9"/>
        <v>1.4229187716412638E-2</v>
      </c>
    </row>
    <row r="138" spans="1:6" ht="15" customHeight="1" x14ac:dyDescent="0.2">
      <c r="A138" s="147">
        <v>6</v>
      </c>
      <c r="B138" s="169" t="s">
        <v>265</v>
      </c>
      <c r="C138" s="157">
        <v>1996303</v>
      </c>
      <c r="D138" s="157">
        <v>2091366</v>
      </c>
      <c r="E138" s="157">
        <f t="shared" si="8"/>
        <v>95063</v>
      </c>
      <c r="F138" s="161">
        <f t="shared" si="9"/>
        <v>4.7619524691392037E-2</v>
      </c>
    </row>
    <row r="139" spans="1:6" ht="15" customHeight="1" x14ac:dyDescent="0.2">
      <c r="A139" s="147">
        <v>7</v>
      </c>
      <c r="B139" s="169" t="s">
        <v>266</v>
      </c>
      <c r="C139" s="157">
        <v>3514904</v>
      </c>
      <c r="D139" s="157">
        <v>3380994</v>
      </c>
      <c r="E139" s="157">
        <f t="shared" si="8"/>
        <v>-133910</v>
      </c>
      <c r="F139" s="161">
        <f t="shared" si="9"/>
        <v>-3.8097768815307617E-2</v>
      </c>
    </row>
    <row r="140" spans="1:6" ht="15" customHeight="1" x14ac:dyDescent="0.2">
      <c r="A140" s="147">
        <v>8</v>
      </c>
      <c r="B140" s="169" t="s">
        <v>267</v>
      </c>
      <c r="C140" s="157">
        <v>804062</v>
      </c>
      <c r="D140" s="157">
        <v>948796</v>
      </c>
      <c r="E140" s="157">
        <f t="shared" si="8"/>
        <v>144734</v>
      </c>
      <c r="F140" s="161">
        <f t="shared" si="9"/>
        <v>0.18000353206593522</v>
      </c>
    </row>
    <row r="141" spans="1:6" ht="15" customHeight="1" x14ac:dyDescent="0.2">
      <c r="A141" s="147">
        <v>9</v>
      </c>
      <c r="B141" s="169" t="s">
        <v>268</v>
      </c>
      <c r="C141" s="157">
        <v>2643993</v>
      </c>
      <c r="D141" s="157">
        <v>2540552</v>
      </c>
      <c r="E141" s="157">
        <f t="shared" si="8"/>
        <v>-103441</v>
      </c>
      <c r="F141" s="161">
        <f t="shared" si="9"/>
        <v>-3.9123023396809294E-2</v>
      </c>
    </row>
    <row r="142" spans="1:6" ht="15" customHeight="1" x14ac:dyDescent="0.2">
      <c r="A142" s="147">
        <v>10</v>
      </c>
      <c r="B142" s="169" t="s">
        <v>269</v>
      </c>
      <c r="C142" s="157">
        <v>14079103</v>
      </c>
      <c r="D142" s="157">
        <v>13783383</v>
      </c>
      <c r="E142" s="157">
        <f t="shared" si="8"/>
        <v>-295720</v>
      </c>
      <c r="F142" s="161">
        <f t="shared" si="9"/>
        <v>-2.1004179030439652E-2</v>
      </c>
    </row>
    <row r="143" spans="1:6" ht="15" customHeight="1" x14ac:dyDescent="0.2">
      <c r="A143" s="147">
        <v>11</v>
      </c>
      <c r="B143" s="169" t="s">
        <v>270</v>
      </c>
      <c r="C143" s="157">
        <v>1474396</v>
      </c>
      <c r="D143" s="157">
        <v>1393675</v>
      </c>
      <c r="E143" s="157">
        <f t="shared" si="8"/>
        <v>-80721</v>
      </c>
      <c r="F143" s="161">
        <f t="shared" si="9"/>
        <v>-5.4748520750191945E-2</v>
      </c>
    </row>
    <row r="144" spans="1:6" ht="15" customHeight="1" x14ac:dyDescent="0.2">
      <c r="A144" s="147">
        <v>12</v>
      </c>
      <c r="B144" s="169" t="s">
        <v>271</v>
      </c>
      <c r="C144" s="157">
        <v>745724</v>
      </c>
      <c r="D144" s="157">
        <v>798292</v>
      </c>
      <c r="E144" s="157">
        <f t="shared" si="8"/>
        <v>52568</v>
      </c>
      <c r="F144" s="161">
        <f t="shared" si="9"/>
        <v>7.049256829604518E-2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506896</v>
      </c>
      <c r="D146" s="157">
        <v>324864</v>
      </c>
      <c r="E146" s="157">
        <f t="shared" si="8"/>
        <v>-182032</v>
      </c>
      <c r="F146" s="161">
        <f t="shared" si="9"/>
        <v>-0.35911113916858683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203424</v>
      </c>
      <c r="D148" s="157">
        <v>210886</v>
      </c>
      <c r="E148" s="157">
        <f t="shared" si="8"/>
        <v>7462</v>
      </c>
      <c r="F148" s="161">
        <f t="shared" si="9"/>
        <v>3.6682004089979549E-2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1265919</v>
      </c>
      <c r="D150" s="157">
        <v>1258468</v>
      </c>
      <c r="E150" s="157">
        <f t="shared" si="8"/>
        <v>-7451</v>
      </c>
      <c r="F150" s="161">
        <f t="shared" si="9"/>
        <v>-5.8858426171026742E-3</v>
      </c>
    </row>
    <row r="151" spans="1:6" ht="15" customHeight="1" x14ac:dyDescent="0.2">
      <c r="A151" s="147">
        <v>19</v>
      </c>
      <c r="B151" s="169" t="s">
        <v>278</v>
      </c>
      <c r="C151" s="157">
        <v>51183</v>
      </c>
      <c r="D151" s="157">
        <v>32931</v>
      </c>
      <c r="E151" s="157">
        <f t="shared" si="8"/>
        <v>-18252</v>
      </c>
      <c r="F151" s="161">
        <f t="shared" si="9"/>
        <v>-0.35660277826622122</v>
      </c>
    </row>
    <row r="152" spans="1:6" ht="15" customHeight="1" x14ac:dyDescent="0.2">
      <c r="A152" s="147">
        <v>20</v>
      </c>
      <c r="B152" s="169" t="s">
        <v>279</v>
      </c>
      <c r="C152" s="157">
        <v>900803</v>
      </c>
      <c r="D152" s="157">
        <v>936421</v>
      </c>
      <c r="E152" s="157">
        <f t="shared" si="8"/>
        <v>35618</v>
      </c>
      <c r="F152" s="161">
        <f t="shared" si="9"/>
        <v>3.9540276841884409E-2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9242527</v>
      </c>
      <c r="D154" s="157">
        <v>9617750</v>
      </c>
      <c r="E154" s="157">
        <f t="shared" si="8"/>
        <v>375223</v>
      </c>
      <c r="F154" s="161">
        <f t="shared" si="9"/>
        <v>4.059744699690896E-2</v>
      </c>
    </row>
    <row r="155" spans="1:6" ht="15" customHeight="1" x14ac:dyDescent="0.2">
      <c r="A155" s="147">
        <v>23</v>
      </c>
      <c r="B155" s="169" t="s">
        <v>282</v>
      </c>
      <c r="C155" s="157">
        <v>167786</v>
      </c>
      <c r="D155" s="157">
        <v>174113</v>
      </c>
      <c r="E155" s="157">
        <f t="shared" si="8"/>
        <v>6327</v>
      </c>
      <c r="F155" s="161">
        <f t="shared" si="9"/>
        <v>3.7708748048108899E-2</v>
      </c>
    </row>
    <row r="156" spans="1:6" ht="15" customHeight="1" x14ac:dyDescent="0.2">
      <c r="A156" s="147">
        <v>24</v>
      </c>
      <c r="B156" s="169" t="s">
        <v>283</v>
      </c>
      <c r="C156" s="157">
        <v>23533864</v>
      </c>
      <c r="D156" s="157">
        <v>23988821</v>
      </c>
      <c r="E156" s="157">
        <f t="shared" si="8"/>
        <v>454957</v>
      </c>
      <c r="F156" s="161">
        <f t="shared" si="9"/>
        <v>1.9332014496217027E-2</v>
      </c>
    </row>
    <row r="157" spans="1:6" ht="15" customHeight="1" x14ac:dyDescent="0.2">
      <c r="A157" s="147">
        <v>25</v>
      </c>
      <c r="B157" s="169" t="s">
        <v>284</v>
      </c>
      <c r="C157" s="157">
        <v>2855733</v>
      </c>
      <c r="D157" s="157">
        <v>3315108</v>
      </c>
      <c r="E157" s="157">
        <f t="shared" si="8"/>
        <v>459375</v>
      </c>
      <c r="F157" s="161">
        <f t="shared" si="9"/>
        <v>0.16086062667623338</v>
      </c>
    </row>
    <row r="158" spans="1:6" ht="15" customHeight="1" x14ac:dyDescent="0.2">
      <c r="A158" s="147">
        <v>26</v>
      </c>
      <c r="B158" s="169" t="s">
        <v>285</v>
      </c>
      <c r="C158" s="157">
        <v>349490</v>
      </c>
      <c r="D158" s="157">
        <v>307087</v>
      </c>
      <c r="E158" s="157">
        <f t="shared" si="8"/>
        <v>-42403</v>
      </c>
      <c r="F158" s="161">
        <f t="shared" si="9"/>
        <v>-0.12132822112220665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1373696</v>
      </c>
      <c r="D160" s="157">
        <v>1502574</v>
      </c>
      <c r="E160" s="157">
        <f t="shared" si="8"/>
        <v>128878</v>
      </c>
      <c r="F160" s="161">
        <f t="shared" si="9"/>
        <v>9.3818428531494594E-2</v>
      </c>
    </row>
    <row r="161" spans="1:6" ht="15" customHeight="1" x14ac:dyDescent="0.2">
      <c r="A161" s="147">
        <v>29</v>
      </c>
      <c r="B161" s="169" t="s">
        <v>288</v>
      </c>
      <c r="C161" s="157">
        <v>888558</v>
      </c>
      <c r="D161" s="157">
        <v>983078</v>
      </c>
      <c r="E161" s="157">
        <f t="shared" si="8"/>
        <v>94520</v>
      </c>
      <c r="F161" s="161">
        <f t="shared" si="9"/>
        <v>0.10637459794408469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977291</v>
      </c>
      <c r="D163" s="157">
        <v>880976</v>
      </c>
      <c r="E163" s="157">
        <f t="shared" si="8"/>
        <v>-96315</v>
      </c>
      <c r="F163" s="161">
        <f t="shared" si="9"/>
        <v>-9.8553041008256501E-2</v>
      </c>
    </row>
    <row r="164" spans="1:6" ht="15" customHeight="1" x14ac:dyDescent="0.2">
      <c r="A164" s="147">
        <v>32</v>
      </c>
      <c r="B164" s="169" t="s">
        <v>291</v>
      </c>
      <c r="C164" s="157">
        <v>4451750</v>
      </c>
      <c r="D164" s="157">
        <v>4808537</v>
      </c>
      <c r="E164" s="157">
        <f t="shared" si="8"/>
        <v>356787</v>
      </c>
      <c r="F164" s="161">
        <f t="shared" si="9"/>
        <v>8.0145336103779413E-2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5879620</v>
      </c>
      <c r="D166" s="157">
        <v>4839350</v>
      </c>
      <c r="E166" s="157">
        <f t="shared" si="8"/>
        <v>-1040270</v>
      </c>
      <c r="F166" s="161">
        <f t="shared" si="9"/>
        <v>-0.17692810079562965</v>
      </c>
    </row>
    <row r="167" spans="1:6" ht="15.75" customHeight="1" x14ac:dyDescent="0.25">
      <c r="A167" s="147"/>
      <c r="B167" s="165" t="s">
        <v>294</v>
      </c>
      <c r="C167" s="158">
        <f>SUM(C133:C166)</f>
        <v>114417769</v>
      </c>
      <c r="D167" s="158">
        <f>SUM(D133:D166)</f>
        <v>117537768</v>
      </c>
      <c r="E167" s="158">
        <f t="shared" si="8"/>
        <v>3119999</v>
      </c>
      <c r="F167" s="159">
        <f t="shared" si="9"/>
        <v>2.726848309723641E-2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26892178</v>
      </c>
      <c r="D170" s="157">
        <v>26248393</v>
      </c>
      <c r="E170" s="157">
        <f t="shared" ref="E170:E183" si="10">D170-C170</f>
        <v>-643785</v>
      </c>
      <c r="F170" s="161">
        <f t="shared" ref="F170:F183" si="11">IF(C170=0,0,E170/C170)</f>
        <v>-2.3939489021677605E-2</v>
      </c>
    </row>
    <row r="171" spans="1:6" ht="15" customHeight="1" x14ac:dyDescent="0.2">
      <c r="A171" s="147">
        <v>2</v>
      </c>
      <c r="B171" s="169" t="s">
        <v>297</v>
      </c>
      <c r="C171" s="157">
        <v>6378398</v>
      </c>
      <c r="D171" s="157">
        <v>6056896</v>
      </c>
      <c r="E171" s="157">
        <f t="shared" si="10"/>
        <v>-321502</v>
      </c>
      <c r="F171" s="161">
        <f t="shared" si="11"/>
        <v>-5.0404819517377249E-2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2547881</v>
      </c>
      <c r="D173" s="157">
        <v>2605737</v>
      </c>
      <c r="E173" s="157">
        <f t="shared" si="10"/>
        <v>57856</v>
      </c>
      <c r="F173" s="161">
        <f t="shared" si="11"/>
        <v>2.2707496935688912E-2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4482752</v>
      </c>
      <c r="D175" s="157">
        <v>4315540</v>
      </c>
      <c r="E175" s="157">
        <f t="shared" si="10"/>
        <v>-167212</v>
      </c>
      <c r="F175" s="161">
        <f t="shared" si="11"/>
        <v>-3.7301193552532017E-2</v>
      </c>
    </row>
    <row r="176" spans="1:6" ht="15" customHeight="1" x14ac:dyDescent="0.2">
      <c r="A176" s="147">
        <v>7</v>
      </c>
      <c r="B176" s="169" t="s">
        <v>302</v>
      </c>
      <c r="C176" s="157">
        <v>1219803</v>
      </c>
      <c r="D176" s="157">
        <v>1251127</v>
      </c>
      <c r="E176" s="157">
        <f t="shared" si="10"/>
        <v>31324</v>
      </c>
      <c r="F176" s="161">
        <f t="shared" si="11"/>
        <v>2.5679556452968225E-2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1959999</v>
      </c>
      <c r="D179" s="157">
        <v>1910837</v>
      </c>
      <c r="E179" s="157">
        <f t="shared" si="10"/>
        <v>-49162</v>
      </c>
      <c r="F179" s="161">
        <f t="shared" si="11"/>
        <v>-2.5082665858502988E-2</v>
      </c>
    </row>
    <row r="180" spans="1:6" ht="15" customHeight="1" x14ac:dyDescent="0.2">
      <c r="A180" s="147">
        <v>11</v>
      </c>
      <c r="B180" s="169" t="s">
        <v>306</v>
      </c>
      <c r="C180" s="157">
        <v>11811024</v>
      </c>
      <c r="D180" s="157">
        <v>11685128</v>
      </c>
      <c r="E180" s="157">
        <f t="shared" si="10"/>
        <v>-125896</v>
      </c>
      <c r="F180" s="161">
        <f t="shared" si="11"/>
        <v>-1.0659194325572448E-2</v>
      </c>
    </row>
    <row r="181" spans="1:6" ht="15" customHeight="1" x14ac:dyDescent="0.2">
      <c r="A181" s="147">
        <v>12</v>
      </c>
      <c r="B181" s="169" t="s">
        <v>307</v>
      </c>
      <c r="C181" s="157">
        <v>9550498</v>
      </c>
      <c r="D181" s="157">
        <v>9617747</v>
      </c>
      <c r="E181" s="157">
        <f t="shared" si="10"/>
        <v>67249</v>
      </c>
      <c r="F181" s="161">
        <f t="shared" si="11"/>
        <v>7.0414129189912402E-3</v>
      </c>
    </row>
    <row r="182" spans="1:6" ht="15" customHeight="1" x14ac:dyDescent="0.2">
      <c r="A182" s="147">
        <v>13</v>
      </c>
      <c r="B182" s="169" t="s">
        <v>308</v>
      </c>
      <c r="C182" s="157">
        <v>184444</v>
      </c>
      <c r="D182" s="157">
        <v>180559</v>
      </c>
      <c r="E182" s="157">
        <f t="shared" si="10"/>
        <v>-3885</v>
      </c>
      <c r="F182" s="161">
        <f t="shared" si="11"/>
        <v>-2.106330376699703E-2</v>
      </c>
    </row>
    <row r="183" spans="1:6" ht="15.75" customHeight="1" x14ac:dyDescent="0.25">
      <c r="A183" s="147"/>
      <c r="B183" s="165" t="s">
        <v>309</v>
      </c>
      <c r="C183" s="158">
        <f>SUM(C170:C182)</f>
        <v>65026977</v>
      </c>
      <c r="D183" s="158">
        <f>SUM(D170:D182)</f>
        <v>63871964</v>
      </c>
      <c r="E183" s="158">
        <f t="shared" si="10"/>
        <v>-1155013</v>
      </c>
      <c r="F183" s="159">
        <f t="shared" si="11"/>
        <v>-1.776205896823406E-2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365751321</v>
      </c>
      <c r="D188" s="158">
        <f>+D186+D183+D167+D130+D121</f>
        <v>366705400</v>
      </c>
      <c r="E188" s="158">
        <f>D188-C188</f>
        <v>954079</v>
      </c>
      <c r="F188" s="159">
        <f>IF(C188=0,0,E188/C188)</f>
        <v>2.6085456024914806E-3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75" bottom="0.75" header="0.3" footer="0.3"/>
  <pageSetup scale="74" fitToHeight="0" orientation="portrait" r:id="rId1"/>
  <headerFooter>
    <oddHeader>&amp;LOFFICE OF HEALTH CARE ACCESS&amp;CTWELVE MONTHS ACTUAL FILING&amp;RMIDDLESEX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topLeftCell="A9"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73.140625" style="70" bestFit="1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354010685</v>
      </c>
      <c r="D11" s="183">
        <v>357636636</v>
      </c>
      <c r="E11" s="76">
        <v>380107064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12557059</v>
      </c>
      <c r="D12" s="185">
        <v>13366834</v>
      </c>
      <c r="E12" s="185">
        <v>11182242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366567744</v>
      </c>
      <c r="D13" s="76">
        <f>+D11+D12</f>
        <v>371003470</v>
      </c>
      <c r="E13" s="76">
        <f>+E11+E12</f>
        <v>391289306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345860614</v>
      </c>
      <c r="D14" s="185">
        <v>365751321</v>
      </c>
      <c r="E14" s="185">
        <v>366705400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20707130</v>
      </c>
      <c r="D15" s="76">
        <f>+D13-D14</f>
        <v>5252149</v>
      </c>
      <c r="E15" s="76">
        <f>+E13-E14</f>
        <v>24583906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14976476</v>
      </c>
      <c r="D16" s="185">
        <v>7212000</v>
      </c>
      <c r="E16" s="185">
        <v>12383085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35683606</v>
      </c>
      <c r="D17" s="76">
        <f>D15+D16</f>
        <v>12464149</v>
      </c>
      <c r="E17" s="76">
        <f>E15+E16</f>
        <v>36966991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5.4271900646273713E-2</v>
      </c>
      <c r="D20" s="189">
        <f>IF(+D27=0,0,+D24/+D27)</f>
        <v>1.3886658311464626E-2</v>
      </c>
      <c r="E20" s="189">
        <f>IF(+E27=0,0,+E24/+E27)</f>
        <v>6.0900637616309011E-2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3.9252268059518765E-2</v>
      </c>
      <c r="D21" s="189">
        <f>IF(D27=0,0,+D26/D27)</f>
        <v>1.9068495532454027E-2</v>
      </c>
      <c r="E21" s="189">
        <f>IF(E27=0,0,+E26/E27)</f>
        <v>3.0676076135214312E-2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9.3524168705792471E-2</v>
      </c>
      <c r="D22" s="189">
        <f>IF(D27=0,0,+D28/D27)</f>
        <v>3.2955153843918651E-2</v>
      </c>
      <c r="E22" s="189">
        <f>IF(E27=0,0,+E28/E27)</f>
        <v>9.157671375152332E-2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20707130</v>
      </c>
      <c r="D24" s="76">
        <f>+D15</f>
        <v>5252149</v>
      </c>
      <c r="E24" s="76">
        <f>+E15</f>
        <v>24583906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366567744</v>
      </c>
      <c r="D25" s="76">
        <f>+D13</f>
        <v>371003470</v>
      </c>
      <c r="E25" s="76">
        <f>+E13</f>
        <v>391289306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14976476</v>
      </c>
      <c r="D26" s="76">
        <f>+D16</f>
        <v>7212000</v>
      </c>
      <c r="E26" s="76">
        <f>+E16</f>
        <v>12383085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381544220</v>
      </c>
      <c r="D27" s="76">
        <f>+D25+D26</f>
        <v>378215470</v>
      </c>
      <c r="E27" s="76">
        <f>+E25+E26</f>
        <v>403672391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35683606</v>
      </c>
      <c r="D28" s="76">
        <f>+D17</f>
        <v>12464149</v>
      </c>
      <c r="E28" s="76">
        <f>+E17</f>
        <v>36966991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270689000</v>
      </c>
      <c r="D31" s="76">
        <v>245189354</v>
      </c>
      <c r="E31" s="76">
        <v>251796435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287700000</v>
      </c>
      <c r="D32" s="76">
        <v>261956057</v>
      </c>
      <c r="E32" s="76">
        <v>268891139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23534000</v>
      </c>
      <c r="D33" s="76">
        <f>+D32-C32</f>
        <v>-25743943</v>
      </c>
      <c r="E33" s="76">
        <f>+E32-D32</f>
        <v>6935082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1.089</v>
      </c>
      <c r="D34" s="193">
        <f>IF(C32=0,0,+D33/C32)</f>
        <v>-8.9481901286061871E-2</v>
      </c>
      <c r="E34" s="193">
        <f>IF(D32=0,0,+E33/D32)</f>
        <v>2.647421891832797E-2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0.26919775861919981</v>
      </c>
      <c r="D38" s="195">
        <f>IF((D40+D41)=0,0,+D39/(D40+D41))</f>
        <v>0.28612640694505476</v>
      </c>
      <c r="E38" s="195">
        <f>IF((E40+E41)=0,0,+E39/(E40+E41))</f>
        <v>0.28235850979727023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345860614</v>
      </c>
      <c r="D39" s="76">
        <v>365751321</v>
      </c>
      <c r="E39" s="196">
        <v>366705400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1272225607</v>
      </c>
      <c r="D40" s="76">
        <v>1264918959</v>
      </c>
      <c r="E40" s="196">
        <v>1287540436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12557059</v>
      </c>
      <c r="D41" s="76">
        <v>13366834</v>
      </c>
      <c r="E41" s="196">
        <v>11182242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1.5712278223671057</v>
      </c>
      <c r="D43" s="197">
        <f>IF(D38=0,0,IF((D46-D47)=0,0,((+D44-D45)/(D46-D47)/D38)))</f>
        <v>1.513591873030113</v>
      </c>
      <c r="E43" s="197">
        <f>IF(E38=0,0,IF((E46-E47)=0,0,((+E44-E45)/(E46-E47)/E38)))</f>
        <v>1.6050731804740437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194452401</v>
      </c>
      <c r="D44" s="76">
        <v>193979498</v>
      </c>
      <c r="E44" s="196">
        <v>209381474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3834318</v>
      </c>
      <c r="D45" s="76">
        <v>3852524</v>
      </c>
      <c r="E45" s="196">
        <v>3074519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470219797</v>
      </c>
      <c r="D46" s="76">
        <v>453892243</v>
      </c>
      <c r="E46" s="196">
        <v>469666120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19555143</v>
      </c>
      <c r="D47" s="76">
        <v>14879620</v>
      </c>
      <c r="E47" s="76">
        <v>14449458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0.81240164368397405</v>
      </c>
      <c r="D49" s="198">
        <f>IF(D38=0,0,IF(D51=0,0,(D50/D51)/D38))</f>
        <v>0.77339567837968926</v>
      </c>
      <c r="E49" s="198">
        <f>IF(E38=0,0,IF(E51=0,0,(E50/E51)/E38))</f>
        <v>0.80086774580523867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131356288</v>
      </c>
      <c r="D50" s="199">
        <v>132927017</v>
      </c>
      <c r="E50" s="199">
        <v>137926475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600632232</v>
      </c>
      <c r="D51" s="199">
        <v>600694391</v>
      </c>
      <c r="E51" s="199">
        <v>609938367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0.59935407053502399</v>
      </c>
      <c r="D53" s="198">
        <f>IF(D38=0,0,IF(D55=0,0,(D54/D55)/D38))</f>
        <v>0.5745920998077384</v>
      </c>
      <c r="E53" s="198">
        <f>IF(E38=0,0,IF(E55=0,0,(E54/E55)/E38))</f>
        <v>0.59672748150248445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31692766</v>
      </c>
      <c r="D54" s="199">
        <v>33659551</v>
      </c>
      <c r="E54" s="199">
        <v>34129770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196428837</v>
      </c>
      <c r="D55" s="199">
        <v>204734356</v>
      </c>
      <c r="E55" s="199">
        <v>202561284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6048581.5566053176</v>
      </c>
      <c r="D57" s="88">
        <f>+D60*D38</f>
        <v>4854713.0414176965</v>
      </c>
      <c r="E57" s="88">
        <f>+E60*E38</f>
        <v>4720927.834652165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8559951</v>
      </c>
      <c r="D58" s="199">
        <v>6695669</v>
      </c>
      <c r="E58" s="199">
        <v>5726046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13908964</v>
      </c>
      <c r="D59" s="199">
        <v>10271353</v>
      </c>
      <c r="E59" s="199">
        <v>10993577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22468915</v>
      </c>
      <c r="D60" s="76">
        <v>16967022</v>
      </c>
      <c r="E60" s="201">
        <v>16719623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1.7488494820648522E-2</v>
      </c>
      <c r="D62" s="202">
        <f>IF(D63=0,0,+D57/D63)</f>
        <v>1.327326181117934E-2</v>
      </c>
      <c r="E62" s="202">
        <f>IF(E63=0,0,+E57/E63)</f>
        <v>1.2873897779122328E-2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345860614</v>
      </c>
      <c r="D63" s="199">
        <v>365751321</v>
      </c>
      <c r="E63" s="199">
        <v>366705400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1.7684855859228754</v>
      </c>
      <c r="D67" s="203">
        <f>IF(D69=0,0,D68/D69)</f>
        <v>1.9526300755346047</v>
      </c>
      <c r="E67" s="203">
        <f>IF(E69=0,0,E68/E69)</f>
        <v>1.8284273388957926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113367000</v>
      </c>
      <c r="D68" s="204">
        <v>110493564</v>
      </c>
      <c r="E68" s="204">
        <v>102995312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64104000</v>
      </c>
      <c r="D69" s="204">
        <v>56587044</v>
      </c>
      <c r="E69" s="204">
        <v>56330000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65.511376421331761</v>
      </c>
      <c r="D71" s="203">
        <f>IF((D77/365)=0,0,+D74/(D77/365))</f>
        <v>61.879810864849205</v>
      </c>
      <c r="E71" s="203">
        <f>IF((E77/365)=0,0,+E74/(E77/365))</f>
        <v>56.204352327535631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36581000</v>
      </c>
      <c r="D72" s="183">
        <v>47854470</v>
      </c>
      <c r="E72" s="183">
        <v>22406000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21491000</v>
      </c>
      <c r="D73" s="206">
        <v>10160000</v>
      </c>
      <c r="E73" s="206">
        <v>30358000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58072000</v>
      </c>
      <c r="D74" s="204">
        <f>+D72+D73</f>
        <v>58014470</v>
      </c>
      <c r="E74" s="204">
        <f>+E72+E73</f>
        <v>52764000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345860614</v>
      </c>
      <c r="D75" s="204">
        <f>+D14</f>
        <v>365751321</v>
      </c>
      <c r="E75" s="204">
        <f>+E14</f>
        <v>366705400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22309482</v>
      </c>
      <c r="D76" s="204">
        <v>23551155</v>
      </c>
      <c r="E76" s="204">
        <v>24047595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323551132</v>
      </c>
      <c r="D77" s="204">
        <f>+D75-D76</f>
        <v>342200166</v>
      </c>
      <c r="E77" s="204">
        <f>+E75-E76</f>
        <v>342657805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45.685485453638215</v>
      </c>
      <c r="D79" s="203">
        <f>IF((D84/365)=0,0,+D83/(D84/365))</f>
        <v>42.661697010817427</v>
      </c>
      <c r="E79" s="203">
        <f>IF((E84/365)=0,0,+E83/(E84/365))</f>
        <v>39.180039850561684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43502000</v>
      </c>
      <c r="D80" s="212">
        <v>42766700</v>
      </c>
      <c r="E80" s="212">
        <v>40685950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808000</v>
      </c>
      <c r="D81" s="212">
        <v>0</v>
      </c>
      <c r="E81" s="212">
        <v>129301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965643</v>
      </c>
      <c r="E82" s="212">
        <v>13580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44310000</v>
      </c>
      <c r="D83" s="212">
        <f>+D80+D81-D82</f>
        <v>41801057</v>
      </c>
      <c r="E83" s="212">
        <f>+E80+E81-E82</f>
        <v>40801671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354010685</v>
      </c>
      <c r="D84" s="204">
        <f>+D11</f>
        <v>357636636</v>
      </c>
      <c r="E84" s="204">
        <f>+E11</f>
        <v>380107064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72.316112310804712</v>
      </c>
      <c r="D86" s="203">
        <f>IF((D90/365)=0,0,+D87/(D90/365))</f>
        <v>60.357279487701945</v>
      </c>
      <c r="E86" s="203">
        <f>IF((E90/365)=0,0,+E87/(E90/365))</f>
        <v>60.002864957358845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64104000</v>
      </c>
      <c r="D87" s="76">
        <f>+D69</f>
        <v>56587044</v>
      </c>
      <c r="E87" s="76">
        <f>+E69</f>
        <v>56330000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345860614</v>
      </c>
      <c r="D88" s="76">
        <f t="shared" si="0"/>
        <v>365751321</v>
      </c>
      <c r="E88" s="76">
        <f t="shared" si="0"/>
        <v>366705400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22309482</v>
      </c>
      <c r="D89" s="201">
        <f t="shared" si="0"/>
        <v>23551155</v>
      </c>
      <c r="E89" s="201">
        <f t="shared" si="0"/>
        <v>24047595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323551132</v>
      </c>
      <c r="D90" s="76">
        <f>+D88-D89</f>
        <v>342200166</v>
      </c>
      <c r="E90" s="76">
        <f>+E88-E89</f>
        <v>342657805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59.465369741489958</v>
      </c>
      <c r="D94" s="214">
        <f>IF(D96=0,0,(D95/D96)*100)</f>
        <v>55.733226576513815</v>
      </c>
      <c r="E94" s="214">
        <f>IF(E96=0,0,(E95/E96)*100)</f>
        <v>58.71903956541744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287700000</v>
      </c>
      <c r="D95" s="76">
        <f>+D32</f>
        <v>261956057</v>
      </c>
      <c r="E95" s="76">
        <f>+E32</f>
        <v>268891139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483811000</v>
      </c>
      <c r="D96" s="76">
        <v>470017749</v>
      </c>
      <c r="E96" s="76">
        <v>457928367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48.010305232919123</v>
      </c>
      <c r="D98" s="214">
        <f>IF(D104=0,0,(D101/D104)*100)</f>
        <v>32.988601162852341</v>
      </c>
      <c r="E98" s="214">
        <f>IF(E104=0,0,(E101/E104)*100)</f>
        <v>58.398168757295096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35683606</v>
      </c>
      <c r="D99" s="76">
        <f>+D28</f>
        <v>12464149</v>
      </c>
      <c r="E99" s="76">
        <f>+E28</f>
        <v>36966991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22309482</v>
      </c>
      <c r="D100" s="201">
        <f>+D76</f>
        <v>23551155</v>
      </c>
      <c r="E100" s="201">
        <f>+E76</f>
        <v>24047595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57993088</v>
      </c>
      <c r="D101" s="76">
        <f>+D99+D100</f>
        <v>36015304</v>
      </c>
      <c r="E101" s="76">
        <f>+E99+E100</f>
        <v>61014586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64104000</v>
      </c>
      <c r="D102" s="204">
        <f>+D69</f>
        <v>56587044</v>
      </c>
      <c r="E102" s="204">
        <f>+E69</f>
        <v>56330000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56689000</v>
      </c>
      <c r="D103" s="216">
        <v>52587952</v>
      </c>
      <c r="E103" s="216">
        <v>48150307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120793000</v>
      </c>
      <c r="D104" s="204">
        <f>+D102+D103</f>
        <v>109174996</v>
      </c>
      <c r="E104" s="204">
        <f>+E102+E103</f>
        <v>104480307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16.460746423375891</v>
      </c>
      <c r="D106" s="214">
        <f>IF(D109=0,0,(D107/D109)*100)</f>
        <v>16.718789897537039</v>
      </c>
      <c r="E106" s="214">
        <f>IF(E109=0,0,(E107/E109)*100)</f>
        <v>15.187385626546757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56689000</v>
      </c>
      <c r="D107" s="204">
        <f>+D103</f>
        <v>52587952</v>
      </c>
      <c r="E107" s="204">
        <f>+E103</f>
        <v>48150307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287700000</v>
      </c>
      <c r="D108" s="204">
        <f>+D32</f>
        <v>261956057</v>
      </c>
      <c r="E108" s="204">
        <f>+E32</f>
        <v>268891139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344389000</v>
      </c>
      <c r="D109" s="204">
        <f>+D107+D108</f>
        <v>314544009</v>
      </c>
      <c r="E109" s="204">
        <f>+E107+E108</f>
        <v>317041446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10.060233096951791</v>
      </c>
      <c r="D111" s="214">
        <f>IF((+D113+D115)=0,0,((+D112+D113+D114)/(+D113+D115)))</f>
        <v>6.5846247281135799</v>
      </c>
      <c r="E111" s="214">
        <f>IF((+E113+E115)=0,0,((+E112+E113+E114)/(+E113+E115)))</f>
        <v>10.851783693487247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35683606</v>
      </c>
      <c r="D112" s="76">
        <f>+D17</f>
        <v>12464149</v>
      </c>
      <c r="E112" s="76">
        <f>+E17</f>
        <v>36966991</v>
      </c>
    </row>
    <row r="113" spans="1:8" ht="24" customHeight="1" x14ac:dyDescent="0.2">
      <c r="A113" s="85">
        <v>17</v>
      </c>
      <c r="B113" s="75" t="s">
        <v>88</v>
      </c>
      <c r="C113" s="218">
        <v>2896503</v>
      </c>
      <c r="D113" s="76">
        <v>2603790</v>
      </c>
      <c r="E113" s="76">
        <v>2323206</v>
      </c>
    </row>
    <row r="114" spans="1:8" ht="24" customHeight="1" x14ac:dyDescent="0.2">
      <c r="A114" s="85">
        <v>18</v>
      </c>
      <c r="B114" s="75" t="s">
        <v>374</v>
      </c>
      <c r="C114" s="218">
        <v>22309482</v>
      </c>
      <c r="D114" s="76">
        <v>23551155</v>
      </c>
      <c r="E114" s="76">
        <v>24047595</v>
      </c>
    </row>
    <row r="115" spans="1:8" ht="24" customHeight="1" x14ac:dyDescent="0.2">
      <c r="A115" s="85">
        <v>19</v>
      </c>
      <c r="B115" s="75" t="s">
        <v>104</v>
      </c>
      <c r="C115" s="218">
        <v>3156000</v>
      </c>
      <c r="D115" s="76">
        <v>3261251</v>
      </c>
      <c r="E115" s="76">
        <v>3513419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11.316847249075527</v>
      </c>
      <c r="D119" s="214">
        <f>IF(+D121=0,0,(+D120)/(+D121))</f>
        <v>11.700217462795349</v>
      </c>
      <c r="E119" s="214">
        <f>IF(+E121=0,0,(+E120)/(+E121))</f>
        <v>12.475055197827475</v>
      </c>
    </row>
    <row r="120" spans="1:8" ht="24" customHeight="1" x14ac:dyDescent="0.2">
      <c r="A120" s="85">
        <v>21</v>
      </c>
      <c r="B120" s="75" t="s">
        <v>378</v>
      </c>
      <c r="C120" s="218">
        <v>252473000</v>
      </c>
      <c r="D120" s="218">
        <v>275553635</v>
      </c>
      <c r="E120" s="218">
        <v>299995075</v>
      </c>
    </row>
    <row r="121" spans="1:8" ht="24" customHeight="1" x14ac:dyDescent="0.2">
      <c r="A121" s="85">
        <v>22</v>
      </c>
      <c r="B121" s="75" t="s">
        <v>374</v>
      </c>
      <c r="C121" s="218">
        <v>22309482</v>
      </c>
      <c r="D121" s="218">
        <v>23551155</v>
      </c>
      <c r="E121" s="218">
        <v>24047595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59299</v>
      </c>
      <c r="D124" s="218">
        <v>58224</v>
      </c>
      <c r="E124" s="218">
        <v>54860</v>
      </c>
    </row>
    <row r="125" spans="1:8" ht="24" customHeight="1" x14ac:dyDescent="0.2">
      <c r="A125" s="85">
        <v>2</v>
      </c>
      <c r="B125" s="75" t="s">
        <v>381</v>
      </c>
      <c r="C125" s="218">
        <v>14296</v>
      </c>
      <c r="D125" s="218">
        <v>13617</v>
      </c>
      <c r="E125" s="218">
        <v>13338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4.1479434806939004</v>
      </c>
      <c r="D126" s="219">
        <f>IF(D125=0,0,D124/D125)</f>
        <v>4.2758316809870012</v>
      </c>
      <c r="E126" s="219">
        <f>IF(E125=0,0,E124/E125)</f>
        <v>4.1130604288499022</v>
      </c>
    </row>
    <row r="127" spans="1:8" ht="24" customHeight="1" x14ac:dyDescent="0.2">
      <c r="A127" s="85">
        <v>4</v>
      </c>
      <c r="B127" s="75" t="s">
        <v>383</v>
      </c>
      <c r="C127" s="218">
        <v>183</v>
      </c>
      <c r="D127" s="218">
        <v>192</v>
      </c>
      <c r="E127" s="218">
        <v>183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245</v>
      </c>
      <c r="E128" s="218">
        <v>245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237</v>
      </c>
      <c r="D129" s="218">
        <v>297</v>
      </c>
      <c r="E129" s="218">
        <v>297</v>
      </c>
    </row>
    <row r="130" spans="1:7" ht="24" customHeight="1" x14ac:dyDescent="0.2">
      <c r="A130" s="85">
        <v>7</v>
      </c>
      <c r="B130" s="75" t="s">
        <v>386</v>
      </c>
      <c r="C130" s="193">
        <v>0.88770000000000004</v>
      </c>
      <c r="D130" s="193">
        <v>0.83079999999999998</v>
      </c>
      <c r="E130" s="193">
        <v>0.82130000000000003</v>
      </c>
    </row>
    <row r="131" spans="1:7" ht="24" customHeight="1" x14ac:dyDescent="0.2">
      <c r="A131" s="85">
        <v>8</v>
      </c>
      <c r="B131" s="75" t="s">
        <v>387</v>
      </c>
      <c r="C131" s="193">
        <v>0.68540000000000001</v>
      </c>
      <c r="D131" s="193">
        <v>0.65100000000000002</v>
      </c>
      <c r="E131" s="193">
        <v>0.61339999999999995</v>
      </c>
    </row>
    <row r="132" spans="1:7" ht="24" customHeight="1" x14ac:dyDescent="0.2">
      <c r="A132" s="85">
        <v>9</v>
      </c>
      <c r="B132" s="75" t="s">
        <v>388</v>
      </c>
      <c r="C132" s="219">
        <v>2081.1999999999998</v>
      </c>
      <c r="D132" s="219">
        <v>2107.1999999999998</v>
      </c>
      <c r="E132" s="219">
        <v>2104.3000000000002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0.35423328340537008</v>
      </c>
      <c r="D135" s="227">
        <f>IF(D149=0,0,D143/D149)</f>
        <v>0.34706778634029473</v>
      </c>
      <c r="E135" s="227">
        <f>IF(E149=0,0,E143/E149)</f>
        <v>0.35355523544893158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0.47211141537728851</v>
      </c>
      <c r="D136" s="227">
        <f>IF(D149=0,0,D144/D149)</f>
        <v>0.47488764930433774</v>
      </c>
      <c r="E136" s="227">
        <f>IF(E149=0,0,E144/E149)</f>
        <v>0.47372365942532618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0.15439780171002326</v>
      </c>
      <c r="D137" s="227">
        <f>IF(D149=0,0,D145/D149)</f>
        <v>0.16185570984077566</v>
      </c>
      <c r="E137" s="227">
        <f>IF(E149=0,0,E145/E149)</f>
        <v>0.15732421160246962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1.5370813865405871E-2</v>
      </c>
      <c r="D139" s="227">
        <f>IF(D149=0,0,D147/D149)</f>
        <v>1.1763299058908326E-2</v>
      </c>
      <c r="E139" s="227">
        <f>IF(E149=0,0,E147/E149)</f>
        <v>1.1222527538544816E-2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3.8866856419122525E-3</v>
      </c>
      <c r="D140" s="227">
        <f>IF(D149=0,0,D148/D149)</f>
        <v>4.425555455683545E-3</v>
      </c>
      <c r="E140" s="227">
        <f>IF(E149=0,0,E148/E149)</f>
        <v>4.1743659847277995E-3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450664654</v>
      </c>
      <c r="D143" s="229">
        <f>+D46-D147</f>
        <v>439012623</v>
      </c>
      <c r="E143" s="229">
        <f>+E46-E147</f>
        <v>455216662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600632232</v>
      </c>
      <c r="D144" s="229">
        <f>+D51</f>
        <v>600694391</v>
      </c>
      <c r="E144" s="229">
        <f>+E51</f>
        <v>609938367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196428837</v>
      </c>
      <c r="D145" s="229">
        <f>+D55</f>
        <v>204734356</v>
      </c>
      <c r="E145" s="229">
        <f>+E55</f>
        <v>202561284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19555143</v>
      </c>
      <c r="D147" s="229">
        <f>+D47</f>
        <v>14879620</v>
      </c>
      <c r="E147" s="229">
        <f>+E47</f>
        <v>14449458</v>
      </c>
    </row>
    <row r="148" spans="1:7" ht="20.100000000000001" customHeight="1" x14ac:dyDescent="0.2">
      <c r="A148" s="226">
        <v>13</v>
      </c>
      <c r="B148" s="224" t="s">
        <v>402</v>
      </c>
      <c r="C148" s="230">
        <v>4944741</v>
      </c>
      <c r="D148" s="229">
        <v>5597969</v>
      </c>
      <c r="E148" s="229">
        <v>5374665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1272225607</v>
      </c>
      <c r="D149" s="229">
        <f>SUM(D143:D148)</f>
        <v>1264918959</v>
      </c>
      <c r="E149" s="229">
        <f>SUM(E143:E148)</f>
        <v>1287540436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0.53221047408787392</v>
      </c>
      <c r="D152" s="227">
        <f>IF(D166=0,0,D160/D166)</f>
        <v>0.52588216907041996</v>
      </c>
      <c r="E152" s="227">
        <f>IF(E166=0,0,E160/E166)</f>
        <v>0.53945702225683323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0.36675005440540126</v>
      </c>
      <c r="D153" s="227">
        <f>IF(D166=0,0,D161/D166)</f>
        <v>0.36766980800957044</v>
      </c>
      <c r="E153" s="227">
        <f>IF(E166=0,0,E161/E166)</f>
        <v>0.3606538882505515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8.8486998466016736E-2</v>
      </c>
      <c r="D154" s="227">
        <f>IF(D166=0,0,D162/D166)</f>
        <v>9.3100717470086192E-2</v>
      </c>
      <c r="E154" s="227">
        <f>IF(E166=0,0,E162/E166)</f>
        <v>8.9243448406819831E-2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1.070551213435332E-2</v>
      </c>
      <c r="D156" s="227">
        <f>IF(D166=0,0,D164/D166)</f>
        <v>1.0655898186839341E-2</v>
      </c>
      <c r="E156" s="227">
        <f>IF(E166=0,0,E164/E166)</f>
        <v>8.0393356812040427E-3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1.8469609063547854E-3</v>
      </c>
      <c r="D157" s="227">
        <f>IF(D166=0,0,D165/D166)</f>
        <v>2.6914072630841064E-3</v>
      </c>
      <c r="E157" s="227">
        <f>IF(E166=0,0,E165/E166)</f>
        <v>2.606305404591417E-3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1.0000000000000002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190618083</v>
      </c>
      <c r="D160" s="229">
        <f>+D44-D164</f>
        <v>190126974</v>
      </c>
      <c r="E160" s="229">
        <f>+E44-E164</f>
        <v>206306955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131356288</v>
      </c>
      <c r="D161" s="229">
        <f>+D50</f>
        <v>132927017</v>
      </c>
      <c r="E161" s="229">
        <f>+E50</f>
        <v>137926475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31692766</v>
      </c>
      <c r="D162" s="229">
        <f>+D54</f>
        <v>33659551</v>
      </c>
      <c r="E162" s="229">
        <f>+E54</f>
        <v>34129770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3834318</v>
      </c>
      <c r="D164" s="229">
        <f>+D45</f>
        <v>3852524</v>
      </c>
      <c r="E164" s="229">
        <f>+E45</f>
        <v>3074519</v>
      </c>
    </row>
    <row r="165" spans="1:6" ht="20.100000000000001" customHeight="1" x14ac:dyDescent="0.2">
      <c r="A165" s="226">
        <v>13</v>
      </c>
      <c r="B165" s="224" t="s">
        <v>417</v>
      </c>
      <c r="C165" s="230">
        <v>661513</v>
      </c>
      <c r="D165" s="229">
        <v>973049</v>
      </c>
      <c r="E165" s="229">
        <v>996741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358162968</v>
      </c>
      <c r="D166" s="229">
        <f>SUM(D160:D165)</f>
        <v>361539115</v>
      </c>
      <c r="E166" s="229">
        <f>SUM(E160:E165)</f>
        <v>382434460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4216</v>
      </c>
      <c r="D169" s="218">
        <v>3800</v>
      </c>
      <c r="E169" s="218">
        <v>3908</v>
      </c>
    </row>
    <row r="170" spans="1:6" ht="20.100000000000001" customHeight="1" x14ac:dyDescent="0.2">
      <c r="A170" s="226">
        <v>2</v>
      </c>
      <c r="B170" s="224" t="s">
        <v>420</v>
      </c>
      <c r="C170" s="218">
        <v>7760</v>
      </c>
      <c r="D170" s="218">
        <v>7504</v>
      </c>
      <c r="E170" s="218">
        <v>7137</v>
      </c>
    </row>
    <row r="171" spans="1:6" ht="20.100000000000001" customHeight="1" x14ac:dyDescent="0.2">
      <c r="A171" s="226">
        <v>3</v>
      </c>
      <c r="B171" s="224" t="s">
        <v>421</v>
      </c>
      <c r="C171" s="218">
        <v>2263</v>
      </c>
      <c r="D171" s="218">
        <v>2251</v>
      </c>
      <c r="E171" s="218">
        <v>2228</v>
      </c>
    </row>
    <row r="172" spans="1:6" ht="20.100000000000001" customHeight="1" x14ac:dyDescent="0.2">
      <c r="A172" s="226">
        <v>4</v>
      </c>
      <c r="B172" s="224" t="s">
        <v>422</v>
      </c>
      <c r="C172" s="218">
        <v>2263</v>
      </c>
      <c r="D172" s="218">
        <v>2251</v>
      </c>
      <c r="E172" s="218">
        <v>2228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57</v>
      </c>
      <c r="D174" s="218">
        <v>62</v>
      </c>
      <c r="E174" s="218">
        <v>65</v>
      </c>
    </row>
    <row r="175" spans="1:6" ht="20.100000000000001" customHeight="1" x14ac:dyDescent="0.2">
      <c r="A175" s="226">
        <v>7</v>
      </c>
      <c r="B175" s="224" t="s">
        <v>425</v>
      </c>
      <c r="C175" s="218">
        <v>139</v>
      </c>
      <c r="D175" s="218">
        <v>92</v>
      </c>
      <c r="E175" s="218">
        <v>123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14296</v>
      </c>
      <c r="D176" s="218">
        <f>+D169+D170+D171+D174</f>
        <v>13617</v>
      </c>
      <c r="E176" s="218">
        <f>+E169+E170+E171+E174</f>
        <v>13338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1.1889099999999999</v>
      </c>
      <c r="D179" s="231">
        <v>1.2761899999999999</v>
      </c>
      <c r="E179" s="231">
        <v>1.3511</v>
      </c>
    </row>
    <row r="180" spans="1:6" ht="20.100000000000001" customHeight="1" x14ac:dyDescent="0.2">
      <c r="A180" s="226">
        <v>2</v>
      </c>
      <c r="B180" s="224" t="s">
        <v>420</v>
      </c>
      <c r="C180" s="231">
        <v>1.37202</v>
      </c>
      <c r="D180" s="231">
        <v>1.42635</v>
      </c>
      <c r="E180" s="231">
        <v>1.4930000000000001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1.04375</v>
      </c>
      <c r="D181" s="231">
        <v>1.0746199999999999</v>
      </c>
      <c r="E181" s="231">
        <v>1.1400999999999999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1.04375</v>
      </c>
      <c r="D182" s="231">
        <v>1.0746199999999999</v>
      </c>
      <c r="E182" s="231">
        <v>1.1400999999999999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1.0518000000000001</v>
      </c>
      <c r="D184" s="231">
        <v>1.22936</v>
      </c>
      <c r="E184" s="231">
        <v>1.0262</v>
      </c>
    </row>
    <row r="185" spans="1:6" ht="20.100000000000001" customHeight="1" x14ac:dyDescent="0.2">
      <c r="A185" s="226">
        <v>7</v>
      </c>
      <c r="B185" s="224" t="s">
        <v>425</v>
      </c>
      <c r="C185" s="231">
        <v>1.12178</v>
      </c>
      <c r="D185" s="231">
        <v>1.331</v>
      </c>
      <c r="E185" s="231">
        <v>1.2471000000000001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1.264778</v>
      </c>
      <c r="D186" s="231">
        <v>1.3254049999999999</v>
      </c>
      <c r="E186" s="231">
        <v>1.390199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9060</v>
      </c>
      <c r="D189" s="218">
        <v>8263</v>
      </c>
      <c r="E189" s="218">
        <v>7940</v>
      </c>
    </row>
    <row r="190" spans="1:6" ht="20.100000000000001" customHeight="1" x14ac:dyDescent="0.2">
      <c r="A190" s="226">
        <v>2</v>
      </c>
      <c r="B190" s="224" t="s">
        <v>433</v>
      </c>
      <c r="C190" s="218">
        <v>80555</v>
      </c>
      <c r="D190" s="218">
        <v>79563</v>
      </c>
      <c r="E190" s="218">
        <v>77256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89615</v>
      </c>
      <c r="D191" s="218">
        <f>+D190+D189</f>
        <v>87826</v>
      </c>
      <c r="E191" s="218">
        <f>+E190+E189</f>
        <v>85196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69" fitToHeight="0" orientation="portrait" r:id="rId1"/>
  <headerFooter>
    <oddHeader>&amp;LOFFICE OF HEALTH CARE ACCESS&amp;CTWELVE MONTHS ACTUAL FILING&amp;RMIDDLESEX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94.85546875" style="235" bestFit="1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1890185</v>
      </c>
      <c r="D14" s="258">
        <v>5124552</v>
      </c>
      <c r="E14" s="258">
        <f t="shared" ref="E14:E24" si="0">D14-C14</f>
        <v>3234367</v>
      </c>
      <c r="F14" s="259">
        <f t="shared" ref="F14:F24" si="1">IF(C14=0,0,E14/C14)</f>
        <v>1.7111377986810814</v>
      </c>
    </row>
    <row r="15" spans="1:7" ht="20.25" customHeight="1" x14ac:dyDescent="0.3">
      <c r="A15" s="256">
        <v>2</v>
      </c>
      <c r="B15" s="257" t="s">
        <v>442</v>
      </c>
      <c r="C15" s="258">
        <v>400731</v>
      </c>
      <c r="D15" s="258">
        <v>1178102</v>
      </c>
      <c r="E15" s="258">
        <f t="shared" si="0"/>
        <v>777371</v>
      </c>
      <c r="F15" s="259">
        <f t="shared" si="1"/>
        <v>1.9398823649780026</v>
      </c>
    </row>
    <row r="16" spans="1:7" ht="20.25" customHeight="1" x14ac:dyDescent="0.3">
      <c r="A16" s="256">
        <v>3</v>
      </c>
      <c r="B16" s="257" t="s">
        <v>443</v>
      </c>
      <c r="C16" s="258">
        <v>2335958</v>
      </c>
      <c r="D16" s="258">
        <v>6359040</v>
      </c>
      <c r="E16" s="258">
        <f t="shared" si="0"/>
        <v>4023082</v>
      </c>
      <c r="F16" s="259">
        <f t="shared" si="1"/>
        <v>1.7222407252185186</v>
      </c>
    </row>
    <row r="17" spans="1:6" ht="20.25" customHeight="1" x14ac:dyDescent="0.3">
      <c r="A17" s="256">
        <v>4</v>
      </c>
      <c r="B17" s="257" t="s">
        <v>444</v>
      </c>
      <c r="C17" s="258">
        <v>402183</v>
      </c>
      <c r="D17" s="258">
        <v>1056659</v>
      </c>
      <c r="E17" s="258">
        <f t="shared" si="0"/>
        <v>654476</v>
      </c>
      <c r="F17" s="259">
        <f t="shared" si="1"/>
        <v>1.6273089613434679</v>
      </c>
    </row>
    <row r="18" spans="1:6" ht="20.25" customHeight="1" x14ac:dyDescent="0.3">
      <c r="A18" s="256">
        <v>5</v>
      </c>
      <c r="B18" s="257" t="s">
        <v>381</v>
      </c>
      <c r="C18" s="260">
        <v>45</v>
      </c>
      <c r="D18" s="260">
        <v>108</v>
      </c>
      <c r="E18" s="260">
        <f t="shared" si="0"/>
        <v>63</v>
      </c>
      <c r="F18" s="259">
        <f t="shared" si="1"/>
        <v>1.4</v>
      </c>
    </row>
    <row r="19" spans="1:6" ht="20.25" customHeight="1" x14ac:dyDescent="0.3">
      <c r="A19" s="256">
        <v>6</v>
      </c>
      <c r="B19" s="257" t="s">
        <v>380</v>
      </c>
      <c r="C19" s="260">
        <v>191</v>
      </c>
      <c r="D19" s="260">
        <v>537</v>
      </c>
      <c r="E19" s="260">
        <f t="shared" si="0"/>
        <v>346</v>
      </c>
      <c r="F19" s="259">
        <f t="shared" si="1"/>
        <v>1.8115183246073299</v>
      </c>
    </row>
    <row r="20" spans="1:6" ht="20.25" customHeight="1" x14ac:dyDescent="0.3">
      <c r="A20" s="256">
        <v>7</v>
      </c>
      <c r="B20" s="257" t="s">
        <v>445</v>
      </c>
      <c r="C20" s="260">
        <v>1813</v>
      </c>
      <c r="D20" s="260">
        <v>4508</v>
      </c>
      <c r="E20" s="260">
        <f t="shared" si="0"/>
        <v>2695</v>
      </c>
      <c r="F20" s="259">
        <f t="shared" si="1"/>
        <v>1.4864864864864864</v>
      </c>
    </row>
    <row r="21" spans="1:6" ht="20.25" customHeight="1" x14ac:dyDescent="0.3">
      <c r="A21" s="256">
        <v>8</v>
      </c>
      <c r="B21" s="257" t="s">
        <v>446</v>
      </c>
      <c r="C21" s="260">
        <v>222</v>
      </c>
      <c r="D21" s="260">
        <v>508</v>
      </c>
      <c r="E21" s="260">
        <f t="shared" si="0"/>
        <v>286</v>
      </c>
      <c r="F21" s="259">
        <f t="shared" si="1"/>
        <v>1.2882882882882882</v>
      </c>
    </row>
    <row r="22" spans="1:6" ht="20.25" customHeight="1" x14ac:dyDescent="0.3">
      <c r="A22" s="256">
        <v>9</v>
      </c>
      <c r="B22" s="257" t="s">
        <v>447</v>
      </c>
      <c r="C22" s="260">
        <v>41</v>
      </c>
      <c r="D22" s="260">
        <v>98</v>
      </c>
      <c r="E22" s="260">
        <f t="shared" si="0"/>
        <v>57</v>
      </c>
      <c r="F22" s="259">
        <f t="shared" si="1"/>
        <v>1.3902439024390243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4226143</v>
      </c>
      <c r="D23" s="263">
        <f>+D14+D16</f>
        <v>11483592</v>
      </c>
      <c r="E23" s="263">
        <f t="shared" si="0"/>
        <v>7257449</v>
      </c>
      <c r="F23" s="264">
        <f t="shared" si="1"/>
        <v>1.7172748295549867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802914</v>
      </c>
      <c r="D24" s="263">
        <f>+D15+D17</f>
        <v>2234761</v>
      </c>
      <c r="E24" s="263">
        <f t="shared" si="0"/>
        <v>1431847</v>
      </c>
      <c r="F24" s="264">
        <f t="shared" si="1"/>
        <v>1.7833130322799204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61673</v>
      </c>
      <c r="D27" s="258">
        <v>0</v>
      </c>
      <c r="E27" s="258">
        <f t="shared" ref="E27:E37" si="2">D27-C27</f>
        <v>-61673</v>
      </c>
      <c r="F27" s="259">
        <f t="shared" ref="F27:F37" si="3">IF(C27=0,0,E27/C27)</f>
        <v>-1</v>
      </c>
    </row>
    <row r="28" spans="1:6" ht="20.25" customHeight="1" x14ac:dyDescent="0.3">
      <c r="A28" s="256">
        <v>2</v>
      </c>
      <c r="B28" s="257" t="s">
        <v>442</v>
      </c>
      <c r="C28" s="258">
        <v>13075</v>
      </c>
      <c r="D28" s="258">
        <v>0</v>
      </c>
      <c r="E28" s="258">
        <f t="shared" si="2"/>
        <v>-13075</v>
      </c>
      <c r="F28" s="259">
        <f t="shared" si="3"/>
        <v>-1</v>
      </c>
    </row>
    <row r="29" spans="1:6" ht="20.25" customHeight="1" x14ac:dyDescent="0.3">
      <c r="A29" s="256">
        <v>3</v>
      </c>
      <c r="B29" s="257" t="s">
        <v>443</v>
      </c>
      <c r="C29" s="258">
        <v>14812</v>
      </c>
      <c r="D29" s="258">
        <v>1180</v>
      </c>
      <c r="E29" s="258">
        <f t="shared" si="2"/>
        <v>-13632</v>
      </c>
      <c r="F29" s="259">
        <f t="shared" si="3"/>
        <v>-0.92033486362408856</v>
      </c>
    </row>
    <row r="30" spans="1:6" ht="20.25" customHeight="1" x14ac:dyDescent="0.3">
      <c r="A30" s="256">
        <v>4</v>
      </c>
      <c r="B30" s="257" t="s">
        <v>444</v>
      </c>
      <c r="C30" s="258">
        <v>2550</v>
      </c>
      <c r="D30" s="258">
        <v>196</v>
      </c>
      <c r="E30" s="258">
        <f t="shared" si="2"/>
        <v>-2354</v>
      </c>
      <c r="F30" s="259">
        <f t="shared" si="3"/>
        <v>-0.92313725490196075</v>
      </c>
    </row>
    <row r="31" spans="1:6" ht="20.25" customHeight="1" x14ac:dyDescent="0.3">
      <c r="A31" s="256">
        <v>5</v>
      </c>
      <c r="B31" s="257" t="s">
        <v>381</v>
      </c>
      <c r="C31" s="260">
        <v>1</v>
      </c>
      <c r="D31" s="260">
        <v>0</v>
      </c>
      <c r="E31" s="260">
        <f t="shared" si="2"/>
        <v>-1</v>
      </c>
      <c r="F31" s="259">
        <f t="shared" si="3"/>
        <v>-1</v>
      </c>
    </row>
    <row r="32" spans="1:6" ht="20.25" customHeight="1" x14ac:dyDescent="0.3">
      <c r="A32" s="256">
        <v>6</v>
      </c>
      <c r="B32" s="257" t="s">
        <v>380</v>
      </c>
      <c r="C32" s="260">
        <v>8</v>
      </c>
      <c r="D32" s="260">
        <v>0</v>
      </c>
      <c r="E32" s="260">
        <f t="shared" si="2"/>
        <v>-8</v>
      </c>
      <c r="F32" s="259">
        <f t="shared" si="3"/>
        <v>-1</v>
      </c>
    </row>
    <row r="33" spans="1:6" ht="20.25" customHeight="1" x14ac:dyDescent="0.3">
      <c r="A33" s="256">
        <v>7</v>
      </c>
      <c r="B33" s="257" t="s">
        <v>445</v>
      </c>
      <c r="C33" s="260">
        <v>11</v>
      </c>
      <c r="D33" s="260">
        <v>1</v>
      </c>
      <c r="E33" s="260">
        <f t="shared" si="2"/>
        <v>-10</v>
      </c>
      <c r="F33" s="259">
        <f t="shared" si="3"/>
        <v>-0.90909090909090906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1</v>
      </c>
      <c r="E34" s="260">
        <f t="shared" si="2"/>
        <v>1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76485</v>
      </c>
      <c r="D36" s="263">
        <f>+D27+D29</f>
        <v>1180</v>
      </c>
      <c r="E36" s="263">
        <f t="shared" si="2"/>
        <v>-75305</v>
      </c>
      <c r="F36" s="264">
        <f t="shared" si="3"/>
        <v>-0.98457213832777668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15625</v>
      </c>
      <c r="D37" s="263">
        <f>+D28+D30</f>
        <v>196</v>
      </c>
      <c r="E37" s="263">
        <f t="shared" si="2"/>
        <v>-15429</v>
      </c>
      <c r="F37" s="264">
        <f t="shared" si="3"/>
        <v>-0.987456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43939771</v>
      </c>
      <c r="D40" s="258">
        <v>44702320</v>
      </c>
      <c r="E40" s="258">
        <f t="shared" ref="E40:E50" si="4">D40-C40</f>
        <v>762549</v>
      </c>
      <c r="F40" s="259">
        <f t="shared" ref="F40:F50" si="5">IF(C40=0,0,E40/C40)</f>
        <v>1.7354414523462126E-2</v>
      </c>
    </row>
    <row r="41" spans="1:6" ht="20.25" customHeight="1" x14ac:dyDescent="0.3">
      <c r="A41" s="256">
        <v>2</v>
      </c>
      <c r="B41" s="257" t="s">
        <v>442</v>
      </c>
      <c r="C41" s="258">
        <v>9315496</v>
      </c>
      <c r="D41" s="258">
        <v>10276779</v>
      </c>
      <c r="E41" s="258">
        <f t="shared" si="4"/>
        <v>961283</v>
      </c>
      <c r="F41" s="259">
        <f t="shared" si="5"/>
        <v>0.1031918214553471</v>
      </c>
    </row>
    <row r="42" spans="1:6" ht="20.25" customHeight="1" x14ac:dyDescent="0.3">
      <c r="A42" s="256">
        <v>3</v>
      </c>
      <c r="B42" s="257" t="s">
        <v>443</v>
      </c>
      <c r="C42" s="258">
        <v>44794953</v>
      </c>
      <c r="D42" s="258">
        <v>49989825</v>
      </c>
      <c r="E42" s="258">
        <f t="shared" si="4"/>
        <v>5194872</v>
      </c>
      <c r="F42" s="259">
        <f t="shared" si="5"/>
        <v>0.11597002903429768</v>
      </c>
    </row>
    <row r="43" spans="1:6" ht="20.25" customHeight="1" x14ac:dyDescent="0.3">
      <c r="A43" s="256">
        <v>4</v>
      </c>
      <c r="B43" s="257" t="s">
        <v>444</v>
      </c>
      <c r="C43" s="258">
        <v>7712369</v>
      </c>
      <c r="D43" s="258">
        <v>8306632</v>
      </c>
      <c r="E43" s="258">
        <f t="shared" si="4"/>
        <v>594263</v>
      </c>
      <c r="F43" s="259">
        <f t="shared" si="5"/>
        <v>7.7053237468279856E-2</v>
      </c>
    </row>
    <row r="44" spans="1:6" ht="20.25" customHeight="1" x14ac:dyDescent="0.3">
      <c r="A44" s="256">
        <v>5</v>
      </c>
      <c r="B44" s="257" t="s">
        <v>381</v>
      </c>
      <c r="C44" s="260">
        <v>949</v>
      </c>
      <c r="D44" s="260">
        <v>998</v>
      </c>
      <c r="E44" s="260">
        <f t="shared" si="4"/>
        <v>49</v>
      </c>
      <c r="F44" s="259">
        <f t="shared" si="5"/>
        <v>5.1633298208640675E-2</v>
      </c>
    </row>
    <row r="45" spans="1:6" ht="20.25" customHeight="1" x14ac:dyDescent="0.3">
      <c r="A45" s="256">
        <v>6</v>
      </c>
      <c r="B45" s="257" t="s">
        <v>380</v>
      </c>
      <c r="C45" s="260">
        <v>4370</v>
      </c>
      <c r="D45" s="260">
        <v>4226</v>
      </c>
      <c r="E45" s="260">
        <f t="shared" si="4"/>
        <v>-144</v>
      </c>
      <c r="F45" s="259">
        <f t="shared" si="5"/>
        <v>-3.2951945080091534E-2</v>
      </c>
    </row>
    <row r="46" spans="1:6" ht="20.25" customHeight="1" x14ac:dyDescent="0.3">
      <c r="A46" s="256">
        <v>7</v>
      </c>
      <c r="B46" s="257" t="s">
        <v>445</v>
      </c>
      <c r="C46" s="260">
        <v>34762</v>
      </c>
      <c r="D46" s="260">
        <v>35437</v>
      </c>
      <c r="E46" s="260">
        <f t="shared" si="4"/>
        <v>675</v>
      </c>
      <c r="F46" s="259">
        <f t="shared" si="5"/>
        <v>1.9417755019849259E-2</v>
      </c>
    </row>
    <row r="47" spans="1:6" ht="20.25" customHeight="1" x14ac:dyDescent="0.3">
      <c r="A47" s="256">
        <v>8</v>
      </c>
      <c r="B47" s="257" t="s">
        <v>446</v>
      </c>
      <c r="C47" s="260">
        <v>2735</v>
      </c>
      <c r="D47" s="260">
        <v>2816</v>
      </c>
      <c r="E47" s="260">
        <f t="shared" si="4"/>
        <v>81</v>
      </c>
      <c r="F47" s="259">
        <f t="shared" si="5"/>
        <v>2.9616087751371114E-2</v>
      </c>
    </row>
    <row r="48" spans="1:6" ht="20.25" customHeight="1" x14ac:dyDescent="0.3">
      <c r="A48" s="256">
        <v>9</v>
      </c>
      <c r="B48" s="257" t="s">
        <v>447</v>
      </c>
      <c r="C48" s="260">
        <v>791</v>
      </c>
      <c r="D48" s="260">
        <v>812</v>
      </c>
      <c r="E48" s="260">
        <f t="shared" si="4"/>
        <v>21</v>
      </c>
      <c r="F48" s="259">
        <f t="shared" si="5"/>
        <v>2.6548672566371681E-2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88734724</v>
      </c>
      <c r="D49" s="263">
        <f>+D40+D42</f>
        <v>94692145</v>
      </c>
      <c r="E49" s="263">
        <f t="shared" si="4"/>
        <v>5957421</v>
      </c>
      <c r="F49" s="264">
        <f t="shared" si="5"/>
        <v>6.7137426381131252E-2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17027865</v>
      </c>
      <c r="D50" s="263">
        <f>+D41+D43</f>
        <v>18583411</v>
      </c>
      <c r="E50" s="263">
        <f t="shared" si="4"/>
        <v>1555546</v>
      </c>
      <c r="F50" s="264">
        <f t="shared" si="5"/>
        <v>9.135296762101415E-2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790</v>
      </c>
      <c r="D55" s="258">
        <v>0</v>
      </c>
      <c r="E55" s="258">
        <f t="shared" si="6"/>
        <v>-790</v>
      </c>
      <c r="F55" s="259">
        <f t="shared" si="7"/>
        <v>-1</v>
      </c>
    </row>
    <row r="56" spans="1:6" ht="20.25" customHeight="1" x14ac:dyDescent="0.3">
      <c r="A56" s="256">
        <v>4</v>
      </c>
      <c r="B56" s="257" t="s">
        <v>444</v>
      </c>
      <c r="C56" s="258">
        <v>136</v>
      </c>
      <c r="D56" s="258">
        <v>0</v>
      </c>
      <c r="E56" s="258">
        <f t="shared" si="6"/>
        <v>-136</v>
      </c>
      <c r="F56" s="259">
        <f t="shared" si="7"/>
        <v>-1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1</v>
      </c>
      <c r="D59" s="260">
        <v>0</v>
      </c>
      <c r="E59" s="260">
        <f t="shared" si="6"/>
        <v>-1</v>
      </c>
      <c r="F59" s="259">
        <f t="shared" si="7"/>
        <v>-1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790</v>
      </c>
      <c r="D62" s="263">
        <f>+D53+D55</f>
        <v>0</v>
      </c>
      <c r="E62" s="263">
        <f t="shared" si="6"/>
        <v>-790</v>
      </c>
      <c r="F62" s="264">
        <f t="shared" si="7"/>
        <v>-1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136</v>
      </c>
      <c r="D63" s="263">
        <f>+D54+D56</f>
        <v>0</v>
      </c>
      <c r="E63" s="263">
        <f t="shared" si="6"/>
        <v>-136</v>
      </c>
      <c r="F63" s="264">
        <f t="shared" si="7"/>
        <v>-1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6277437</v>
      </c>
      <c r="D66" s="258">
        <v>4615692</v>
      </c>
      <c r="E66" s="258">
        <f t="shared" ref="E66:E76" si="8">D66-C66</f>
        <v>-1661745</v>
      </c>
      <c r="F66" s="259">
        <f t="shared" ref="F66:F76" si="9">IF(C66=0,0,E66/C66)</f>
        <v>-0.26471711305107481</v>
      </c>
    </row>
    <row r="67" spans="1:6" ht="20.25" customHeight="1" x14ac:dyDescent="0.3">
      <c r="A67" s="256">
        <v>2</v>
      </c>
      <c r="B67" s="257" t="s">
        <v>442</v>
      </c>
      <c r="C67" s="258">
        <v>1330854</v>
      </c>
      <c r="D67" s="258">
        <v>1061118</v>
      </c>
      <c r="E67" s="258">
        <f t="shared" si="8"/>
        <v>-269736</v>
      </c>
      <c r="F67" s="259">
        <f t="shared" si="9"/>
        <v>-0.20267888137992598</v>
      </c>
    </row>
    <row r="68" spans="1:6" ht="20.25" customHeight="1" x14ac:dyDescent="0.3">
      <c r="A68" s="256">
        <v>3</v>
      </c>
      <c r="B68" s="257" t="s">
        <v>443</v>
      </c>
      <c r="C68" s="258">
        <v>4820817</v>
      </c>
      <c r="D68" s="258">
        <v>5436812</v>
      </c>
      <c r="E68" s="258">
        <f t="shared" si="8"/>
        <v>615995</v>
      </c>
      <c r="F68" s="259">
        <f t="shared" si="9"/>
        <v>0.12777813387232911</v>
      </c>
    </row>
    <row r="69" spans="1:6" ht="20.25" customHeight="1" x14ac:dyDescent="0.3">
      <c r="A69" s="256">
        <v>4</v>
      </c>
      <c r="B69" s="257" t="s">
        <v>444</v>
      </c>
      <c r="C69" s="258">
        <v>830003</v>
      </c>
      <c r="D69" s="258">
        <v>903416</v>
      </c>
      <c r="E69" s="258">
        <f t="shared" si="8"/>
        <v>73413</v>
      </c>
      <c r="F69" s="259">
        <f t="shared" si="9"/>
        <v>8.844907789489917E-2</v>
      </c>
    </row>
    <row r="70" spans="1:6" ht="20.25" customHeight="1" x14ac:dyDescent="0.3">
      <c r="A70" s="256">
        <v>5</v>
      </c>
      <c r="B70" s="257" t="s">
        <v>381</v>
      </c>
      <c r="C70" s="260">
        <v>113</v>
      </c>
      <c r="D70" s="260">
        <v>58</v>
      </c>
      <c r="E70" s="260">
        <f t="shared" si="8"/>
        <v>-55</v>
      </c>
      <c r="F70" s="259">
        <f t="shared" si="9"/>
        <v>-0.48672566371681414</v>
      </c>
    </row>
    <row r="71" spans="1:6" ht="20.25" customHeight="1" x14ac:dyDescent="0.3">
      <c r="A71" s="256">
        <v>6</v>
      </c>
      <c r="B71" s="257" t="s">
        <v>380</v>
      </c>
      <c r="C71" s="260">
        <v>512</v>
      </c>
      <c r="D71" s="260">
        <v>279</v>
      </c>
      <c r="E71" s="260">
        <f t="shared" si="8"/>
        <v>-233</v>
      </c>
      <c r="F71" s="259">
        <f t="shared" si="9"/>
        <v>-0.455078125</v>
      </c>
    </row>
    <row r="72" spans="1:6" ht="20.25" customHeight="1" x14ac:dyDescent="0.3">
      <c r="A72" s="256">
        <v>7</v>
      </c>
      <c r="B72" s="257" t="s">
        <v>445</v>
      </c>
      <c r="C72" s="260">
        <v>3742</v>
      </c>
      <c r="D72" s="260">
        <v>3854</v>
      </c>
      <c r="E72" s="260">
        <f t="shared" si="8"/>
        <v>112</v>
      </c>
      <c r="F72" s="259">
        <f t="shared" si="9"/>
        <v>2.9930518439337254E-2</v>
      </c>
    </row>
    <row r="73" spans="1:6" ht="20.25" customHeight="1" x14ac:dyDescent="0.3">
      <c r="A73" s="256">
        <v>8</v>
      </c>
      <c r="B73" s="257" t="s">
        <v>446</v>
      </c>
      <c r="C73" s="260">
        <v>1035</v>
      </c>
      <c r="D73" s="260">
        <v>510</v>
      </c>
      <c r="E73" s="260">
        <f t="shared" si="8"/>
        <v>-525</v>
      </c>
      <c r="F73" s="259">
        <f t="shared" si="9"/>
        <v>-0.50724637681159424</v>
      </c>
    </row>
    <row r="74" spans="1:6" ht="20.25" customHeight="1" x14ac:dyDescent="0.3">
      <c r="A74" s="256">
        <v>9</v>
      </c>
      <c r="B74" s="257" t="s">
        <v>447</v>
      </c>
      <c r="C74" s="260">
        <v>340</v>
      </c>
      <c r="D74" s="260">
        <v>47</v>
      </c>
      <c r="E74" s="260">
        <f t="shared" si="8"/>
        <v>-293</v>
      </c>
      <c r="F74" s="259">
        <f t="shared" si="9"/>
        <v>-0.86176470588235299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11098254</v>
      </c>
      <c r="D75" s="263">
        <f>+D66+D68</f>
        <v>10052504</v>
      </c>
      <c r="E75" s="263">
        <f t="shared" si="8"/>
        <v>-1045750</v>
      </c>
      <c r="F75" s="264">
        <f t="shared" si="9"/>
        <v>-9.4226533290732037E-2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2160857</v>
      </c>
      <c r="D76" s="263">
        <f>+D67+D69</f>
        <v>1964534</v>
      </c>
      <c r="E76" s="263">
        <f t="shared" si="8"/>
        <v>-196323</v>
      </c>
      <c r="F76" s="264">
        <f t="shared" si="9"/>
        <v>-9.0854230520575868E-2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8760</v>
      </c>
      <c r="D81" s="258">
        <v>23259</v>
      </c>
      <c r="E81" s="258">
        <f t="shared" si="10"/>
        <v>14499</v>
      </c>
      <c r="F81" s="259">
        <f t="shared" si="11"/>
        <v>1.6551369863013699</v>
      </c>
    </row>
    <row r="82" spans="1:6" ht="20.25" customHeight="1" x14ac:dyDescent="0.3">
      <c r="A82" s="256">
        <v>4</v>
      </c>
      <c r="B82" s="257" t="s">
        <v>444</v>
      </c>
      <c r="C82" s="258">
        <v>1508</v>
      </c>
      <c r="D82" s="258">
        <v>3865</v>
      </c>
      <c r="E82" s="258">
        <f t="shared" si="10"/>
        <v>2357</v>
      </c>
      <c r="F82" s="259">
        <f t="shared" si="11"/>
        <v>1.562997347480106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7</v>
      </c>
      <c r="D85" s="260">
        <v>16</v>
      </c>
      <c r="E85" s="260">
        <f t="shared" si="10"/>
        <v>9</v>
      </c>
      <c r="F85" s="259">
        <f t="shared" si="11"/>
        <v>1.2857142857142858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8760</v>
      </c>
      <c r="D88" s="263">
        <f>+D79+D81</f>
        <v>23259</v>
      </c>
      <c r="E88" s="263">
        <f t="shared" si="10"/>
        <v>14499</v>
      </c>
      <c r="F88" s="264">
        <f t="shared" si="11"/>
        <v>1.6551369863013699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1508</v>
      </c>
      <c r="D89" s="263">
        <f>+D80+D82</f>
        <v>3865</v>
      </c>
      <c r="E89" s="263">
        <f t="shared" si="10"/>
        <v>2357</v>
      </c>
      <c r="F89" s="264">
        <f t="shared" si="11"/>
        <v>1.562997347480106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9373212</v>
      </c>
      <c r="D92" s="258">
        <v>14763904</v>
      </c>
      <c r="E92" s="258">
        <f t="shared" ref="E92:E102" si="12">D92-C92</f>
        <v>5390692</v>
      </c>
      <c r="F92" s="259">
        <f t="shared" ref="F92:F102" si="13">IF(C92=0,0,E92/C92)</f>
        <v>0.5751168329490467</v>
      </c>
    </row>
    <row r="93" spans="1:6" ht="20.25" customHeight="1" x14ac:dyDescent="0.3">
      <c r="A93" s="256">
        <v>2</v>
      </c>
      <c r="B93" s="257" t="s">
        <v>442</v>
      </c>
      <c r="C93" s="258">
        <v>1987177</v>
      </c>
      <c r="D93" s="258">
        <v>3394128</v>
      </c>
      <c r="E93" s="258">
        <f t="shared" si="12"/>
        <v>1406951</v>
      </c>
      <c r="F93" s="259">
        <f t="shared" si="13"/>
        <v>0.70801493777353497</v>
      </c>
    </row>
    <row r="94" spans="1:6" ht="20.25" customHeight="1" x14ac:dyDescent="0.3">
      <c r="A94" s="256">
        <v>3</v>
      </c>
      <c r="B94" s="257" t="s">
        <v>443</v>
      </c>
      <c r="C94" s="258">
        <v>5353921</v>
      </c>
      <c r="D94" s="258">
        <v>13655106</v>
      </c>
      <c r="E94" s="258">
        <f t="shared" si="12"/>
        <v>8301185</v>
      </c>
      <c r="F94" s="259">
        <f t="shared" si="13"/>
        <v>1.5504870168984564</v>
      </c>
    </row>
    <row r="95" spans="1:6" ht="20.25" customHeight="1" x14ac:dyDescent="0.3">
      <c r="A95" s="256">
        <v>4</v>
      </c>
      <c r="B95" s="257" t="s">
        <v>444</v>
      </c>
      <c r="C95" s="258">
        <v>921787</v>
      </c>
      <c r="D95" s="258">
        <v>2269021</v>
      </c>
      <c r="E95" s="258">
        <f t="shared" si="12"/>
        <v>1347234</v>
      </c>
      <c r="F95" s="259">
        <f t="shared" si="13"/>
        <v>1.4615458885838051</v>
      </c>
    </row>
    <row r="96" spans="1:6" ht="20.25" customHeight="1" x14ac:dyDescent="0.3">
      <c r="A96" s="256">
        <v>5</v>
      </c>
      <c r="B96" s="257" t="s">
        <v>381</v>
      </c>
      <c r="C96" s="260">
        <v>174</v>
      </c>
      <c r="D96" s="260">
        <v>277</v>
      </c>
      <c r="E96" s="260">
        <f t="shared" si="12"/>
        <v>103</v>
      </c>
      <c r="F96" s="259">
        <f t="shared" si="13"/>
        <v>0.59195402298850575</v>
      </c>
    </row>
    <row r="97" spans="1:6" ht="20.25" customHeight="1" x14ac:dyDescent="0.3">
      <c r="A97" s="256">
        <v>6</v>
      </c>
      <c r="B97" s="257" t="s">
        <v>380</v>
      </c>
      <c r="C97" s="260">
        <v>1019</v>
      </c>
      <c r="D97" s="260">
        <v>1358</v>
      </c>
      <c r="E97" s="260">
        <f t="shared" si="12"/>
        <v>339</v>
      </c>
      <c r="F97" s="259">
        <f t="shared" si="13"/>
        <v>0.33267909715407262</v>
      </c>
    </row>
    <row r="98" spans="1:6" ht="20.25" customHeight="1" x14ac:dyDescent="0.3">
      <c r="A98" s="256">
        <v>7</v>
      </c>
      <c r="B98" s="257" t="s">
        <v>445</v>
      </c>
      <c r="C98" s="260">
        <v>4155</v>
      </c>
      <c r="D98" s="260">
        <v>9680</v>
      </c>
      <c r="E98" s="260">
        <f t="shared" si="12"/>
        <v>5525</v>
      </c>
      <c r="F98" s="259">
        <f t="shared" si="13"/>
        <v>1.3297232250300843</v>
      </c>
    </row>
    <row r="99" spans="1:6" ht="20.25" customHeight="1" x14ac:dyDescent="0.3">
      <c r="A99" s="256">
        <v>8</v>
      </c>
      <c r="B99" s="257" t="s">
        <v>446</v>
      </c>
      <c r="C99" s="260">
        <v>267</v>
      </c>
      <c r="D99" s="260">
        <v>1060</v>
      </c>
      <c r="E99" s="260">
        <f t="shared" si="12"/>
        <v>793</v>
      </c>
      <c r="F99" s="259">
        <f t="shared" si="13"/>
        <v>2.9700374531835205</v>
      </c>
    </row>
    <row r="100" spans="1:6" ht="20.25" customHeight="1" x14ac:dyDescent="0.3">
      <c r="A100" s="256">
        <v>9</v>
      </c>
      <c r="B100" s="257" t="s">
        <v>447</v>
      </c>
      <c r="C100" s="260">
        <v>20</v>
      </c>
      <c r="D100" s="260">
        <v>247</v>
      </c>
      <c r="E100" s="260">
        <f t="shared" si="12"/>
        <v>227</v>
      </c>
      <c r="F100" s="259">
        <f t="shared" si="13"/>
        <v>11.35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14727133</v>
      </c>
      <c r="D101" s="263">
        <f>+D92+D94</f>
        <v>28419010</v>
      </c>
      <c r="E101" s="263">
        <f t="shared" si="12"/>
        <v>13691877</v>
      </c>
      <c r="F101" s="264">
        <f t="shared" si="13"/>
        <v>0.92970417256366189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2908964</v>
      </c>
      <c r="D102" s="263">
        <f>+D93+D95</f>
        <v>5663149</v>
      </c>
      <c r="E102" s="263">
        <f t="shared" si="12"/>
        <v>2754185</v>
      </c>
      <c r="F102" s="264">
        <f t="shared" si="13"/>
        <v>0.94679239756834388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372761</v>
      </c>
      <c r="D105" s="258">
        <v>479091</v>
      </c>
      <c r="E105" s="258">
        <f t="shared" ref="E105:E115" si="14">D105-C105</f>
        <v>106330</v>
      </c>
      <c r="F105" s="259">
        <f t="shared" ref="F105:F115" si="15">IF(C105=0,0,E105/C105)</f>
        <v>0.28524979812802304</v>
      </c>
    </row>
    <row r="106" spans="1:6" ht="20.25" customHeight="1" x14ac:dyDescent="0.3">
      <c r="A106" s="256">
        <v>2</v>
      </c>
      <c r="B106" s="257" t="s">
        <v>442</v>
      </c>
      <c r="C106" s="258">
        <v>79028</v>
      </c>
      <c r="D106" s="258">
        <v>110140</v>
      </c>
      <c r="E106" s="258">
        <f t="shared" si="14"/>
        <v>31112</v>
      </c>
      <c r="F106" s="259">
        <f t="shared" si="15"/>
        <v>0.39368325150579542</v>
      </c>
    </row>
    <row r="107" spans="1:6" ht="20.25" customHeight="1" x14ac:dyDescent="0.3">
      <c r="A107" s="256">
        <v>3</v>
      </c>
      <c r="B107" s="257" t="s">
        <v>443</v>
      </c>
      <c r="C107" s="258">
        <v>264795</v>
      </c>
      <c r="D107" s="258">
        <v>255688</v>
      </c>
      <c r="E107" s="258">
        <f t="shared" si="14"/>
        <v>-9107</v>
      </c>
      <c r="F107" s="259">
        <f t="shared" si="15"/>
        <v>-3.4392643365622463E-2</v>
      </c>
    </row>
    <row r="108" spans="1:6" ht="20.25" customHeight="1" x14ac:dyDescent="0.3">
      <c r="A108" s="256">
        <v>4</v>
      </c>
      <c r="B108" s="257" t="s">
        <v>444</v>
      </c>
      <c r="C108" s="258">
        <v>45590</v>
      </c>
      <c r="D108" s="258">
        <v>42487</v>
      </c>
      <c r="E108" s="258">
        <f t="shared" si="14"/>
        <v>-3103</v>
      </c>
      <c r="F108" s="259">
        <f t="shared" si="15"/>
        <v>-6.806317174819039E-2</v>
      </c>
    </row>
    <row r="109" spans="1:6" ht="20.25" customHeight="1" x14ac:dyDescent="0.3">
      <c r="A109" s="256">
        <v>5</v>
      </c>
      <c r="B109" s="257" t="s">
        <v>381</v>
      </c>
      <c r="C109" s="260">
        <v>8</v>
      </c>
      <c r="D109" s="260">
        <v>9</v>
      </c>
      <c r="E109" s="260">
        <f t="shared" si="14"/>
        <v>1</v>
      </c>
      <c r="F109" s="259">
        <f t="shared" si="15"/>
        <v>0.125</v>
      </c>
    </row>
    <row r="110" spans="1:6" ht="20.25" customHeight="1" x14ac:dyDescent="0.3">
      <c r="A110" s="256">
        <v>6</v>
      </c>
      <c r="B110" s="257" t="s">
        <v>380</v>
      </c>
      <c r="C110" s="260">
        <v>31</v>
      </c>
      <c r="D110" s="260">
        <v>56</v>
      </c>
      <c r="E110" s="260">
        <f t="shared" si="14"/>
        <v>25</v>
      </c>
      <c r="F110" s="259">
        <f t="shared" si="15"/>
        <v>0.80645161290322576</v>
      </c>
    </row>
    <row r="111" spans="1:6" ht="20.25" customHeight="1" x14ac:dyDescent="0.3">
      <c r="A111" s="256">
        <v>7</v>
      </c>
      <c r="B111" s="257" t="s">
        <v>445</v>
      </c>
      <c r="C111" s="260">
        <v>205</v>
      </c>
      <c r="D111" s="260">
        <v>181</v>
      </c>
      <c r="E111" s="260">
        <f t="shared" si="14"/>
        <v>-24</v>
      </c>
      <c r="F111" s="259">
        <f t="shared" si="15"/>
        <v>-0.11707317073170732</v>
      </c>
    </row>
    <row r="112" spans="1:6" ht="20.25" customHeight="1" x14ac:dyDescent="0.3">
      <c r="A112" s="256">
        <v>8</v>
      </c>
      <c r="B112" s="257" t="s">
        <v>446</v>
      </c>
      <c r="C112" s="260">
        <v>6</v>
      </c>
      <c r="D112" s="260">
        <v>41</v>
      </c>
      <c r="E112" s="260">
        <f t="shared" si="14"/>
        <v>35</v>
      </c>
      <c r="F112" s="259">
        <f t="shared" si="15"/>
        <v>5.833333333333333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8</v>
      </c>
      <c r="E113" s="260">
        <f t="shared" si="14"/>
        <v>8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637556</v>
      </c>
      <c r="D114" s="263">
        <f>+D105+D107</f>
        <v>734779</v>
      </c>
      <c r="E114" s="263">
        <f t="shared" si="14"/>
        <v>97223</v>
      </c>
      <c r="F114" s="264">
        <f t="shared" si="15"/>
        <v>0.15249327117931602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124618</v>
      </c>
      <c r="D115" s="263">
        <f>+D106+D108</f>
        <v>152627</v>
      </c>
      <c r="E115" s="263">
        <f t="shared" si="14"/>
        <v>28009</v>
      </c>
      <c r="F115" s="264">
        <f t="shared" si="15"/>
        <v>0.22475886308558957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3810466</v>
      </c>
      <c r="D118" s="258">
        <v>3185214</v>
      </c>
      <c r="E118" s="258">
        <f t="shared" ref="E118:E128" si="16">D118-C118</f>
        <v>-625252</v>
      </c>
      <c r="F118" s="259">
        <f t="shared" ref="F118:F128" si="17">IF(C118=0,0,E118/C118)</f>
        <v>-0.16408806691884931</v>
      </c>
    </row>
    <row r="119" spans="1:6" ht="20.25" customHeight="1" x14ac:dyDescent="0.3">
      <c r="A119" s="256">
        <v>2</v>
      </c>
      <c r="B119" s="257" t="s">
        <v>442</v>
      </c>
      <c r="C119" s="258">
        <v>807842</v>
      </c>
      <c r="D119" s="258">
        <v>732260</v>
      </c>
      <c r="E119" s="258">
        <f t="shared" si="16"/>
        <v>-75582</v>
      </c>
      <c r="F119" s="259">
        <f t="shared" si="17"/>
        <v>-9.3560374429653329E-2</v>
      </c>
    </row>
    <row r="120" spans="1:6" ht="20.25" customHeight="1" x14ac:dyDescent="0.3">
      <c r="A120" s="256">
        <v>3</v>
      </c>
      <c r="B120" s="257" t="s">
        <v>443</v>
      </c>
      <c r="C120" s="258">
        <v>4178182</v>
      </c>
      <c r="D120" s="258">
        <v>4050397</v>
      </c>
      <c r="E120" s="258">
        <f t="shared" si="16"/>
        <v>-127785</v>
      </c>
      <c r="F120" s="259">
        <f t="shared" si="17"/>
        <v>-3.0583875953704268E-2</v>
      </c>
    </row>
    <row r="121" spans="1:6" ht="20.25" customHeight="1" x14ac:dyDescent="0.3">
      <c r="A121" s="256">
        <v>4</v>
      </c>
      <c r="B121" s="257" t="s">
        <v>444</v>
      </c>
      <c r="C121" s="258">
        <v>719360</v>
      </c>
      <c r="D121" s="258">
        <v>673040</v>
      </c>
      <c r="E121" s="258">
        <f t="shared" si="16"/>
        <v>-46320</v>
      </c>
      <c r="F121" s="259">
        <f t="shared" si="17"/>
        <v>-6.4390569395017791E-2</v>
      </c>
    </row>
    <row r="122" spans="1:6" ht="20.25" customHeight="1" x14ac:dyDescent="0.3">
      <c r="A122" s="256">
        <v>5</v>
      </c>
      <c r="B122" s="257" t="s">
        <v>381</v>
      </c>
      <c r="C122" s="260">
        <v>92</v>
      </c>
      <c r="D122" s="260">
        <v>75</v>
      </c>
      <c r="E122" s="260">
        <f t="shared" si="16"/>
        <v>-17</v>
      </c>
      <c r="F122" s="259">
        <f t="shared" si="17"/>
        <v>-0.18478260869565216</v>
      </c>
    </row>
    <row r="123" spans="1:6" ht="20.25" customHeight="1" x14ac:dyDescent="0.3">
      <c r="A123" s="256">
        <v>6</v>
      </c>
      <c r="B123" s="257" t="s">
        <v>380</v>
      </c>
      <c r="C123" s="260">
        <v>388</v>
      </c>
      <c r="D123" s="260">
        <v>324</v>
      </c>
      <c r="E123" s="260">
        <f t="shared" si="16"/>
        <v>-64</v>
      </c>
      <c r="F123" s="259">
        <f t="shared" si="17"/>
        <v>-0.16494845360824742</v>
      </c>
    </row>
    <row r="124" spans="1:6" ht="20.25" customHeight="1" x14ac:dyDescent="0.3">
      <c r="A124" s="256">
        <v>7</v>
      </c>
      <c r="B124" s="257" t="s">
        <v>445</v>
      </c>
      <c r="C124" s="260">
        <v>3242</v>
      </c>
      <c r="D124" s="260">
        <v>2871</v>
      </c>
      <c r="E124" s="260">
        <f t="shared" si="16"/>
        <v>-371</v>
      </c>
      <c r="F124" s="259">
        <f t="shared" si="17"/>
        <v>-0.11443553362122147</v>
      </c>
    </row>
    <row r="125" spans="1:6" ht="20.25" customHeight="1" x14ac:dyDescent="0.3">
      <c r="A125" s="256">
        <v>8</v>
      </c>
      <c r="B125" s="257" t="s">
        <v>446</v>
      </c>
      <c r="C125" s="260">
        <v>75</v>
      </c>
      <c r="D125" s="260">
        <v>43</v>
      </c>
      <c r="E125" s="260">
        <f t="shared" si="16"/>
        <v>-32</v>
      </c>
      <c r="F125" s="259">
        <f t="shared" si="17"/>
        <v>-0.42666666666666669</v>
      </c>
    </row>
    <row r="126" spans="1:6" ht="20.25" customHeight="1" x14ac:dyDescent="0.3">
      <c r="A126" s="256">
        <v>9</v>
      </c>
      <c r="B126" s="257" t="s">
        <v>447</v>
      </c>
      <c r="C126" s="260">
        <v>6</v>
      </c>
      <c r="D126" s="260">
        <v>65</v>
      </c>
      <c r="E126" s="260">
        <f t="shared" si="16"/>
        <v>59</v>
      </c>
      <c r="F126" s="259">
        <f t="shared" si="17"/>
        <v>9.8333333333333339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7988648</v>
      </c>
      <c r="D127" s="263">
        <f>+D118+D120</f>
        <v>7235611</v>
      </c>
      <c r="E127" s="263">
        <f t="shared" si="16"/>
        <v>-753037</v>
      </c>
      <c r="F127" s="264">
        <f t="shared" si="17"/>
        <v>-9.4263384742950249E-2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1527202</v>
      </c>
      <c r="D128" s="263">
        <f>+D119+D121</f>
        <v>1405300</v>
      </c>
      <c r="E128" s="263">
        <f t="shared" si="16"/>
        <v>-121902</v>
      </c>
      <c r="F128" s="264">
        <f t="shared" si="17"/>
        <v>-7.982048216280492E-2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812168</v>
      </c>
      <c r="D131" s="258">
        <v>326374</v>
      </c>
      <c r="E131" s="258">
        <f t="shared" ref="E131:E141" si="18">D131-C131</f>
        <v>-485794</v>
      </c>
      <c r="F131" s="259">
        <f t="shared" ref="F131:F141" si="19">IF(C131=0,0,E131/C131)</f>
        <v>-0.59814471882664666</v>
      </c>
    </row>
    <row r="132" spans="1:6" ht="20.25" customHeight="1" x14ac:dyDescent="0.3">
      <c r="A132" s="256">
        <v>2</v>
      </c>
      <c r="B132" s="257" t="s">
        <v>442</v>
      </c>
      <c r="C132" s="258">
        <v>172185</v>
      </c>
      <c r="D132" s="258">
        <v>75031</v>
      </c>
      <c r="E132" s="258">
        <f t="shared" si="18"/>
        <v>-97154</v>
      </c>
      <c r="F132" s="259">
        <f t="shared" si="19"/>
        <v>-0.56424194906641112</v>
      </c>
    </row>
    <row r="133" spans="1:6" ht="20.25" customHeight="1" x14ac:dyDescent="0.3">
      <c r="A133" s="256">
        <v>3</v>
      </c>
      <c r="B133" s="257" t="s">
        <v>443</v>
      </c>
      <c r="C133" s="258">
        <v>445128</v>
      </c>
      <c r="D133" s="258">
        <v>311382</v>
      </c>
      <c r="E133" s="258">
        <f t="shared" si="18"/>
        <v>-133746</v>
      </c>
      <c r="F133" s="259">
        <f t="shared" si="19"/>
        <v>-0.30046638270340215</v>
      </c>
    </row>
    <row r="134" spans="1:6" ht="20.25" customHeight="1" x14ac:dyDescent="0.3">
      <c r="A134" s="256">
        <v>4</v>
      </c>
      <c r="B134" s="257" t="s">
        <v>444</v>
      </c>
      <c r="C134" s="258">
        <v>76638</v>
      </c>
      <c r="D134" s="258">
        <v>51741</v>
      </c>
      <c r="E134" s="258">
        <f t="shared" si="18"/>
        <v>-24897</v>
      </c>
      <c r="F134" s="259">
        <f t="shared" si="19"/>
        <v>-0.3248649495028576</v>
      </c>
    </row>
    <row r="135" spans="1:6" ht="20.25" customHeight="1" x14ac:dyDescent="0.3">
      <c r="A135" s="256">
        <v>5</v>
      </c>
      <c r="B135" s="257" t="s">
        <v>381</v>
      </c>
      <c r="C135" s="260">
        <v>20</v>
      </c>
      <c r="D135" s="260">
        <v>7</v>
      </c>
      <c r="E135" s="260">
        <f t="shared" si="18"/>
        <v>-13</v>
      </c>
      <c r="F135" s="259">
        <f t="shared" si="19"/>
        <v>-0.65</v>
      </c>
    </row>
    <row r="136" spans="1:6" ht="20.25" customHeight="1" x14ac:dyDescent="0.3">
      <c r="A136" s="256">
        <v>6</v>
      </c>
      <c r="B136" s="257" t="s">
        <v>380</v>
      </c>
      <c r="C136" s="260">
        <v>88</v>
      </c>
      <c r="D136" s="260">
        <v>39</v>
      </c>
      <c r="E136" s="260">
        <f t="shared" si="18"/>
        <v>-49</v>
      </c>
      <c r="F136" s="259">
        <f t="shared" si="19"/>
        <v>-0.55681818181818177</v>
      </c>
    </row>
    <row r="137" spans="1:6" ht="20.25" customHeight="1" x14ac:dyDescent="0.3">
      <c r="A137" s="256">
        <v>7</v>
      </c>
      <c r="B137" s="257" t="s">
        <v>445</v>
      </c>
      <c r="C137" s="260">
        <v>345</v>
      </c>
      <c r="D137" s="260">
        <v>221</v>
      </c>
      <c r="E137" s="260">
        <f t="shared" si="18"/>
        <v>-124</v>
      </c>
      <c r="F137" s="259">
        <f t="shared" si="19"/>
        <v>-0.35942028985507246</v>
      </c>
    </row>
    <row r="138" spans="1:6" ht="20.25" customHeight="1" x14ac:dyDescent="0.3">
      <c r="A138" s="256">
        <v>8</v>
      </c>
      <c r="B138" s="257" t="s">
        <v>446</v>
      </c>
      <c r="C138" s="260">
        <v>6</v>
      </c>
      <c r="D138" s="260">
        <v>51</v>
      </c>
      <c r="E138" s="260">
        <f t="shared" si="18"/>
        <v>45</v>
      </c>
      <c r="F138" s="259">
        <f t="shared" si="19"/>
        <v>7.5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6</v>
      </c>
      <c r="E139" s="260">
        <f t="shared" si="18"/>
        <v>6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1257296</v>
      </c>
      <c r="D140" s="263">
        <f>+D131+D133</f>
        <v>637756</v>
      </c>
      <c r="E140" s="263">
        <f t="shared" si="18"/>
        <v>-619540</v>
      </c>
      <c r="F140" s="264">
        <f t="shared" si="19"/>
        <v>-0.49275588246522695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248823</v>
      </c>
      <c r="D141" s="263">
        <f>+D132+D134</f>
        <v>126772</v>
      </c>
      <c r="E141" s="263">
        <f t="shared" si="18"/>
        <v>-122051</v>
      </c>
      <c r="F141" s="264">
        <f t="shared" si="19"/>
        <v>-0.49051333678960546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885</v>
      </c>
      <c r="E146" s="258">
        <f t="shared" si="20"/>
        <v>885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147</v>
      </c>
      <c r="E147" s="258">
        <f t="shared" si="20"/>
        <v>147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1</v>
      </c>
      <c r="E150" s="260">
        <f t="shared" si="20"/>
        <v>1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885</v>
      </c>
      <c r="E153" s="263">
        <f t="shared" si="20"/>
        <v>885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147</v>
      </c>
      <c r="E154" s="263">
        <f t="shared" si="20"/>
        <v>147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66537673</v>
      </c>
      <c r="D198" s="263">
        <f t="shared" si="28"/>
        <v>73197147</v>
      </c>
      <c r="E198" s="263">
        <f t="shared" ref="E198:E208" si="29">D198-C198</f>
        <v>6659474</v>
      </c>
      <c r="F198" s="273">
        <f t="shared" ref="F198:F208" si="30">IF(C198=0,0,E198/C198)</f>
        <v>0.10008576644993281</v>
      </c>
    </row>
    <row r="199" spans="1:9" ht="20.25" customHeight="1" x14ac:dyDescent="0.3">
      <c r="A199" s="271"/>
      <c r="B199" s="272" t="s">
        <v>466</v>
      </c>
      <c r="C199" s="263">
        <f t="shared" si="28"/>
        <v>14106388</v>
      </c>
      <c r="D199" s="263">
        <f t="shared" si="28"/>
        <v>16827558</v>
      </c>
      <c r="E199" s="263">
        <f t="shared" si="29"/>
        <v>2721170</v>
      </c>
      <c r="F199" s="273">
        <f t="shared" si="30"/>
        <v>0.19290338533152498</v>
      </c>
    </row>
    <row r="200" spans="1:9" ht="20.25" customHeight="1" x14ac:dyDescent="0.3">
      <c r="A200" s="271"/>
      <c r="B200" s="272" t="s">
        <v>467</v>
      </c>
      <c r="C200" s="263">
        <f t="shared" si="28"/>
        <v>62218116</v>
      </c>
      <c r="D200" s="263">
        <f t="shared" si="28"/>
        <v>80083574</v>
      </c>
      <c r="E200" s="263">
        <f t="shared" si="29"/>
        <v>17865458</v>
      </c>
      <c r="F200" s="273">
        <f t="shared" si="30"/>
        <v>0.28714238148901838</v>
      </c>
    </row>
    <row r="201" spans="1:9" ht="20.25" customHeight="1" x14ac:dyDescent="0.3">
      <c r="A201" s="271"/>
      <c r="B201" s="272" t="s">
        <v>468</v>
      </c>
      <c r="C201" s="263">
        <f t="shared" si="28"/>
        <v>10712124</v>
      </c>
      <c r="D201" s="263">
        <f t="shared" si="28"/>
        <v>13307204</v>
      </c>
      <c r="E201" s="263">
        <f t="shared" si="29"/>
        <v>2595080</v>
      </c>
      <c r="F201" s="273">
        <f t="shared" si="30"/>
        <v>0.24225634430669399</v>
      </c>
    </row>
    <row r="202" spans="1:9" ht="20.25" customHeight="1" x14ac:dyDescent="0.3">
      <c r="A202" s="271"/>
      <c r="B202" s="272" t="s">
        <v>138</v>
      </c>
      <c r="C202" s="274">
        <f t="shared" si="28"/>
        <v>1402</v>
      </c>
      <c r="D202" s="274">
        <f t="shared" si="28"/>
        <v>1532</v>
      </c>
      <c r="E202" s="274">
        <f t="shared" si="29"/>
        <v>130</v>
      </c>
      <c r="F202" s="273">
        <f t="shared" si="30"/>
        <v>9.2724679029957208E-2</v>
      </c>
    </row>
    <row r="203" spans="1:9" ht="20.25" customHeight="1" x14ac:dyDescent="0.3">
      <c r="A203" s="271"/>
      <c r="B203" s="272" t="s">
        <v>140</v>
      </c>
      <c r="C203" s="274">
        <f t="shared" si="28"/>
        <v>6607</v>
      </c>
      <c r="D203" s="274">
        <f t="shared" si="28"/>
        <v>6819</v>
      </c>
      <c r="E203" s="274">
        <f t="shared" si="29"/>
        <v>212</v>
      </c>
      <c r="F203" s="273">
        <f t="shared" si="30"/>
        <v>3.2087180263357044E-2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48283</v>
      </c>
      <c r="D204" s="274">
        <f t="shared" si="28"/>
        <v>56770</v>
      </c>
      <c r="E204" s="274">
        <f t="shared" si="29"/>
        <v>8487</v>
      </c>
      <c r="F204" s="273">
        <f t="shared" si="30"/>
        <v>0.17577615309736347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4346</v>
      </c>
      <c r="D205" s="274">
        <f t="shared" si="28"/>
        <v>5030</v>
      </c>
      <c r="E205" s="274">
        <f t="shared" si="29"/>
        <v>684</v>
      </c>
      <c r="F205" s="273">
        <f t="shared" si="30"/>
        <v>0.15738610216290841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1198</v>
      </c>
      <c r="D206" s="274">
        <f t="shared" si="28"/>
        <v>1283</v>
      </c>
      <c r="E206" s="274">
        <f t="shared" si="29"/>
        <v>85</v>
      </c>
      <c r="F206" s="273">
        <f t="shared" si="30"/>
        <v>7.0951585976627707E-2</v>
      </c>
    </row>
    <row r="207" spans="1:9" ht="20.25" customHeight="1" x14ac:dyDescent="0.3">
      <c r="A207" s="271"/>
      <c r="B207" s="262" t="s">
        <v>471</v>
      </c>
      <c r="C207" s="263">
        <f>+C198+C200</f>
        <v>128755789</v>
      </c>
      <c r="D207" s="263">
        <f>+D198+D200</f>
        <v>153280721</v>
      </c>
      <c r="E207" s="263">
        <f t="shared" si="29"/>
        <v>24524932</v>
      </c>
      <c r="F207" s="273">
        <f t="shared" si="30"/>
        <v>0.19047634432965185</v>
      </c>
    </row>
    <row r="208" spans="1:9" ht="20.25" customHeight="1" x14ac:dyDescent="0.3">
      <c r="A208" s="271"/>
      <c r="B208" s="262" t="s">
        <v>472</v>
      </c>
      <c r="C208" s="263">
        <f>+C199+C201</f>
        <v>24818512</v>
      </c>
      <c r="D208" s="263">
        <f>+D199+D201</f>
        <v>30134762</v>
      </c>
      <c r="E208" s="263">
        <f t="shared" si="29"/>
        <v>5316250</v>
      </c>
      <c r="F208" s="273">
        <f t="shared" si="30"/>
        <v>0.21420502566793689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75" bottom="0.75" header="0.3" footer="0.3"/>
  <pageSetup scale="52" fitToHeight="0" orientation="portrait" r:id="rId1"/>
  <headerFooter>
    <oddHeader>&amp;LOFFICE OF HEALTH CARE ACCESS&amp;CTWELVE MONTHS ACTUAL FILING&amp;RMIDDLESEX HOSPITAL</oddHeader>
    <oddFooter>&amp;LREPORT 200&amp;C&amp;P of &amp;N&amp;R&amp;D,&amp;T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75" bottom="0.75" header="0.3" footer="0.3"/>
  <pageSetup scale="57" fitToHeight="0" orientation="portrait" r:id="rId1"/>
  <headerFooter>
    <oddHeader>&amp;LOFFICE OF HEALTH CARE ACCESS&amp;CTWELVE MONTHS ACTUAL FILING&amp;RMIDDLESEX HOSPITAL</oddHeader>
    <oddFooter>&amp;LREPORT 250&amp;C&amp;P of &amp;N&amp;R&amp;D,&amp;T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50370000</v>
      </c>
      <c r="D13" s="22">
        <v>25150000</v>
      </c>
      <c r="E13" s="22">
        <f t="shared" ref="E13:E22" si="0">D13-C13</f>
        <v>-25220000</v>
      </c>
      <c r="F13" s="306">
        <f t="shared" ref="F13:F22" si="1">IF(C13=0,0,E13/C13)</f>
        <v>-0.50069485805042679</v>
      </c>
    </row>
    <row r="14" spans="1:8" ht="24" customHeight="1" x14ac:dyDescent="0.2">
      <c r="A14" s="304">
        <v>2</v>
      </c>
      <c r="B14" s="305" t="s">
        <v>17</v>
      </c>
      <c r="C14" s="22">
        <v>10160000</v>
      </c>
      <c r="D14" s="22">
        <v>30358000</v>
      </c>
      <c r="E14" s="22">
        <f t="shared" si="0"/>
        <v>20198000</v>
      </c>
      <c r="F14" s="306">
        <f t="shared" si="1"/>
        <v>1.9879921259842519</v>
      </c>
    </row>
    <row r="15" spans="1:8" ht="35.1" customHeight="1" x14ac:dyDescent="0.2">
      <c r="A15" s="304">
        <v>3</v>
      </c>
      <c r="B15" s="305" t="s">
        <v>18</v>
      </c>
      <c r="C15" s="22">
        <v>44169000</v>
      </c>
      <c r="D15" s="22">
        <v>42471000</v>
      </c>
      <c r="E15" s="22">
        <f t="shared" si="0"/>
        <v>-1698000</v>
      </c>
      <c r="F15" s="306">
        <f t="shared" si="1"/>
        <v>-3.8443252054608433E-2</v>
      </c>
    </row>
    <row r="16" spans="1:8" ht="35.1" customHeight="1" x14ac:dyDescent="0.2">
      <c r="A16" s="304">
        <v>4</v>
      </c>
      <c r="B16" s="305" t="s">
        <v>19</v>
      </c>
      <c r="C16" s="22">
        <v>2858000</v>
      </c>
      <c r="D16" s="22">
        <v>1980000</v>
      </c>
      <c r="E16" s="22">
        <f t="shared" si="0"/>
        <v>-878000</v>
      </c>
      <c r="F16" s="306">
        <f t="shared" si="1"/>
        <v>-0.30720783764870541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129301</v>
      </c>
      <c r="E18" s="22">
        <f t="shared" si="0"/>
        <v>129301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1190149</v>
      </c>
      <c r="D19" s="22">
        <v>1091607</v>
      </c>
      <c r="E19" s="22">
        <f t="shared" si="0"/>
        <v>-98542</v>
      </c>
      <c r="F19" s="306">
        <f t="shared" si="1"/>
        <v>-8.279803621227258E-2</v>
      </c>
    </row>
    <row r="20" spans="1:11" ht="24" customHeight="1" x14ac:dyDescent="0.2">
      <c r="A20" s="304">
        <v>8</v>
      </c>
      <c r="B20" s="305" t="s">
        <v>23</v>
      </c>
      <c r="C20" s="22">
        <v>3106851</v>
      </c>
      <c r="D20" s="22">
        <v>3680393</v>
      </c>
      <c r="E20" s="22">
        <f t="shared" si="0"/>
        <v>573542</v>
      </c>
      <c r="F20" s="306">
        <f t="shared" si="1"/>
        <v>0.18460557007722611</v>
      </c>
    </row>
    <row r="21" spans="1:11" ht="24" customHeight="1" x14ac:dyDescent="0.2">
      <c r="A21" s="304">
        <v>9</v>
      </c>
      <c r="B21" s="305" t="s">
        <v>24</v>
      </c>
      <c r="C21" s="22">
        <v>2958000</v>
      </c>
      <c r="D21" s="22">
        <v>3075699</v>
      </c>
      <c r="E21" s="22">
        <f t="shared" si="0"/>
        <v>117699</v>
      </c>
      <c r="F21" s="306">
        <f t="shared" si="1"/>
        <v>3.9790060851926976E-2</v>
      </c>
    </row>
    <row r="22" spans="1:11" ht="24" customHeight="1" x14ac:dyDescent="0.25">
      <c r="A22" s="307"/>
      <c r="B22" s="308" t="s">
        <v>25</v>
      </c>
      <c r="C22" s="309">
        <f>SUM(C13:C21)</f>
        <v>114812000</v>
      </c>
      <c r="D22" s="309">
        <f>SUM(D13:D21)</f>
        <v>107936000</v>
      </c>
      <c r="E22" s="309">
        <f t="shared" si="0"/>
        <v>-6876000</v>
      </c>
      <c r="F22" s="310">
        <f t="shared" si="1"/>
        <v>-5.9889210187088461E-2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10937000</v>
      </c>
      <c r="D25" s="22">
        <v>10752000</v>
      </c>
      <c r="E25" s="22">
        <f>D25-C25</f>
        <v>-185000</v>
      </c>
      <c r="F25" s="306">
        <f>IF(C25=0,0,E25/C25)</f>
        <v>-1.6915058974124531E-2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120455000</v>
      </c>
      <c r="D26" s="22">
        <v>102995000</v>
      </c>
      <c r="E26" s="22">
        <f>D26-C26</f>
        <v>-17460000</v>
      </c>
      <c r="F26" s="306">
        <f>IF(C26=0,0,E26/C26)</f>
        <v>-0.14495039641359844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15948000</v>
      </c>
      <c r="D28" s="22">
        <v>15936000</v>
      </c>
      <c r="E28" s="22">
        <f>D28-C28</f>
        <v>-12000</v>
      </c>
      <c r="F28" s="306">
        <f>IF(C28=0,0,E28/C28)</f>
        <v>-7.5244544770504136E-4</v>
      </c>
    </row>
    <row r="29" spans="1:11" ht="35.1" customHeight="1" x14ac:dyDescent="0.25">
      <c r="A29" s="307"/>
      <c r="B29" s="308" t="s">
        <v>32</v>
      </c>
      <c r="C29" s="309">
        <f>SUM(C25:C28)</f>
        <v>147340000</v>
      </c>
      <c r="D29" s="309">
        <f>SUM(D25:D28)</f>
        <v>129683000</v>
      </c>
      <c r="E29" s="309">
        <f>D29-C29</f>
        <v>-17657000</v>
      </c>
      <c r="F29" s="310">
        <f>IF(C29=0,0,E29/C29)</f>
        <v>-0.11983846884756345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9944000</v>
      </c>
      <c r="D32" s="22">
        <v>15289000</v>
      </c>
      <c r="E32" s="22">
        <f>D32-C32</f>
        <v>5345000</v>
      </c>
      <c r="F32" s="306">
        <f>IF(C32=0,0,E32/C32)</f>
        <v>0.53751005631536608</v>
      </c>
    </row>
    <row r="33" spans="1:8" ht="24" customHeight="1" x14ac:dyDescent="0.2">
      <c r="A33" s="304">
        <v>7</v>
      </c>
      <c r="B33" s="305" t="s">
        <v>35</v>
      </c>
      <c r="C33" s="22">
        <v>13281000</v>
      </c>
      <c r="D33" s="22">
        <v>13703000</v>
      </c>
      <c r="E33" s="22">
        <f>D33-C33</f>
        <v>422000</v>
      </c>
      <c r="F33" s="306">
        <f>IF(C33=0,0,E33/C33)</f>
        <v>3.1774715759355469E-2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475594000</v>
      </c>
      <c r="D36" s="22">
        <v>504271000</v>
      </c>
      <c r="E36" s="22">
        <f>D36-C36</f>
        <v>28677000</v>
      </c>
      <c r="F36" s="306">
        <f>IF(C36=0,0,E36/C36)</f>
        <v>6.0297228308178824E-2</v>
      </c>
    </row>
    <row r="37" spans="1:8" ht="24" customHeight="1" x14ac:dyDescent="0.2">
      <c r="A37" s="304">
        <v>2</v>
      </c>
      <c r="B37" s="305" t="s">
        <v>39</v>
      </c>
      <c r="C37" s="22">
        <v>285642000</v>
      </c>
      <c r="D37" s="22">
        <v>310738000</v>
      </c>
      <c r="E37" s="22">
        <f>D37-C37</f>
        <v>25096000</v>
      </c>
      <c r="F37" s="22">
        <f>IF(C37=0,0,E37/C37)</f>
        <v>8.7858228131717328E-2</v>
      </c>
    </row>
    <row r="38" spans="1:8" ht="24" customHeight="1" x14ac:dyDescent="0.25">
      <c r="A38" s="307"/>
      <c r="B38" s="308" t="s">
        <v>40</v>
      </c>
      <c r="C38" s="309">
        <f>C36-C37</f>
        <v>189952000</v>
      </c>
      <c r="D38" s="309">
        <f>D36-D37</f>
        <v>193533000</v>
      </c>
      <c r="E38" s="309">
        <f>D38-C38</f>
        <v>3581000</v>
      </c>
      <c r="F38" s="310">
        <f>IF(C38=0,0,E38/C38)</f>
        <v>1.8852131064690025E-2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10205000</v>
      </c>
      <c r="D40" s="22">
        <v>13482000</v>
      </c>
      <c r="E40" s="22">
        <f>D40-C40</f>
        <v>3277000</v>
      </c>
      <c r="F40" s="306">
        <f>IF(C40=0,0,E40/C40)</f>
        <v>0.32111709946104849</v>
      </c>
    </row>
    <row r="41" spans="1:8" ht="24" customHeight="1" x14ac:dyDescent="0.25">
      <c r="A41" s="307"/>
      <c r="B41" s="308" t="s">
        <v>42</v>
      </c>
      <c r="C41" s="309">
        <f>+C38+C40</f>
        <v>200157000</v>
      </c>
      <c r="D41" s="309">
        <f>+D38+D40</f>
        <v>207015000</v>
      </c>
      <c r="E41" s="309">
        <f>D41-C41</f>
        <v>6858000</v>
      </c>
      <c r="F41" s="310">
        <f>IF(C41=0,0,E41/C41)</f>
        <v>3.4263103463780933E-2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485534000</v>
      </c>
      <c r="D43" s="309">
        <f>D22+D29+D31+D32+D33+D41</f>
        <v>473626000</v>
      </c>
      <c r="E43" s="309">
        <f>D43-C43</f>
        <v>-11908000</v>
      </c>
      <c r="F43" s="310">
        <f>IF(C43=0,0,E43/C43)</f>
        <v>-2.4525573904196206E-2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19782000</v>
      </c>
      <c r="D49" s="22">
        <v>19247000</v>
      </c>
      <c r="E49" s="22">
        <f t="shared" ref="E49:E56" si="2">D49-C49</f>
        <v>-535000</v>
      </c>
      <c r="F49" s="306">
        <f t="shared" ref="F49:F56" si="3">IF(C49=0,0,E49/C49)</f>
        <v>-2.7044788191285005E-2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31202000</v>
      </c>
      <c r="D50" s="22">
        <v>29839000</v>
      </c>
      <c r="E50" s="22">
        <f t="shared" si="2"/>
        <v>-1363000</v>
      </c>
      <c r="F50" s="306">
        <f t="shared" si="3"/>
        <v>-4.3683097237356583E-2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3681000</v>
      </c>
      <c r="D53" s="22">
        <v>4154000</v>
      </c>
      <c r="E53" s="22">
        <f t="shared" si="2"/>
        <v>473000</v>
      </c>
      <c r="F53" s="306">
        <f t="shared" si="3"/>
        <v>0.12849769084487911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85000</v>
      </c>
      <c r="D54" s="22">
        <v>0</v>
      </c>
      <c r="E54" s="22">
        <f t="shared" si="2"/>
        <v>-85000</v>
      </c>
      <c r="F54" s="306">
        <f t="shared" si="3"/>
        <v>-1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5107000</v>
      </c>
      <c r="D55" s="22">
        <v>6338000</v>
      </c>
      <c r="E55" s="22">
        <f t="shared" si="2"/>
        <v>1231000</v>
      </c>
      <c r="F55" s="306">
        <f t="shared" si="3"/>
        <v>0.24104170746034853</v>
      </c>
    </row>
    <row r="56" spans="1:6" ht="24" customHeight="1" x14ac:dyDescent="0.25">
      <c r="A56" s="307"/>
      <c r="B56" s="308" t="s">
        <v>54</v>
      </c>
      <c r="C56" s="309">
        <f>SUM(C49:C55)</f>
        <v>59857000</v>
      </c>
      <c r="D56" s="309">
        <f>SUM(D49:D55)</f>
        <v>59578000</v>
      </c>
      <c r="E56" s="309">
        <f t="shared" si="2"/>
        <v>-279000</v>
      </c>
      <c r="F56" s="310">
        <f t="shared" si="3"/>
        <v>-4.6611089763937382E-3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56749000</v>
      </c>
      <c r="D59" s="22">
        <v>51930000</v>
      </c>
      <c r="E59" s="22">
        <f>D59-C59</f>
        <v>-4819000</v>
      </c>
      <c r="F59" s="306">
        <f>IF(C59=0,0,E59/C59)</f>
        <v>-8.4917795908297941E-2</v>
      </c>
    </row>
    <row r="60" spans="1:6" ht="24" customHeight="1" x14ac:dyDescent="0.2">
      <c r="A60" s="304">
        <v>2</v>
      </c>
      <c r="B60" s="305" t="s">
        <v>57</v>
      </c>
      <c r="C60" s="22">
        <v>805000</v>
      </c>
      <c r="D60" s="22">
        <v>814000</v>
      </c>
      <c r="E60" s="22">
        <f>D60-C60</f>
        <v>9000</v>
      </c>
      <c r="F60" s="306">
        <f>IF(C60=0,0,E60/C60)</f>
        <v>1.1180124223602485E-2</v>
      </c>
    </row>
    <row r="61" spans="1:6" ht="24" customHeight="1" x14ac:dyDescent="0.25">
      <c r="A61" s="307"/>
      <c r="B61" s="308" t="s">
        <v>58</v>
      </c>
      <c r="C61" s="309">
        <f>SUM(C59:C60)</f>
        <v>57554000</v>
      </c>
      <c r="D61" s="309">
        <f>SUM(D59:D60)</f>
        <v>52744000</v>
      </c>
      <c r="E61" s="309">
        <f>D61-C61</f>
        <v>-4810000</v>
      </c>
      <c r="F61" s="310">
        <f>IF(C61=0,0,E61/C61)</f>
        <v>-8.357368731973451E-2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64264000</v>
      </c>
      <c r="D63" s="22">
        <v>48655000</v>
      </c>
      <c r="E63" s="22">
        <f>D63-C63</f>
        <v>-15609000</v>
      </c>
      <c r="F63" s="306">
        <f>IF(C63=0,0,E63/C63)</f>
        <v>-0.24288870907506535</v>
      </c>
    </row>
    <row r="64" spans="1:6" ht="24" customHeight="1" x14ac:dyDescent="0.2">
      <c r="A64" s="304">
        <v>4</v>
      </c>
      <c r="B64" s="305" t="s">
        <v>60</v>
      </c>
      <c r="C64" s="22">
        <v>34840000</v>
      </c>
      <c r="D64" s="22">
        <v>36140000</v>
      </c>
      <c r="E64" s="22">
        <f>D64-C64</f>
        <v>1300000</v>
      </c>
      <c r="F64" s="306">
        <f>IF(C64=0,0,E64/C64)</f>
        <v>3.7313432835820892E-2</v>
      </c>
    </row>
    <row r="65" spans="1:6" ht="24" customHeight="1" x14ac:dyDescent="0.25">
      <c r="A65" s="307"/>
      <c r="B65" s="308" t="s">
        <v>61</v>
      </c>
      <c r="C65" s="309">
        <f>SUM(C61:C64)</f>
        <v>156658000</v>
      </c>
      <c r="D65" s="309">
        <f>SUM(D61:D64)</f>
        <v>137539000</v>
      </c>
      <c r="E65" s="309">
        <f>D65-C65</f>
        <v>-19119000</v>
      </c>
      <c r="F65" s="310">
        <f>IF(C65=0,0,E65/C65)</f>
        <v>-0.12204292152331832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252186000</v>
      </c>
      <c r="D70" s="22">
        <v>259367000</v>
      </c>
      <c r="E70" s="22">
        <f>D70-C70</f>
        <v>7181000</v>
      </c>
      <c r="F70" s="306">
        <f>IF(C70=0,0,E70/C70)</f>
        <v>2.8475014473444204E-2</v>
      </c>
    </row>
    <row r="71" spans="1:6" ht="24" customHeight="1" x14ac:dyDescent="0.2">
      <c r="A71" s="304">
        <v>2</v>
      </c>
      <c r="B71" s="305" t="s">
        <v>65</v>
      </c>
      <c r="C71" s="22">
        <v>9855000</v>
      </c>
      <c r="D71" s="22">
        <v>10163000</v>
      </c>
      <c r="E71" s="22">
        <f>D71-C71</f>
        <v>308000</v>
      </c>
      <c r="F71" s="306">
        <f>IF(C71=0,0,E71/C71)</f>
        <v>3.1253170979198379E-2</v>
      </c>
    </row>
    <row r="72" spans="1:6" ht="24" customHeight="1" x14ac:dyDescent="0.2">
      <c r="A72" s="304">
        <v>3</v>
      </c>
      <c r="B72" s="305" t="s">
        <v>66</v>
      </c>
      <c r="C72" s="22">
        <v>6978000</v>
      </c>
      <c r="D72" s="22">
        <v>6979000</v>
      </c>
      <c r="E72" s="22">
        <f>D72-C72</f>
        <v>1000</v>
      </c>
      <c r="F72" s="306">
        <f>IF(C72=0,0,E72/C72)</f>
        <v>1.4330753797649757E-4</v>
      </c>
    </row>
    <row r="73" spans="1:6" ht="24" customHeight="1" x14ac:dyDescent="0.25">
      <c r="A73" s="304"/>
      <c r="B73" s="308" t="s">
        <v>67</v>
      </c>
      <c r="C73" s="309">
        <f>SUM(C70:C72)</f>
        <v>269019000</v>
      </c>
      <c r="D73" s="309">
        <f>SUM(D70:D72)</f>
        <v>276509000</v>
      </c>
      <c r="E73" s="309">
        <f>D73-C73</f>
        <v>7490000</v>
      </c>
      <c r="F73" s="310">
        <f>IF(C73=0,0,E73/C73)</f>
        <v>2.7841899642776162E-2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485534000</v>
      </c>
      <c r="D75" s="309">
        <f>D56+D65+D67+D73</f>
        <v>473626000</v>
      </c>
      <c r="E75" s="309">
        <f>D75-C75</f>
        <v>-11908000</v>
      </c>
      <c r="F75" s="310">
        <f>IF(C75=0,0,E75/C75)</f>
        <v>-2.4525573904196206E-2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r:id="rId1"/>
  <headerFooter>
    <oddHeader>&amp;LOFFICE OF HEALTH CARE ACCESS&amp;CTWELVE MONTHS ACTUAL FILING&amp;RMIDDLESEX HEALTH SYSTEM, INC.</oddHeader>
    <oddFooter>&amp;LREPORT 300&amp;CPAGE &amp;P of &amp;N&amp;R&amp;D,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1295537000</v>
      </c>
      <c r="D11" s="76">
        <v>1327597000</v>
      </c>
      <c r="E11" s="76">
        <f t="shared" ref="E11:E20" si="0">D11-C11</f>
        <v>32060000</v>
      </c>
      <c r="F11" s="77">
        <f t="shared" ref="F11:F20" si="1">IF(C11=0,0,E11/C11)</f>
        <v>2.4746495082734032E-2</v>
      </c>
    </row>
    <row r="12" spans="1:7" ht="23.1" customHeight="1" x14ac:dyDescent="0.2">
      <c r="A12" s="74">
        <v>2</v>
      </c>
      <c r="B12" s="75" t="s">
        <v>72</v>
      </c>
      <c r="C12" s="76">
        <v>901336000</v>
      </c>
      <c r="D12" s="76">
        <v>907119000</v>
      </c>
      <c r="E12" s="76">
        <f t="shared" si="0"/>
        <v>5783000</v>
      </c>
      <c r="F12" s="77">
        <f t="shared" si="1"/>
        <v>6.4160313135168236E-3</v>
      </c>
    </row>
    <row r="13" spans="1:7" ht="23.1" customHeight="1" x14ac:dyDescent="0.2">
      <c r="A13" s="74">
        <v>3</v>
      </c>
      <c r="B13" s="75" t="s">
        <v>73</v>
      </c>
      <c r="C13" s="76">
        <v>6696000</v>
      </c>
      <c r="D13" s="76">
        <v>5726000</v>
      </c>
      <c r="E13" s="76">
        <f t="shared" si="0"/>
        <v>-970000</v>
      </c>
      <c r="F13" s="77">
        <f t="shared" si="1"/>
        <v>-0.14486260454002389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387505000</v>
      </c>
      <c r="D15" s="79">
        <f>D11-D12-D13-D14</f>
        <v>414752000</v>
      </c>
      <c r="E15" s="79">
        <f t="shared" si="0"/>
        <v>27247000</v>
      </c>
      <c r="F15" s="80">
        <f t="shared" si="1"/>
        <v>7.0313931433142796E-2</v>
      </c>
    </row>
    <row r="16" spans="1:7" ht="23.1" customHeight="1" x14ac:dyDescent="0.2">
      <c r="A16" s="74">
        <v>5</v>
      </c>
      <c r="B16" s="75" t="s">
        <v>76</v>
      </c>
      <c r="C16" s="76">
        <v>10499000</v>
      </c>
      <c r="D16" s="76">
        <v>11388000</v>
      </c>
      <c r="E16" s="76">
        <f t="shared" si="0"/>
        <v>889000</v>
      </c>
      <c r="F16" s="77">
        <f t="shared" si="1"/>
        <v>8.4674730926754926E-2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377006000</v>
      </c>
      <c r="D17" s="79">
        <f>D15-D16</f>
        <v>403364000</v>
      </c>
      <c r="E17" s="79">
        <f t="shared" si="0"/>
        <v>26358000</v>
      </c>
      <c r="F17" s="80">
        <f t="shared" si="1"/>
        <v>6.9914006673633844E-2</v>
      </c>
    </row>
    <row r="18" spans="1:7" ht="23.1" customHeight="1" x14ac:dyDescent="0.2">
      <c r="A18" s="74">
        <v>6</v>
      </c>
      <c r="B18" s="75" t="s">
        <v>78</v>
      </c>
      <c r="C18" s="76">
        <v>14648000</v>
      </c>
      <c r="D18" s="76">
        <v>12659000</v>
      </c>
      <c r="E18" s="76">
        <f t="shared" si="0"/>
        <v>-1989000</v>
      </c>
      <c r="F18" s="77">
        <f t="shared" si="1"/>
        <v>-0.13578645548880394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391654000</v>
      </c>
      <c r="D20" s="79">
        <f>SUM(D17:D19)</f>
        <v>416023000</v>
      </c>
      <c r="E20" s="79">
        <f t="shared" si="0"/>
        <v>24369000</v>
      </c>
      <c r="F20" s="80">
        <f t="shared" si="1"/>
        <v>6.2220735649323129E-2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183156000</v>
      </c>
      <c r="D23" s="76">
        <v>192924000</v>
      </c>
      <c r="E23" s="76">
        <f t="shared" ref="E23:E32" si="2">D23-C23</f>
        <v>9768000</v>
      </c>
      <c r="F23" s="77">
        <f t="shared" ref="F23:F32" si="3">IF(C23=0,0,E23/C23)</f>
        <v>5.3331586188822645E-2</v>
      </c>
    </row>
    <row r="24" spans="1:7" ht="23.1" customHeight="1" x14ac:dyDescent="0.2">
      <c r="A24" s="74">
        <v>2</v>
      </c>
      <c r="B24" s="75" t="s">
        <v>83</v>
      </c>
      <c r="C24" s="76">
        <v>45284000</v>
      </c>
      <c r="D24" s="76">
        <v>39012000</v>
      </c>
      <c r="E24" s="76">
        <f t="shared" si="2"/>
        <v>-6272000</v>
      </c>
      <c r="F24" s="77">
        <f t="shared" si="3"/>
        <v>-0.13850366575390866</v>
      </c>
    </row>
    <row r="25" spans="1:7" ht="23.1" customHeight="1" x14ac:dyDescent="0.2">
      <c r="A25" s="74">
        <v>3</v>
      </c>
      <c r="B25" s="75" t="s">
        <v>84</v>
      </c>
      <c r="C25" s="76">
        <v>4053027</v>
      </c>
      <c r="D25" s="76">
        <v>3942380</v>
      </c>
      <c r="E25" s="76">
        <f t="shared" si="2"/>
        <v>-110647</v>
      </c>
      <c r="F25" s="77">
        <f t="shared" si="3"/>
        <v>-2.7299842808843858E-2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42409000</v>
      </c>
      <c r="D26" s="76">
        <v>46280000</v>
      </c>
      <c r="E26" s="76">
        <f t="shared" si="2"/>
        <v>3871000</v>
      </c>
      <c r="F26" s="77">
        <f t="shared" si="3"/>
        <v>9.1277794807705911E-2</v>
      </c>
    </row>
    <row r="27" spans="1:7" ht="23.1" customHeight="1" x14ac:dyDescent="0.2">
      <c r="A27" s="74">
        <v>5</v>
      </c>
      <c r="B27" s="75" t="s">
        <v>86</v>
      </c>
      <c r="C27" s="76">
        <v>24444000</v>
      </c>
      <c r="D27" s="76">
        <v>25127000</v>
      </c>
      <c r="E27" s="76">
        <f t="shared" si="2"/>
        <v>683000</v>
      </c>
      <c r="F27" s="77">
        <f t="shared" si="3"/>
        <v>2.794141711667485E-2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2862000</v>
      </c>
      <c r="D29" s="76">
        <v>2568000</v>
      </c>
      <c r="E29" s="76">
        <f t="shared" si="2"/>
        <v>-294000</v>
      </c>
      <c r="F29" s="77">
        <f t="shared" si="3"/>
        <v>-0.10272536687631027</v>
      </c>
    </row>
    <row r="30" spans="1:7" ht="23.1" customHeight="1" x14ac:dyDescent="0.2">
      <c r="A30" s="74">
        <v>8</v>
      </c>
      <c r="B30" s="75" t="s">
        <v>89</v>
      </c>
      <c r="C30" s="76">
        <v>6082265</v>
      </c>
      <c r="D30" s="76">
        <v>3007878</v>
      </c>
      <c r="E30" s="76">
        <f t="shared" si="2"/>
        <v>-3074387</v>
      </c>
      <c r="F30" s="77">
        <f t="shared" si="3"/>
        <v>-0.5054674533253648</v>
      </c>
    </row>
    <row r="31" spans="1:7" ht="23.1" customHeight="1" x14ac:dyDescent="0.2">
      <c r="A31" s="74">
        <v>9</v>
      </c>
      <c r="B31" s="75" t="s">
        <v>90</v>
      </c>
      <c r="C31" s="76">
        <v>82309708</v>
      </c>
      <c r="D31" s="76">
        <v>84931742</v>
      </c>
      <c r="E31" s="76">
        <f t="shared" si="2"/>
        <v>2622034</v>
      </c>
      <c r="F31" s="77">
        <f t="shared" si="3"/>
        <v>3.1855707713116903E-2</v>
      </c>
    </row>
    <row r="32" spans="1:7" ht="23.1" customHeight="1" x14ac:dyDescent="0.25">
      <c r="A32" s="71"/>
      <c r="B32" s="78" t="s">
        <v>91</v>
      </c>
      <c r="C32" s="79">
        <f>SUM(C23:C31)</f>
        <v>390600000</v>
      </c>
      <c r="D32" s="79">
        <f>SUM(D23:D31)</f>
        <v>397793000</v>
      </c>
      <c r="E32" s="79">
        <f t="shared" si="2"/>
        <v>7193000</v>
      </c>
      <c r="F32" s="80">
        <f t="shared" si="3"/>
        <v>1.8415258576548899E-2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1054000</v>
      </c>
      <c r="D34" s="79">
        <f>+D20-D32</f>
        <v>18230000</v>
      </c>
      <c r="E34" s="79">
        <f>D34-C34</f>
        <v>17176000</v>
      </c>
      <c r="F34" s="80">
        <f>IF(C34=0,0,E34/C34)</f>
        <v>16.296015180265655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5651000</v>
      </c>
      <c r="D37" s="76">
        <v>12211520</v>
      </c>
      <c r="E37" s="76">
        <f>D37-C37</f>
        <v>6560520</v>
      </c>
      <c r="F37" s="77">
        <f>IF(C37=0,0,E37/C37)</f>
        <v>1.1609485046894354</v>
      </c>
    </row>
    <row r="38" spans="1:6" ht="23.1" customHeight="1" x14ac:dyDescent="0.2">
      <c r="A38" s="85">
        <v>2</v>
      </c>
      <c r="B38" s="75" t="s">
        <v>95</v>
      </c>
      <c r="C38" s="76">
        <v>2027000</v>
      </c>
      <c r="D38" s="76">
        <v>393719</v>
      </c>
      <c r="E38" s="76">
        <f>D38-C38</f>
        <v>-1633281</v>
      </c>
      <c r="F38" s="77">
        <f>IF(C38=0,0,E38/C38)</f>
        <v>-0.8057627035027134</v>
      </c>
    </row>
    <row r="39" spans="1:6" ht="23.1" customHeight="1" x14ac:dyDescent="0.2">
      <c r="A39" s="85">
        <v>3</v>
      </c>
      <c r="B39" s="75" t="s">
        <v>96</v>
      </c>
      <c r="C39" s="76">
        <v>-483000</v>
      </c>
      <c r="D39" s="76">
        <v>-222154</v>
      </c>
      <c r="E39" s="76">
        <f>D39-C39</f>
        <v>260846</v>
      </c>
      <c r="F39" s="77">
        <f>IF(C39=0,0,E39/C39)</f>
        <v>-0.54005383022774323</v>
      </c>
    </row>
    <row r="40" spans="1:6" ht="23.1" customHeight="1" x14ac:dyDescent="0.25">
      <c r="A40" s="83"/>
      <c r="B40" s="78" t="s">
        <v>97</v>
      </c>
      <c r="C40" s="79">
        <f>SUM(C37:C39)</f>
        <v>7195000</v>
      </c>
      <c r="D40" s="79">
        <f>SUM(D37:D39)</f>
        <v>12383085</v>
      </c>
      <c r="E40" s="79">
        <f>D40-C40</f>
        <v>5188085</v>
      </c>
      <c r="F40" s="80">
        <f>IF(C40=0,0,E40/C40)</f>
        <v>0.72106810284920086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8249000</v>
      </c>
      <c r="D42" s="79">
        <f>D34+D40</f>
        <v>30613085</v>
      </c>
      <c r="E42" s="79">
        <f>D42-C42</f>
        <v>22364085</v>
      </c>
      <c r="F42" s="80">
        <f>IF(C42=0,0,E42/C42)</f>
        <v>2.7111268032488787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8249000</v>
      </c>
      <c r="D49" s="79">
        <f>D42+D47</f>
        <v>30613085</v>
      </c>
      <c r="E49" s="79">
        <f>D49-C49</f>
        <v>22364085</v>
      </c>
      <c r="F49" s="80">
        <f>IF(C49=0,0,E49/C49)</f>
        <v>2.7111268032488787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5" fitToHeight="0" orientation="portrait" r:id="rId1"/>
  <headerFooter>
    <oddHeader>&amp;L&amp;8OFFICE OF HEALTH CARE ACCESS&amp;C&amp;8TWELVE MONTHS ACTUAL FILING&amp;R&amp;8MIDDLESEX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Fernandes, David</cp:lastModifiedBy>
  <cp:lastPrinted>2017-09-18T19:16:12Z</cp:lastPrinted>
  <dcterms:created xsi:type="dcterms:W3CDTF">2017-09-15T12:49:39Z</dcterms:created>
  <dcterms:modified xsi:type="dcterms:W3CDTF">2017-09-19T18:19:59Z</dcterms:modified>
</cp:coreProperties>
</file>